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5"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收益法 (底商)" sheetId="80" r:id="rId23"/>
    <sheet name="收益法" sheetId="15" r:id="rId24"/>
    <sheet name="比较法-住宅 (2)" sheetId="79" r:id="rId25"/>
    <sheet name="比较法-住宅" sheetId="21" r:id="rId26"/>
    <sheet name="成本法 (元)" sheetId="69"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住宅案例" sheetId="78"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24" hidden="1">'比较法-住宅 (2)'!$A$1:$L$49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2">'收益法 (底商)'!$A$1:$AK$69</definedName>
    <definedName name="_xlnm.Print_Area" localSheetId="27">'收益法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'比较法-住宅 (2)'!$B$88:$M$88</definedName>
    <definedName name="住宅朝向">'比较法-住宅'!$B$88:$M$88</definedName>
    <definedName name="住宅房型" localSheetId="24">'比较法-住宅 (2)'!$B$118:$M$118</definedName>
    <definedName name="住宅房型">'比较法-住宅'!$B$118:$M$118</definedName>
    <definedName name="住宅公共部分装修" localSheetId="24">'比较法-住宅 (2)'!$B$109:$M$109</definedName>
    <definedName name="住宅公共部分装修">'比较法-住宅'!$B$109:$M$109</definedName>
    <definedName name="住宅基础设施水平" localSheetId="24">'比较法-住宅 (2)'!$B$116:$M$116</definedName>
    <definedName name="住宅基础设施水平">'比较法-住宅'!$B$116:$M$116</definedName>
    <definedName name="住宅建筑结构" localSheetId="24">'比较法-住宅 (2)'!$B$105:$M$105</definedName>
    <definedName name="住宅建筑结构">'比较法-住宅'!$B$105:$M$105</definedName>
    <definedName name="住宅建筑类型" localSheetId="24">'比较法-住宅 (2)'!$B$100:$M$100</definedName>
    <definedName name="住宅建筑类型">'比较法-住宅'!$B$100:$M$100</definedName>
    <definedName name="住宅建筑品质" localSheetId="24">'比较法-住宅 (2)'!$B$107:$M$107</definedName>
    <definedName name="住宅建筑品质">'比较法-住宅'!$B$107:$M$107</definedName>
    <definedName name="住宅交易情况" localSheetId="24">'比较法-住宅 (2)'!$A$61:$M$61</definedName>
    <definedName name="住宅交易情况">'比较法-住宅'!$A$61:$M$61</definedName>
    <definedName name="住宅楼层" localSheetId="24">'比较法-住宅 (2)'!$B$86:$M$86</definedName>
    <definedName name="住宅楼层">'比较法-住宅'!$B$86:$M$86</definedName>
    <definedName name="住宅内部装修" localSheetId="24">'比较法-住宅 (2)'!$B$122:$M$122</definedName>
    <definedName name="住宅内部装修">'比较法-住宅'!$B$122:$M$122</definedName>
    <definedName name="住宅物业管理" localSheetId="24">'比较法-住宅 (2)'!$B$114:$M$114</definedName>
    <definedName name="住宅物业管理">'比较法-住宅'!$B$114:$M$114</definedName>
    <definedName name="住宅用途" localSheetId="24">'比较法-住宅 (2)'!$B$63:$M$63</definedName>
    <definedName name="住宅用途">'比较法-住宅'!$B$63:$M$63</definedName>
    <definedName name="住宅主力户型面积" localSheetId="24">'比较法-住宅 (2)'!$B$120:$M$120</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H18" i="12"/>
  <c r="H9" i="68"/>
  <c r="B29" i="1"/>
  <c r="C20" i="77"/>
  <c r="I7" i="6"/>
  <c r="E9"/>
  <c r="O17" i="3"/>
  <c r="AN16"/>
  <c r="AH16"/>
  <c r="AJ16"/>
  <c r="AF16"/>
  <c r="D10" i="77"/>
  <c r="I10"/>
  <c r="I9"/>
  <c r="L14" i="3"/>
  <c r="M5" i="77"/>
  <c r="K14" i="3"/>
  <c r="M6" i="77"/>
  <c r="N5"/>
  <c r="C9"/>
  <c r="C8"/>
  <c r="C7"/>
  <c r="C6"/>
  <c r="C5"/>
  <c r="L6"/>
  <c r="L5"/>
  <c r="J11"/>
  <c r="I11"/>
  <c r="H11"/>
  <c r="H10"/>
  <c r="H5"/>
  <c r="B14"/>
  <c r="C14" l="1"/>
  <c r="AD16" i="3"/>
  <c r="Q72" i="80"/>
  <c r="Q59"/>
  <c r="K59"/>
  <c r="P74" s="1"/>
  <c r="F59"/>
  <c r="Q58"/>
  <c r="Q51"/>
  <c r="J50"/>
  <c r="J51" s="1"/>
  <c r="M47"/>
  <c r="D46"/>
  <c r="F34"/>
  <c r="F62" s="1"/>
  <c r="F33"/>
  <c r="F61" s="1"/>
  <c r="F32"/>
  <c r="F60" s="1"/>
  <c r="F31"/>
  <c r="F28"/>
  <c r="C28" s="1"/>
  <c r="F23"/>
  <c r="D24" s="1"/>
  <c r="F21"/>
  <c r="M20"/>
  <c r="F20"/>
  <c r="M19"/>
  <c r="M18"/>
  <c r="F18"/>
  <c r="M17"/>
  <c r="F17"/>
  <c r="F15"/>
  <c r="G1"/>
  <c r="F23" i="6"/>
  <c r="P17" i="3"/>
  <c r="H7" i="77"/>
  <c r="H6"/>
  <c r="C76" i="80"/>
  <c r="Q71" l="1"/>
  <c r="P61"/>
  <c r="D22"/>
  <c r="D23"/>
  <c r="C10" i="77"/>
  <c r="F16" i="80"/>
  <c r="F37"/>
  <c r="F38"/>
  <c r="J15"/>
  <c r="F36"/>
  <c r="F6"/>
  <c r="F9"/>
  <c r="M27"/>
  <c r="F26"/>
  <c r="F40"/>
  <c r="M28"/>
  <c r="F8"/>
  <c r="M22"/>
  <c r="F42"/>
  <c r="M23"/>
  <c r="M6"/>
  <c r="F13"/>
  <c r="M26"/>
  <c r="M8"/>
  <c r="M24"/>
  <c r="M9"/>
  <c r="F64" l="1"/>
  <c r="F65"/>
  <c r="F51"/>
  <c r="F66"/>
  <c r="F68"/>
  <c r="C27"/>
  <c r="H9" i="77"/>
  <c r="C145" i="79" l="1"/>
  <c r="J142"/>
  <c r="J140"/>
  <c r="K145" s="1"/>
  <c r="K139"/>
  <c r="K143" s="1"/>
  <c r="B130"/>
  <c r="B128"/>
  <c r="B126"/>
  <c r="E125"/>
  <c r="F125" s="1"/>
  <c r="G125" s="1"/>
  <c r="D125"/>
  <c r="E123"/>
  <c r="F123" s="1"/>
  <c r="G123" s="1"/>
  <c r="H123" s="1"/>
  <c r="I123" s="1"/>
  <c r="J123" s="1"/>
  <c r="K123" s="1"/>
  <c r="L123" s="1"/>
  <c r="M123" s="1"/>
  <c r="D123"/>
  <c r="D119"/>
  <c r="E119" s="1"/>
  <c r="F119" s="1"/>
  <c r="G119" s="1"/>
  <c r="H119" s="1"/>
  <c r="I119" s="1"/>
  <c r="J119" s="1"/>
  <c r="K119" s="1"/>
  <c r="L119" s="1"/>
  <c r="M119" s="1"/>
  <c r="D117"/>
  <c r="E117" s="1"/>
  <c r="F117" s="1"/>
  <c r="G117" s="1"/>
  <c r="D115"/>
  <c r="E115" s="1"/>
  <c r="F115" s="1"/>
  <c r="G115" s="1"/>
  <c r="H115" s="1"/>
  <c r="I115" s="1"/>
  <c r="J115" s="1"/>
  <c r="K115" s="1"/>
  <c r="L115" s="1"/>
  <c r="M115" s="1"/>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AC17"/>
  <c r="Q17"/>
  <c r="Z17" s="1"/>
  <c r="J17"/>
  <c r="W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Q10"/>
  <c r="Z10" s="1"/>
  <c r="J10"/>
  <c r="AC10" s="1"/>
  <c r="H10"/>
  <c r="AB10" s="1"/>
  <c r="F10"/>
  <c r="AA10" s="1"/>
  <c r="Q9"/>
  <c r="Z9" s="1"/>
  <c r="J9"/>
  <c r="AC9" s="1"/>
  <c r="H9"/>
  <c r="AB9" s="1"/>
  <c r="F9"/>
  <c r="AA9" s="1"/>
  <c r="J8"/>
  <c r="AC8" s="1"/>
  <c r="H8"/>
  <c r="U8" s="1"/>
  <c r="F8"/>
  <c r="AA8" s="1"/>
  <c r="I7"/>
  <c r="J7" s="1"/>
  <c r="G7"/>
  <c r="H7" s="1"/>
  <c r="E7"/>
  <c r="F7" s="1"/>
  <c r="C7"/>
  <c r="C58" s="1"/>
  <c r="D58" s="1"/>
  <c r="E58" s="1"/>
  <c r="F58" s="1"/>
  <c r="G58" s="1"/>
  <c r="H58" s="1"/>
  <c r="I58" s="1"/>
  <c r="J58" s="1"/>
  <c r="K58" s="1"/>
  <c r="L58" s="1"/>
  <c r="M58" s="1"/>
  <c r="N58" s="1"/>
  <c r="O58" s="1"/>
  <c r="I7" i="21"/>
  <c r="G7"/>
  <c r="E7"/>
  <c r="D2" i="79"/>
  <c r="S7" l="1"/>
  <c r="AA7"/>
  <c r="AB7"/>
  <c r="U7"/>
  <c r="W7"/>
  <c r="AC7"/>
  <c r="S8"/>
  <c r="W8"/>
  <c r="AB8"/>
  <c r="S9"/>
  <c r="W9"/>
  <c r="U10"/>
  <c r="S12"/>
  <c r="W12"/>
  <c r="U13"/>
  <c r="S14"/>
  <c r="W14"/>
  <c r="S15"/>
  <c r="W15"/>
  <c r="S17"/>
  <c r="W19"/>
  <c r="U9"/>
  <c r="S10"/>
  <c r="W10"/>
  <c r="U12"/>
  <c r="S13"/>
  <c r="W13"/>
  <c r="U14"/>
  <c r="U15"/>
  <c r="U17"/>
  <c r="S19"/>
  <c r="U19"/>
  <c r="U21"/>
  <c r="U23"/>
  <c r="S25"/>
  <c r="W25"/>
  <c r="U26"/>
  <c r="S27"/>
  <c r="W27"/>
  <c r="U28"/>
  <c r="S29"/>
  <c r="W29"/>
  <c r="U30"/>
  <c r="S31"/>
  <c r="W31"/>
  <c r="U32"/>
  <c r="S34"/>
  <c r="W34"/>
  <c r="U35"/>
  <c r="S36"/>
  <c r="W36"/>
  <c r="U37"/>
  <c r="S38"/>
  <c r="W38"/>
  <c r="U39"/>
  <c r="S40"/>
  <c r="W40"/>
  <c r="U41"/>
  <c r="S42"/>
  <c r="W42"/>
  <c r="U43"/>
  <c r="S44"/>
  <c r="W44"/>
  <c r="U45"/>
  <c r="S21"/>
  <c r="W21"/>
  <c r="S23"/>
  <c r="W23"/>
  <c r="U25"/>
  <c r="S26"/>
  <c r="W26"/>
  <c r="U27"/>
  <c r="S28"/>
  <c r="W28"/>
  <c r="U29"/>
  <c r="S30"/>
  <c r="W30"/>
  <c r="U31"/>
  <c r="S32"/>
  <c r="W32"/>
  <c r="U34"/>
  <c r="S35"/>
  <c r="W35"/>
  <c r="U36"/>
  <c r="S37"/>
  <c r="W37"/>
  <c r="U38"/>
  <c r="S39"/>
  <c r="W39"/>
  <c r="U40"/>
  <c r="S41"/>
  <c r="W41"/>
  <c r="U42"/>
  <c r="S43"/>
  <c r="W43"/>
  <c r="U44"/>
  <c r="AC45"/>
  <c r="W45"/>
  <c r="S45"/>
  <c r="S46"/>
  <c r="W46"/>
  <c r="K141"/>
  <c r="U46"/>
  <c r="K144"/>
  <c r="C38" i="39" l="1"/>
  <c r="I7" l="1"/>
  <c r="G7"/>
  <c r="J19" i="3" l="1"/>
  <c r="M20"/>
  <c r="G21" i="6" s="1"/>
  <c r="M15" i="3"/>
  <c r="J13"/>
  <c r="I13"/>
  <c r="F19" i="6" s="1"/>
  <c r="I19" i="3"/>
  <c r="F20" i="6" s="1"/>
  <c r="AL18" i="3"/>
  <c r="G22" i="6"/>
  <c r="A3" i="3"/>
  <c r="C11" i="4"/>
  <c r="D3"/>
  <c r="J4" i="71" l="1"/>
  <c r="K4"/>
  <c r="L4"/>
  <c r="I4"/>
  <c r="N4" l="1"/>
  <c r="B4" s="1"/>
  <c r="Q4"/>
  <c r="F4" s="1"/>
  <c r="P4"/>
  <c r="E4" s="1"/>
  <c r="O4"/>
  <c r="C4" s="1"/>
  <c r="D4" s="1"/>
  <c r="I5" l="1"/>
  <c r="L5"/>
  <c r="Q5" s="1"/>
  <c r="F5" s="1"/>
  <c r="K5"/>
  <c r="P5" s="1"/>
  <c r="E5" s="1"/>
  <c r="J5"/>
  <c r="O5" s="1"/>
  <c r="C5" s="1"/>
  <c r="D5" s="1"/>
  <c r="N5"/>
  <c r="B5" s="1"/>
  <c r="A2" i="53" l="1"/>
  <c r="K59" i="67" l="1"/>
  <c r="P61" s="1"/>
  <c r="K59" i="15"/>
  <c r="P74" s="1"/>
  <c r="P61" l="1"/>
  <c r="P74" i="67"/>
  <c r="D116" i="39"/>
  <c r="E116"/>
  <c r="F116"/>
  <c r="G116"/>
  <c r="H116"/>
  <c r="I116"/>
  <c r="J116"/>
  <c r="K116"/>
  <c r="L116"/>
  <c r="M116"/>
  <c r="C116"/>
  <c r="A21" i="62" l="1"/>
  <c r="A20"/>
  <c r="A22" i="51"/>
  <c r="A21"/>
  <c r="A20"/>
  <c r="A15" i="62" l="1"/>
  <c r="A14"/>
  <c r="A13"/>
  <c r="A19" l="1"/>
  <c r="A12"/>
  <c r="A120" i="9"/>
  <c r="H2" i="52"/>
  <c r="A1"/>
  <c r="A3" i="53"/>
  <c r="Q6" i="71" l="1"/>
  <c r="P6"/>
  <c r="O6"/>
  <c r="N6"/>
  <c r="D5" i="43" l="1"/>
  <c r="A15" i="51" l="1"/>
  <c r="E13" i="76"/>
  <c r="B7"/>
  <c r="B10"/>
  <c r="E12"/>
  <c r="B12"/>
  <c r="E7"/>
  <c r="E11"/>
  <c r="E10"/>
  <c r="E8"/>
  <c r="B9"/>
  <c r="B8"/>
  <c r="B13"/>
  <c r="B11"/>
  <c r="E9"/>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D3" i="73"/>
  <c r="F3"/>
  <c r="F4"/>
  <c r="D5"/>
  <c r="F5"/>
  <c r="F6"/>
  <c r="D6"/>
  <c r="I1" l="1"/>
  <c r="B39" i="1" s="1"/>
  <c r="D4" i="73"/>
  <c r="D7"/>
  <c r="F11" i="80" l="1"/>
  <c r="M11"/>
  <c r="E20" i="43"/>
  <c r="Y12"/>
  <c r="Y10"/>
  <c r="AJ9"/>
  <c r="AJ12" s="1"/>
  <c r="AI9"/>
  <c r="AI12" s="1"/>
  <c r="AH9"/>
  <c r="AH12" s="1"/>
  <c r="AG9"/>
  <c r="AG12" s="1"/>
  <c r="AF9"/>
  <c r="AF12" s="1"/>
  <c r="AE9"/>
  <c r="AE12" s="1"/>
  <c r="AD9"/>
  <c r="AD12" s="1"/>
  <c r="AC9"/>
  <c r="AC12" s="1"/>
  <c r="AB9"/>
  <c r="AB12" s="1"/>
  <c r="AA9"/>
  <c r="AA12" s="1"/>
  <c r="Z9"/>
  <c r="Z12" s="1"/>
  <c r="C53" i="80" l="1"/>
  <c r="AA10" i="43"/>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C34"/>
  <c r="Q33"/>
  <c r="F34" s="1"/>
  <c r="F35" s="1"/>
  <c r="F36" s="1"/>
  <c r="V36" s="1"/>
  <c r="P33"/>
  <c r="E34" s="1"/>
  <c r="O33"/>
  <c r="N33"/>
  <c r="B34" s="1"/>
  <c r="B35" s="1"/>
  <c r="B36" s="1"/>
  <c r="S36"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F18"/>
  <c r="F19" s="1"/>
  <c r="F20" s="1"/>
  <c r="V20" s="1"/>
  <c r="Q17"/>
  <c r="P17"/>
  <c r="O17"/>
  <c r="N17"/>
  <c r="D17"/>
  <c r="Q16"/>
  <c r="AB16" s="1"/>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B10" l="1"/>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X5"/>
  <c r="X6"/>
  <c r="X7"/>
  <c r="X3"/>
  <c r="X8"/>
  <c r="C11"/>
  <c r="D10"/>
  <c r="D14"/>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AB3"/>
  <c r="AB5"/>
  <c r="AB6"/>
  <c r="AB7"/>
  <c r="AB8"/>
  <c r="E8"/>
  <c r="E7" s="1"/>
  <c r="E6"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6" s="1"/>
  <c r="D7"/>
  <c r="V8"/>
  <c r="P45"/>
  <c r="P46"/>
  <c r="O46"/>
  <c r="D46"/>
  <c r="O45"/>
  <c r="T12"/>
  <c r="D12"/>
  <c r="T16"/>
  <c r="D16"/>
  <c r="T20"/>
  <c r="D20"/>
  <c r="T24"/>
  <c r="D24"/>
  <c r="T32"/>
  <c r="D32"/>
  <c r="T36"/>
  <c r="D36"/>
  <c r="T40"/>
  <c r="D40"/>
  <c r="T44"/>
  <c r="D44"/>
  <c r="O27" i="6" l="1"/>
  <c r="N27"/>
  <c r="P20"/>
  <c r="P21"/>
  <c r="P22"/>
  <c r="P23"/>
  <c r="P24"/>
  <c r="P25"/>
  <c r="P26"/>
  <c r="P19"/>
  <c r="AP8" i="1"/>
  <c r="AP9"/>
  <c r="AP10"/>
  <c r="AP11"/>
  <c r="AP12"/>
  <c r="AP13"/>
  <c r="L21" i="6"/>
  <c r="L22"/>
  <c r="L23"/>
  <c r="L24"/>
  <c r="L25"/>
  <c r="L26"/>
  <c r="P27" l="1"/>
  <c r="A7" i="70"/>
  <c r="A8"/>
  <c r="A9"/>
  <c r="E9" s="1"/>
  <c r="A10"/>
  <c r="A11"/>
  <c r="E11" s="1"/>
  <c r="A12"/>
  <c r="E12" s="1"/>
  <c r="A13"/>
  <c r="E13" s="1"/>
  <c r="A6"/>
  <c r="Q25" i="40" l="1"/>
  <c r="Z25" s="1"/>
  <c r="D94"/>
  <c r="E94" s="1"/>
  <c r="F25"/>
  <c r="AA25" s="1"/>
  <c r="Z29" i="39"/>
  <c r="Q29"/>
  <c r="D103"/>
  <c r="E103" s="1"/>
  <c r="F29"/>
  <c r="AA29" s="1"/>
  <c r="Q18" i="36"/>
  <c r="Z18" s="1"/>
  <c r="D66"/>
  <c r="E66" s="1"/>
  <c r="F66" s="1"/>
  <c r="H18"/>
  <c r="AB18" s="1"/>
  <c r="F18"/>
  <c r="AA18" s="1"/>
  <c r="C18"/>
  <c r="Z18" i="35"/>
  <c r="Q18"/>
  <c r="D68"/>
  <c r="E68" s="1"/>
  <c r="F18"/>
  <c r="AA18" s="1"/>
  <c r="C18"/>
  <c r="Z21" i="37"/>
  <c r="Q21"/>
  <c r="D77"/>
  <c r="E77" s="1"/>
  <c r="C21"/>
  <c r="Z21" i="34"/>
  <c r="Q21"/>
  <c r="D84"/>
  <c r="E84" s="1"/>
  <c r="F21"/>
  <c r="AA21" s="1"/>
  <c r="C21"/>
  <c r="Z21" i="33"/>
  <c r="Q21"/>
  <c r="D83"/>
  <c r="E83" s="1"/>
  <c r="C21"/>
  <c r="C21" i="21"/>
  <c r="Q21"/>
  <c r="Z21" s="1"/>
  <c r="H19"/>
  <c r="D83"/>
  <c r="F21" s="1"/>
  <c r="AA21" s="1"/>
  <c r="D81"/>
  <c r="G20" i="20"/>
  <c r="B86" i="43" s="1"/>
  <c r="C22" i="20"/>
  <c r="AO11" i="1"/>
  <c r="AO13"/>
  <c r="AO12"/>
  <c r="AO9"/>
  <c r="B11" i="70" l="1"/>
  <c r="B13"/>
  <c r="B12"/>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I20" s="1"/>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1" i="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10" i="1"/>
  <c r="F11"/>
  <c r="F12"/>
  <c r="F13"/>
  <c r="D6"/>
  <c r="D9"/>
  <c r="D10"/>
  <c r="D11"/>
  <c r="D12"/>
  <c r="D13"/>
  <c r="D7"/>
  <c r="D8"/>
  <c r="A7"/>
  <c r="A8"/>
  <c r="B8" s="1"/>
  <c r="E8" s="1"/>
  <c r="A9"/>
  <c r="A10"/>
  <c r="A11"/>
  <c r="A12"/>
  <c r="A13"/>
  <c r="A6"/>
  <c r="B11"/>
  <c r="E11" s="1"/>
  <c r="B7"/>
  <c r="E7"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c r="AX112"/>
  <c r="AW112"/>
  <c r="AV112"/>
  <c r="AC112"/>
  <c r="H112"/>
  <c r="G112"/>
  <c r="BT111"/>
  <c r="BS111"/>
  <c r="BR111"/>
  <c r="BQ111"/>
  <c r="BP111"/>
  <c r="BO111"/>
  <c r="BN111"/>
  <c r="BM111"/>
  <c r="BL111" s="1"/>
  <c r="BK111"/>
  <c r="BJ111"/>
  <c r="BI111"/>
  <c r="BH111"/>
  <c r="BG111"/>
  <c r="BF111"/>
  <c r="BE111"/>
  <c r="BD111"/>
  <c r="BC111"/>
  <c r="BB111"/>
  <c r="BA11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X109"/>
  <c r="AW109"/>
  <c r="AV109"/>
  <c r="AC109"/>
  <c r="H109"/>
  <c r="G109" s="1"/>
  <c r="BT108"/>
  <c r="BS108"/>
  <c r="BR108"/>
  <c r="BQ108"/>
  <c r="BP108"/>
  <c r="BO108"/>
  <c r="BN108"/>
  <c r="BM108"/>
  <c r="BL108"/>
  <c r="BK108"/>
  <c r="BJ108"/>
  <c r="BI108"/>
  <c r="BH108"/>
  <c r="BG108"/>
  <c r="BF108"/>
  <c r="BE108"/>
  <c r="BD108"/>
  <c r="BC108"/>
  <c r="BB108"/>
  <c r="BA108" s="1"/>
  <c r="AZ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s="1"/>
  <c r="BT106"/>
  <c r="BS106"/>
  <c r="BR106"/>
  <c r="BQ106"/>
  <c r="BP106"/>
  <c r="BO106"/>
  <c r="BN106"/>
  <c r="BM106"/>
  <c r="BL106"/>
  <c r="BK106"/>
  <c r="BJ106"/>
  <c r="BI106"/>
  <c r="BH106"/>
  <c r="BG106"/>
  <c r="BF106"/>
  <c r="BE106"/>
  <c r="BD106"/>
  <c r="BC106"/>
  <c r="BB106"/>
  <c r="BA106" s="1"/>
  <c r="AZ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c r="BT98"/>
  <c r="BS98"/>
  <c r="BR98"/>
  <c r="BQ98"/>
  <c r="BP98"/>
  <c r="BO98"/>
  <c r="BN98"/>
  <c r="BM98"/>
  <c r="BL98" s="1"/>
  <c r="BK98"/>
  <c r="BJ98"/>
  <c r="BI98"/>
  <c r="BH98"/>
  <c r="BG98"/>
  <c r="BF98"/>
  <c r="BE98"/>
  <c r="BD98"/>
  <c r="BC98"/>
  <c r="BB98"/>
  <c r="BA98"/>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c r="BT84"/>
  <c r="BS84"/>
  <c r="BR84"/>
  <c r="BQ84"/>
  <c r="BP84"/>
  <c r="BO84"/>
  <c r="BN84"/>
  <c r="BM84"/>
  <c r="BL84" s="1"/>
  <c r="BK84"/>
  <c r="BJ84"/>
  <c r="BI84"/>
  <c r="BH84"/>
  <c r="BG84"/>
  <c r="BF84"/>
  <c r="BE84"/>
  <c r="BD84"/>
  <c r="BC84"/>
  <c r="BB84"/>
  <c r="BA84"/>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c r="AX78"/>
  <c r="AW78"/>
  <c r="AV78"/>
  <c r="AC78"/>
  <c r="H78"/>
  <c r="G78"/>
  <c r="BT77"/>
  <c r="BS77"/>
  <c r="BR77"/>
  <c r="BQ77"/>
  <c r="BP77"/>
  <c r="BO77"/>
  <c r="BN77"/>
  <c r="BM77"/>
  <c r="BL77" s="1"/>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Z54" s="1"/>
  <c r="AX54"/>
  <c r="AW54"/>
  <c r="AV54"/>
  <c r="AC54"/>
  <c r="H54"/>
  <c r="G54" s="1"/>
  <c r="BT53"/>
  <c r="BS53"/>
  <c r="BR53"/>
  <c r="BQ53"/>
  <c r="BP53"/>
  <c r="BO53"/>
  <c r="BN53"/>
  <c r="BM53"/>
  <c r="BL53"/>
  <c r="BK53"/>
  <c r="BJ53"/>
  <c r="BI53"/>
  <c r="BH53"/>
  <c r="BG53"/>
  <c r="BF53"/>
  <c r="BE53"/>
  <c r="BD53"/>
  <c r="BC53"/>
  <c r="BB53"/>
  <c r="BA53" s="1"/>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c r="AZ49" s="1"/>
  <c r="AX49"/>
  <c r="AW49"/>
  <c r="AV49"/>
  <c r="AC49"/>
  <c r="H49"/>
  <c r="G49" s="1"/>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Z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c r="AX36"/>
  <c r="AW36"/>
  <c r="AV36"/>
  <c r="AC36"/>
  <c r="H36"/>
  <c r="G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X29"/>
  <c r="AW29"/>
  <c r="AV29"/>
  <c r="AC29"/>
  <c r="H29"/>
  <c r="G29" s="1"/>
  <c r="BT28"/>
  <c r="BS28"/>
  <c r="BR28"/>
  <c r="BQ28"/>
  <c r="BP28"/>
  <c r="BO28"/>
  <c r="BN28"/>
  <c r="BM28"/>
  <c r="BL28"/>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K18"/>
  <c r="BJ18"/>
  <c r="BI18"/>
  <c r="BH18"/>
  <c r="BG18"/>
  <c r="BF18"/>
  <c r="BE18"/>
  <c r="BD18"/>
  <c r="BC18"/>
  <c r="BB18"/>
  <c r="AX18"/>
  <c r="AW18"/>
  <c r="AV18"/>
  <c r="AC18"/>
  <c r="H18"/>
  <c r="G1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X206"/>
  <c r="AW206"/>
  <c r="AV206"/>
  <c r="AC206"/>
  <c r="H206"/>
  <c r="G206" s="1"/>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G204" s="1"/>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c r="AZ201" s="1"/>
  <c r="AX201"/>
  <c r="AW201"/>
  <c r="AV201"/>
  <c r="AC201"/>
  <c r="H201"/>
  <c r="BT200"/>
  <c r="BS200"/>
  <c r="BR200"/>
  <c r="BQ200"/>
  <c r="BP200"/>
  <c r="BO200"/>
  <c r="BN200"/>
  <c r="BM200"/>
  <c r="BK200"/>
  <c r="BJ200"/>
  <c r="BI200"/>
  <c r="BH200"/>
  <c r="BG200"/>
  <c r="BF200"/>
  <c r="BE200"/>
  <c r="BD200"/>
  <c r="BC200"/>
  <c r="BB200"/>
  <c r="BA200" s="1"/>
  <c r="AX200"/>
  <c r="AW200"/>
  <c r="AV200"/>
  <c r="AC200"/>
  <c r="H200"/>
  <c r="G200" s="1"/>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s="1"/>
  <c r="AX196"/>
  <c r="AW196"/>
  <c r="AV196"/>
  <c r="AC196"/>
  <c r="H196"/>
  <c r="G196" s="1"/>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c r="AZ193" s="1"/>
  <c r="AX193"/>
  <c r="AW193"/>
  <c r="AV193"/>
  <c r="AC193"/>
  <c r="H193"/>
  <c r="BT192"/>
  <c r="BS192"/>
  <c r="BR192"/>
  <c r="BQ192"/>
  <c r="BP192"/>
  <c r="BO192"/>
  <c r="BN192"/>
  <c r="BM192"/>
  <c r="BK192"/>
  <c r="BJ192"/>
  <c r="BI192"/>
  <c r="BH192"/>
  <c r="BG192"/>
  <c r="BF192"/>
  <c r="BE192"/>
  <c r="BD192"/>
  <c r="BC192"/>
  <c r="BB192"/>
  <c r="BA192" s="1"/>
  <c r="AX192"/>
  <c r="AW192"/>
  <c r="AV192"/>
  <c r="AC192"/>
  <c r="H192"/>
  <c r="G192" s="1"/>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s="1"/>
  <c r="AX188"/>
  <c r="AW188"/>
  <c r="AV188"/>
  <c r="AC188"/>
  <c r="H188"/>
  <c r="G188" s="1"/>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c r="AZ185" s="1"/>
  <c r="AX185"/>
  <c r="AW185"/>
  <c r="AV185"/>
  <c r="AC185"/>
  <c r="H185"/>
  <c r="BT184"/>
  <c r="BS184"/>
  <c r="BR184"/>
  <c r="BQ184"/>
  <c r="BP184"/>
  <c r="BO184"/>
  <c r="BN184"/>
  <c r="BM184"/>
  <c r="BK184"/>
  <c r="BJ184"/>
  <c r="BI184"/>
  <c r="BH184"/>
  <c r="BG184"/>
  <c r="BF184"/>
  <c r="BE184"/>
  <c r="BD184"/>
  <c r="BC184"/>
  <c r="BB184"/>
  <c r="BA184" s="1"/>
  <c r="AX184"/>
  <c r="AW184"/>
  <c r="AV184"/>
  <c r="AC184"/>
  <c r="H184"/>
  <c r="G184" s="1"/>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s="1"/>
  <c r="AX180"/>
  <c r="AW180"/>
  <c r="AV180"/>
  <c r="AC180"/>
  <c r="H180"/>
  <c r="G180" s="1"/>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c r="AZ177" s="1"/>
  <c r="AX177"/>
  <c r="AW177"/>
  <c r="AV177"/>
  <c r="AC177"/>
  <c r="H177"/>
  <c r="BT176"/>
  <c r="BS176"/>
  <c r="BR176"/>
  <c r="BQ176"/>
  <c r="BP176"/>
  <c r="BO176"/>
  <c r="BN176"/>
  <c r="BM176"/>
  <c r="BK176"/>
  <c r="BJ176"/>
  <c r="BI176"/>
  <c r="BH176"/>
  <c r="BG176"/>
  <c r="BF176"/>
  <c r="BE176"/>
  <c r="BD176"/>
  <c r="BC176"/>
  <c r="BB176"/>
  <c r="BA176" s="1"/>
  <c r="AX176"/>
  <c r="AW176"/>
  <c r="AV176"/>
  <c r="AC176"/>
  <c r="H176"/>
  <c r="G176" s="1"/>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s="1"/>
  <c r="AX172"/>
  <c r="AW172"/>
  <c r="AV172"/>
  <c r="AC172"/>
  <c r="H172"/>
  <c r="G172" s="1"/>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c r="AZ169" s="1"/>
  <c r="AX169"/>
  <c r="AW169"/>
  <c r="AV169"/>
  <c r="AC169"/>
  <c r="H169"/>
  <c r="BT168"/>
  <c r="BS168"/>
  <c r="BR168"/>
  <c r="BQ168"/>
  <c r="BP168"/>
  <c r="BO168"/>
  <c r="BN168"/>
  <c r="BM168"/>
  <c r="BK168"/>
  <c r="BJ168"/>
  <c r="BI168"/>
  <c r="BH168"/>
  <c r="BG168"/>
  <c r="BF168"/>
  <c r="BE168"/>
  <c r="BD168"/>
  <c r="BC168"/>
  <c r="BB168"/>
  <c r="BA168" s="1"/>
  <c r="AX168"/>
  <c r="AW168"/>
  <c r="AV168"/>
  <c r="AC168"/>
  <c r="H168"/>
  <c r="G168" s="1"/>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c r="AZ161" s="1"/>
  <c r="AX161"/>
  <c r="AW161"/>
  <c r="AV161"/>
  <c r="AC161"/>
  <c r="H161"/>
  <c r="BT160"/>
  <c r="BS160"/>
  <c r="BR160"/>
  <c r="BQ160"/>
  <c r="BP160"/>
  <c r="BO160"/>
  <c r="BN160"/>
  <c r="BM160"/>
  <c r="BK160"/>
  <c r="BJ160"/>
  <c r="BI160"/>
  <c r="BH160"/>
  <c r="BG160"/>
  <c r="BF160"/>
  <c r="BE160"/>
  <c r="BD160"/>
  <c r="BC160"/>
  <c r="BB160"/>
  <c r="BA160" s="1"/>
  <c r="AX160"/>
  <c r="AW160"/>
  <c r="AV160"/>
  <c r="AC160"/>
  <c r="H160"/>
  <c r="G160" s="1"/>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c r="AZ153" s="1"/>
  <c r="AX153"/>
  <c r="AW153"/>
  <c r="AV153"/>
  <c r="AC153"/>
  <c r="H153"/>
  <c r="BT152"/>
  <c r="BS152"/>
  <c r="BR152"/>
  <c r="BQ152"/>
  <c r="BP152"/>
  <c r="BO152"/>
  <c r="BN152"/>
  <c r="BM152"/>
  <c r="BK152"/>
  <c r="BJ152"/>
  <c r="BI152"/>
  <c r="BH152"/>
  <c r="BG152"/>
  <c r="BF152"/>
  <c r="BE152"/>
  <c r="BD152"/>
  <c r="BC152"/>
  <c r="BB152"/>
  <c r="BA152" s="1"/>
  <c r="AX152"/>
  <c r="AW152"/>
  <c r="AV152"/>
  <c r="AC152"/>
  <c r="H152"/>
  <c r="G152" s="1"/>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s="1"/>
  <c r="AX148"/>
  <c r="AW148"/>
  <c r="AV148"/>
  <c r="AC148"/>
  <c r="H148"/>
  <c r="G148" s="1"/>
  <c r="BT147"/>
  <c r="BS147"/>
  <c r="BR147"/>
  <c r="BQ147"/>
  <c r="BP147"/>
  <c r="BO147"/>
  <c r="BN147"/>
  <c r="BM147"/>
  <c r="BL147"/>
  <c r="BK147"/>
  <c r="BJ147"/>
  <c r="BI147"/>
  <c r="BH147"/>
  <c r="BG147"/>
  <c r="BF147"/>
  <c r="BE147"/>
  <c r="BD147"/>
  <c r="BC147"/>
  <c r="BB147"/>
  <c r="AX147"/>
  <c r="AW147"/>
  <c r="AV147"/>
  <c r="AC147"/>
  <c r="H147"/>
  <c r="G147" s="1"/>
  <c r="BT146"/>
  <c r="BS146"/>
  <c r="BR146"/>
  <c r="BQ146"/>
  <c r="BP146"/>
  <c r="BO146"/>
  <c r="BN146"/>
  <c r="BM146"/>
  <c r="BL146"/>
  <c r="BK146"/>
  <c r="BJ146"/>
  <c r="BI146"/>
  <c r="BH146"/>
  <c r="BG146"/>
  <c r="BF146"/>
  <c r="BE146"/>
  <c r="BD146"/>
  <c r="BC146"/>
  <c r="BB146"/>
  <c r="BA146" s="1"/>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c r="BK142"/>
  <c r="BJ142"/>
  <c r="BI142"/>
  <c r="BH142"/>
  <c r="BG142"/>
  <c r="BF142"/>
  <c r="BE142"/>
  <c r="BD142"/>
  <c r="BC142"/>
  <c r="BB142"/>
  <c r="BA142" s="1"/>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G139" s="1"/>
  <c r="BT138"/>
  <c r="BS138"/>
  <c r="BR138"/>
  <c r="BQ138"/>
  <c r="BP138"/>
  <c r="BO138"/>
  <c r="BN138"/>
  <c r="BM138"/>
  <c r="BL138"/>
  <c r="BK138"/>
  <c r="BJ138"/>
  <c r="BI138"/>
  <c r="BH138"/>
  <c r="BG138"/>
  <c r="BF138"/>
  <c r="BE138"/>
  <c r="BD138"/>
  <c r="BC138"/>
  <c r="BB138"/>
  <c r="BA138" s="1"/>
  <c r="AX138"/>
  <c r="AW138"/>
  <c r="AV138"/>
  <c r="AC138"/>
  <c r="H138"/>
  <c r="G138" s="1"/>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s="1"/>
  <c r="AX124"/>
  <c r="AW124"/>
  <c r="AV124"/>
  <c r="AC124"/>
  <c r="H124"/>
  <c r="G124" s="1"/>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c r="AZ122" s="1"/>
  <c r="AX122"/>
  <c r="AW122"/>
  <c r="AV122"/>
  <c r="AC122"/>
  <c r="H122"/>
  <c r="G122" s="1"/>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G115" s="1"/>
  <c r="BT114"/>
  <c r="BS114"/>
  <c r="BR114"/>
  <c r="BQ114"/>
  <c r="BP114"/>
  <c r="BO114"/>
  <c r="BN114"/>
  <c r="BM114"/>
  <c r="BL114"/>
  <c r="BK114"/>
  <c r="BJ114"/>
  <c r="BI114"/>
  <c r="BH114"/>
  <c r="BG114"/>
  <c r="BF114"/>
  <c r="BE114"/>
  <c r="BD114"/>
  <c r="BC114"/>
  <c r="BB114"/>
  <c r="BA114" s="1"/>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G302" s="1"/>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c r="AZ300" s="1"/>
  <c r="AX300"/>
  <c r="AW300"/>
  <c r="AV300"/>
  <c r="AC300"/>
  <c r="H300"/>
  <c r="G300" s="1"/>
  <c r="BT299"/>
  <c r="BS299"/>
  <c r="BR299"/>
  <c r="BQ299"/>
  <c r="BP299"/>
  <c r="BO299"/>
  <c r="BN299"/>
  <c r="BM299"/>
  <c r="BL299"/>
  <c r="BK299"/>
  <c r="BJ299"/>
  <c r="BI299"/>
  <c r="BH299"/>
  <c r="BG299"/>
  <c r="BF299"/>
  <c r="BE299"/>
  <c r="BD299"/>
  <c r="BC299"/>
  <c r="BB299"/>
  <c r="BA299" s="1"/>
  <c r="AX299"/>
  <c r="AW299"/>
  <c r="AV299"/>
  <c r="AC299"/>
  <c r="H299"/>
  <c r="G299" s="1"/>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c r="AX297"/>
  <c r="AW297"/>
  <c r="AV297"/>
  <c r="AC297"/>
  <c r="H297"/>
  <c r="G297" s="1"/>
  <c r="BT296"/>
  <c r="BS296"/>
  <c r="BR296"/>
  <c r="BQ296"/>
  <c r="BP296"/>
  <c r="BO296"/>
  <c r="BN296"/>
  <c r="BM296"/>
  <c r="BL296"/>
  <c r="BK296"/>
  <c r="BJ296"/>
  <c r="BI296"/>
  <c r="BH296"/>
  <c r="BG296"/>
  <c r="BF296"/>
  <c r="BE296"/>
  <c r="BD296"/>
  <c r="BC296"/>
  <c r="BB296"/>
  <c r="BA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c r="AZ290" s="1"/>
  <c r="AX290"/>
  <c r="AW290"/>
  <c r="AV290"/>
  <c r="AC290"/>
  <c r="H290"/>
  <c r="G290" s="1"/>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Z284" s="1"/>
  <c r="AX284"/>
  <c r="AW284"/>
  <c r="AV284"/>
  <c r="AC284"/>
  <c r="H284"/>
  <c r="G284" s="1"/>
  <c r="BT283"/>
  <c r="BS283"/>
  <c r="BR283"/>
  <c r="BQ283"/>
  <c r="BP283"/>
  <c r="BO283"/>
  <c r="BN283"/>
  <c r="BM283"/>
  <c r="BL283"/>
  <c r="BK283"/>
  <c r="BJ283"/>
  <c r="BI283"/>
  <c r="BH283"/>
  <c r="BG283"/>
  <c r="BF283"/>
  <c r="BE283"/>
  <c r="BD283"/>
  <c r="BC283"/>
  <c r="BB283"/>
  <c r="BA283" s="1"/>
  <c r="AX283"/>
  <c r="AW283"/>
  <c r="AV283"/>
  <c r="AC283"/>
  <c r="H283"/>
  <c r="G283" s="1"/>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s="1"/>
  <c r="BT280"/>
  <c r="BS280"/>
  <c r="BR280"/>
  <c r="BQ280"/>
  <c r="BP280"/>
  <c r="BO280"/>
  <c r="BN280"/>
  <c r="BM280"/>
  <c r="BL280"/>
  <c r="BK280"/>
  <c r="BJ280"/>
  <c r="BI280"/>
  <c r="BH280"/>
  <c r="BG280"/>
  <c r="BF280"/>
  <c r="BE280"/>
  <c r="BD280"/>
  <c r="BC280"/>
  <c r="BB280"/>
  <c r="BA280" s="1"/>
  <c r="AX280"/>
  <c r="AW280"/>
  <c r="AV280"/>
  <c r="AC280"/>
  <c r="H280"/>
  <c r="G280" s="1"/>
  <c r="BT279"/>
  <c r="BS279"/>
  <c r="BR279"/>
  <c r="BQ279"/>
  <c r="BP279"/>
  <c r="BO279"/>
  <c r="BN279"/>
  <c r="BM279"/>
  <c r="BL279"/>
  <c r="BK279"/>
  <c r="BJ279"/>
  <c r="BI279"/>
  <c r="BH279"/>
  <c r="BG279"/>
  <c r="BF279"/>
  <c r="BE279"/>
  <c r="BD279"/>
  <c r="BC279"/>
  <c r="BB279"/>
  <c r="BA279" s="1"/>
  <c r="AX279"/>
  <c r="AW279"/>
  <c r="AV279"/>
  <c r="AC279"/>
  <c r="H279"/>
  <c r="G279" s="1"/>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c r="AZ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c r="AZ270" s="1"/>
  <c r="AX270"/>
  <c r="AW270"/>
  <c r="AV270"/>
  <c r="AC270"/>
  <c r="H270"/>
  <c r="G270" s="1"/>
  <c r="BT269"/>
  <c r="BS269"/>
  <c r="BR269"/>
  <c r="BQ269"/>
  <c r="BP269"/>
  <c r="BO269"/>
  <c r="BN269"/>
  <c r="BM269"/>
  <c r="BL269"/>
  <c r="BK269"/>
  <c r="BJ269"/>
  <c r="BI269"/>
  <c r="BH269"/>
  <c r="BG269"/>
  <c r="BF269"/>
  <c r="BE269"/>
  <c r="BD269"/>
  <c r="BC269"/>
  <c r="BB269"/>
  <c r="BA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X256"/>
  <c r="AW256"/>
  <c r="AV256"/>
  <c r="AC256"/>
  <c r="H256"/>
  <c r="G256" s="1"/>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X248"/>
  <c r="AW248"/>
  <c r="AV248"/>
  <c r="AC248"/>
  <c r="H248"/>
  <c r="G248" s="1"/>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c r="AZ242" s="1"/>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X240"/>
  <c r="AW240"/>
  <c r="AV240"/>
  <c r="AC240"/>
  <c r="H240"/>
  <c r="G240" s="1"/>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X232"/>
  <c r="AW232"/>
  <c r="AV232"/>
  <c r="AC232"/>
  <c r="H232"/>
  <c r="G232" s="1"/>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BA223" s="1"/>
  <c r="AX223"/>
  <c r="AW223"/>
  <c r="AV223"/>
  <c r="AC223"/>
  <c r="H223"/>
  <c r="G223" s="1"/>
  <c r="BT222"/>
  <c r="BS222"/>
  <c r="BR222"/>
  <c r="BQ222"/>
  <c r="BP222"/>
  <c r="BO222"/>
  <c r="BN222"/>
  <c r="BM222"/>
  <c r="BL222"/>
  <c r="BK222"/>
  <c r="BJ222"/>
  <c r="BI222"/>
  <c r="BH222"/>
  <c r="BG222"/>
  <c r="BF222"/>
  <c r="BE222"/>
  <c r="BD222"/>
  <c r="BC222"/>
  <c r="BB222"/>
  <c r="BA222" s="1"/>
  <c r="AX222"/>
  <c r="AW222"/>
  <c r="AV222"/>
  <c r="AC222"/>
  <c r="H222"/>
  <c r="G222" s="1"/>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c r="AZ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L353" s="1"/>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L332" s="1"/>
  <c r="BK332"/>
  <c r="BJ332"/>
  <c r="BI332"/>
  <c r="BH332"/>
  <c r="BG332"/>
  <c r="BF332"/>
  <c r="BE332"/>
  <c r="BD332"/>
  <c r="BC332"/>
  <c r="BB332"/>
  <c r="BA332"/>
  <c r="AZ332" s="1"/>
  <c r="AX332"/>
  <c r="AW332"/>
  <c r="AV332"/>
  <c r="AC332"/>
  <c r="H332"/>
  <c r="BT331"/>
  <c r="BS331"/>
  <c r="BR331"/>
  <c r="BQ331"/>
  <c r="BP331"/>
  <c r="BO331"/>
  <c r="BN331"/>
  <c r="BM331"/>
  <c r="BK331"/>
  <c r="BJ331"/>
  <c r="BI331"/>
  <c r="BH331"/>
  <c r="BG331"/>
  <c r="BF331"/>
  <c r="BE331"/>
  <c r="BD331"/>
  <c r="BC331"/>
  <c r="BB331"/>
  <c r="BA331" s="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L316" s="1"/>
  <c r="BK316"/>
  <c r="BJ316"/>
  <c r="BI316"/>
  <c r="BH316"/>
  <c r="BG316"/>
  <c r="BF316"/>
  <c r="BE316"/>
  <c r="BD316"/>
  <c r="BC316"/>
  <c r="BB316"/>
  <c r="BA316"/>
  <c r="AZ316" s="1"/>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s="1"/>
  <c r="AX489"/>
  <c r="AW489"/>
  <c r="AV489"/>
  <c r="AC489"/>
  <c r="H489"/>
  <c r="G489" s="1"/>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AZ487" s="1"/>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c r="AZ486" s="1"/>
  <c r="AX486"/>
  <c r="AW486"/>
  <c r="AV486"/>
  <c r="AC486"/>
  <c r="H486"/>
  <c r="G486" s="1"/>
  <c r="BT485"/>
  <c r="BS485"/>
  <c r="BR485"/>
  <c r="BQ485"/>
  <c r="BP485"/>
  <c r="BO485"/>
  <c r="BN485"/>
  <c r="BM485"/>
  <c r="BL485"/>
  <c r="BK485"/>
  <c r="BJ485"/>
  <c r="BI485"/>
  <c r="BH485"/>
  <c r="BG485"/>
  <c r="BF485"/>
  <c r="BE485"/>
  <c r="BD485"/>
  <c r="BC485"/>
  <c r="BB485"/>
  <c r="BA485" s="1"/>
  <c r="AZ485" s="1"/>
  <c r="AX485"/>
  <c r="AW485"/>
  <c r="AV485"/>
  <c r="AC485"/>
  <c r="H485"/>
  <c r="G485" s="1"/>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c r="BK483"/>
  <c r="BJ483"/>
  <c r="BI483"/>
  <c r="BH483"/>
  <c r="BG483"/>
  <c r="BF483"/>
  <c r="BE483"/>
  <c r="BD483"/>
  <c r="BC483"/>
  <c r="BB483"/>
  <c r="BA483" s="1"/>
  <c r="AZ483" s="1"/>
  <c r="AX483"/>
  <c r="AW483"/>
  <c r="AV483"/>
  <c r="AC483"/>
  <c r="H483"/>
  <c r="G483" s="1"/>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AZ481" s="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Z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AZ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Z475" s="1"/>
  <c r="AX475"/>
  <c r="AW475"/>
  <c r="AV475"/>
  <c r="AC475"/>
  <c r="H475"/>
  <c r="G475" s="1"/>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s="1"/>
  <c r="BT471"/>
  <c r="BS471"/>
  <c r="BR471"/>
  <c r="BQ471"/>
  <c r="BP471"/>
  <c r="BO471"/>
  <c r="BN471"/>
  <c r="BM471"/>
  <c r="BL471"/>
  <c r="BK471"/>
  <c r="BJ471"/>
  <c r="BI471"/>
  <c r="BH471"/>
  <c r="BG471"/>
  <c r="BF471"/>
  <c r="BE471"/>
  <c r="BD471"/>
  <c r="BC471"/>
  <c r="BB471"/>
  <c r="BA471" s="1"/>
  <c r="AZ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AZ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Z467" s="1"/>
  <c r="AX467"/>
  <c r="AW467"/>
  <c r="AV467"/>
  <c r="AC467"/>
  <c r="H467"/>
  <c r="G467" s="1"/>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s="1"/>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AZ462" s="1"/>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c r="AZ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AZ459" s="1"/>
  <c r="BK459"/>
  <c r="BJ459"/>
  <c r="BI459"/>
  <c r="BH459"/>
  <c r="BG459"/>
  <c r="BF459"/>
  <c r="BE459"/>
  <c r="BD459"/>
  <c r="BC459"/>
  <c r="BB459"/>
  <c r="BA459"/>
  <c r="AX459"/>
  <c r="AW459"/>
  <c r="AV459"/>
  <c r="AC459"/>
  <c r="H459"/>
  <c r="G459"/>
  <c r="BT458"/>
  <c r="BS458"/>
  <c r="BR458"/>
  <c r="BQ458"/>
  <c r="BP458"/>
  <c r="BO458"/>
  <c r="BN458"/>
  <c r="BM458"/>
  <c r="BL458" s="1"/>
  <c r="AZ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X457"/>
  <c r="AW457"/>
  <c r="AV457"/>
  <c r="AC457"/>
  <c r="H457"/>
  <c r="G457" s="1"/>
  <c r="BT456"/>
  <c r="BS456"/>
  <c r="BR456"/>
  <c r="BQ456"/>
  <c r="BP456"/>
  <c r="BO456"/>
  <c r="BN456"/>
  <c r="BM456"/>
  <c r="BL456"/>
  <c r="BK456"/>
  <c r="BJ456"/>
  <c r="BI456"/>
  <c r="BH456"/>
  <c r="BG456"/>
  <c r="BF456"/>
  <c r="BE456"/>
  <c r="BD456"/>
  <c r="BC456"/>
  <c r="BB456"/>
  <c r="BA456" s="1"/>
  <c r="AZ456" s="1"/>
  <c r="AX456"/>
  <c r="AW456"/>
  <c r="AV456"/>
  <c r="AC456"/>
  <c r="H456"/>
  <c r="G456" s="1"/>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AZ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AZ451" s="1"/>
  <c r="BK451"/>
  <c r="BJ451"/>
  <c r="BI451"/>
  <c r="BH451"/>
  <c r="BG451"/>
  <c r="BF451"/>
  <c r="BE451"/>
  <c r="BD451"/>
  <c r="BC451"/>
  <c r="BB451"/>
  <c r="BA451"/>
  <c r="AX451"/>
  <c r="AW451"/>
  <c r="AV451"/>
  <c r="AC451"/>
  <c r="H451"/>
  <c r="G451"/>
  <c r="BT450"/>
  <c r="BS450"/>
  <c r="BR450"/>
  <c r="BQ450"/>
  <c r="BP450"/>
  <c r="BO450"/>
  <c r="BN450"/>
  <c r="BM450"/>
  <c r="BL450" s="1"/>
  <c r="AZ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Z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AZ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AZ443" s="1"/>
  <c r="BK443"/>
  <c r="BJ443"/>
  <c r="BI443"/>
  <c r="BH443"/>
  <c r="BG443"/>
  <c r="BF443"/>
  <c r="BE443"/>
  <c r="BD443"/>
  <c r="BC443"/>
  <c r="BB443"/>
  <c r="BA443"/>
  <c r="AX443"/>
  <c r="AW443"/>
  <c r="AV443"/>
  <c r="AC443"/>
  <c r="H443"/>
  <c r="G443"/>
  <c r="BT442"/>
  <c r="BS442"/>
  <c r="BR442"/>
  <c r="BQ442"/>
  <c r="BP442"/>
  <c r="BO442"/>
  <c r="BN442"/>
  <c r="BM442"/>
  <c r="BL442" s="1"/>
  <c r="AZ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s="1"/>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AZ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AZ435" s="1"/>
  <c r="BK435"/>
  <c r="BJ435"/>
  <c r="BI435"/>
  <c r="BH435"/>
  <c r="BG435"/>
  <c r="BF435"/>
  <c r="BE435"/>
  <c r="BD435"/>
  <c r="BC435"/>
  <c r="BB435"/>
  <c r="BA435"/>
  <c r="AX435"/>
  <c r="AW435"/>
  <c r="AV435"/>
  <c r="AC435"/>
  <c r="H435"/>
  <c r="G435"/>
  <c r="BT434"/>
  <c r="BS434"/>
  <c r="BR434"/>
  <c r="BQ434"/>
  <c r="BP434"/>
  <c r="BO434"/>
  <c r="BN434"/>
  <c r="BM434"/>
  <c r="BL434" s="1"/>
  <c r="AZ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Z431" s="1"/>
  <c r="AX431"/>
  <c r="AW431"/>
  <c r="AV431"/>
  <c r="AC431"/>
  <c r="H431"/>
  <c r="G431" s="1"/>
  <c r="BT430"/>
  <c r="BS430"/>
  <c r="BR430"/>
  <c r="BQ430"/>
  <c r="BP430"/>
  <c r="BO430"/>
  <c r="BN430"/>
  <c r="BM430"/>
  <c r="BL430"/>
  <c r="BK430"/>
  <c r="BJ430"/>
  <c r="BI430"/>
  <c r="BH430"/>
  <c r="BG430"/>
  <c r="BF430"/>
  <c r="BE430"/>
  <c r="BD430"/>
  <c r="BC430"/>
  <c r="BB430"/>
  <c r="BA430" s="1"/>
  <c r="AZ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s="1"/>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s="1"/>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AZ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AZ419" s="1"/>
  <c r="BK419"/>
  <c r="BJ419"/>
  <c r="BI419"/>
  <c r="BH419"/>
  <c r="BG419"/>
  <c r="BF419"/>
  <c r="BE419"/>
  <c r="BD419"/>
  <c r="BC419"/>
  <c r="BB419"/>
  <c r="BA419"/>
  <c r="AX419"/>
  <c r="AW419"/>
  <c r="AV419"/>
  <c r="AC419"/>
  <c r="H419"/>
  <c r="G419"/>
  <c r="BT418"/>
  <c r="BS418"/>
  <c r="BR418"/>
  <c r="BQ418"/>
  <c r="BP418"/>
  <c r="BO418"/>
  <c r="BN418"/>
  <c r="BM418"/>
  <c r="BL418" s="1"/>
  <c r="AZ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Z415" s="1"/>
  <c r="AX415"/>
  <c r="AW415"/>
  <c r="AV415"/>
  <c r="AC415"/>
  <c r="H415"/>
  <c r="G415" s="1"/>
  <c r="BT414"/>
  <c r="BS414"/>
  <c r="BR414"/>
  <c r="BQ414"/>
  <c r="BP414"/>
  <c r="BO414"/>
  <c r="BN414"/>
  <c r="BM414"/>
  <c r="BL414"/>
  <c r="BK414"/>
  <c r="BJ414"/>
  <c r="BI414"/>
  <c r="BH414"/>
  <c r="BG414"/>
  <c r="BF414"/>
  <c r="BE414"/>
  <c r="BD414"/>
  <c r="BC414"/>
  <c r="BB414"/>
  <c r="BA414" s="1"/>
  <c r="AZ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s="1"/>
  <c r="BT410"/>
  <c r="BS410"/>
  <c r="BR410"/>
  <c r="BQ410"/>
  <c r="BP410"/>
  <c r="BO410"/>
  <c r="BN410"/>
  <c r="BM410"/>
  <c r="BL410"/>
  <c r="BK410"/>
  <c r="BJ410"/>
  <c r="BI410"/>
  <c r="BH410"/>
  <c r="BG410"/>
  <c r="BF410"/>
  <c r="BE410"/>
  <c r="BD410"/>
  <c r="BC410"/>
  <c r="BB410"/>
  <c r="BA410" s="1"/>
  <c r="AZ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AZ406" s="1"/>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AZ403" s="1"/>
  <c r="BK403"/>
  <c r="BJ403"/>
  <c r="BI403"/>
  <c r="BH403"/>
  <c r="BG403"/>
  <c r="BF403"/>
  <c r="BE403"/>
  <c r="BD403"/>
  <c r="BC403"/>
  <c r="BB403"/>
  <c r="BA403"/>
  <c r="AX403"/>
  <c r="AW403"/>
  <c r="AV403"/>
  <c r="AC403"/>
  <c r="H403"/>
  <c r="G403"/>
  <c r="BT402"/>
  <c r="BS402"/>
  <c r="BR402"/>
  <c r="BQ402"/>
  <c r="BP402"/>
  <c r="BO402"/>
  <c r="BN402"/>
  <c r="BM402"/>
  <c r="BL402" s="1"/>
  <c r="AZ402" s="1"/>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Z399" s="1"/>
  <c r="AX399"/>
  <c r="AW399"/>
  <c r="AV399"/>
  <c r="AC399"/>
  <c r="H399"/>
  <c r="G399" s="1"/>
  <c r="BT398"/>
  <c r="BS398"/>
  <c r="BR398"/>
  <c r="BQ398"/>
  <c r="BP398"/>
  <c r="BO398"/>
  <c r="BN398"/>
  <c r="BM398"/>
  <c r="BL398"/>
  <c r="BK398"/>
  <c r="BJ398"/>
  <c r="BI398"/>
  <c r="BH398"/>
  <c r="BG398"/>
  <c r="BF398"/>
  <c r="BE398"/>
  <c r="BD398"/>
  <c r="BC398"/>
  <c r="BB398"/>
  <c r="BA398" s="1"/>
  <c r="AZ398" s="1"/>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13" i="53"/>
  <c r="B29" i="72" s="1"/>
  <c r="R35" i="4"/>
  <c r="Q35"/>
  <c r="P35"/>
  <c r="O35"/>
  <c r="N35"/>
  <c r="M35"/>
  <c r="L35"/>
  <c r="K34"/>
  <c r="T34" s="1"/>
  <c r="G13" i="1"/>
  <c r="G11"/>
  <c r="I15" i="4"/>
  <c r="H15"/>
  <c r="G15"/>
  <c r="F8" i="1" s="1"/>
  <c r="G8" s="1"/>
  <c r="E15" i="4"/>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D3" i="79" s="1"/>
  <c r="E21" i="6"/>
  <c r="K8" i="1" s="1"/>
  <c r="F23" i="15"/>
  <c r="D24" s="1"/>
  <c r="E22" i="6"/>
  <c r="E23"/>
  <c r="K10" i="1" s="1"/>
  <c r="E24" i="6"/>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s="1"/>
  <c r="AZ548" s="1"/>
  <c r="BQ548"/>
  <c r="BR548"/>
  <c r="BS548"/>
  <c r="BT548"/>
  <c r="H549"/>
  <c r="AC549"/>
  <c r="BB549"/>
  <c r="BC549"/>
  <c r="BD549"/>
  <c r="BE549"/>
  <c r="BF549"/>
  <c r="BG549"/>
  <c r="BH549"/>
  <c r="BI549"/>
  <c r="BJ549"/>
  <c r="BK549"/>
  <c r="BM549"/>
  <c r="BN549"/>
  <c r="BO549"/>
  <c r="BP549"/>
  <c r="BR549"/>
  <c r="BS549"/>
  <c r="BT549"/>
  <c r="H550"/>
  <c r="AC550"/>
  <c r="BB550"/>
  <c r="BA550" s="1"/>
  <c r="BC550"/>
  <c r="BD550"/>
  <c r="BE550"/>
  <c r="BF550"/>
  <c r="BG550"/>
  <c r="BH550"/>
  <c r="BI550"/>
  <c r="BJ550"/>
  <c r="BK550"/>
  <c r="BM550"/>
  <c r="BN550"/>
  <c r="BO550"/>
  <c r="BL550" s="1"/>
  <c r="BP550"/>
  <c r="BQ550"/>
  <c r="BR550"/>
  <c r="BS550"/>
  <c r="BT550"/>
  <c r="H551"/>
  <c r="G551" s="1"/>
  <c r="AC551"/>
  <c r="BB551"/>
  <c r="BC551"/>
  <c r="BD551"/>
  <c r="BA551" s="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s="1"/>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J40"/>
  <c r="W40" s="1"/>
  <c r="H40"/>
  <c r="AB40" s="1"/>
  <c r="F40"/>
  <c r="AA40" s="1"/>
  <c r="Q39"/>
  <c r="Z39"/>
  <c r="H39"/>
  <c r="U39" s="1"/>
  <c r="Q38"/>
  <c r="Z38" s="1"/>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s="1"/>
  <c r="Q43"/>
  <c r="Z43" s="1"/>
  <c r="Q44"/>
  <c r="Z44" s="1"/>
  <c r="Q45"/>
  <c r="Z45" s="1"/>
  <c r="Q38"/>
  <c r="Z38"/>
  <c r="Q36"/>
  <c r="Z36" s="1"/>
  <c r="Q37"/>
  <c r="Z37" s="1"/>
  <c r="B131"/>
  <c r="H45" s="1"/>
  <c r="B129"/>
  <c r="H44"/>
  <c r="B127"/>
  <c r="J43" s="1"/>
  <c r="D126"/>
  <c r="E126" s="1"/>
  <c r="F126" s="1"/>
  <c r="G126" s="1"/>
  <c r="H126" s="1"/>
  <c r="I126" s="1"/>
  <c r="J126" s="1"/>
  <c r="K126" s="1"/>
  <c r="L126" s="1"/>
  <c r="M126" s="1"/>
  <c r="D122"/>
  <c r="E122" s="1"/>
  <c r="F122" s="1"/>
  <c r="G122" s="1"/>
  <c r="H122" s="1"/>
  <c r="I122" s="1"/>
  <c r="J122" s="1"/>
  <c r="K122" s="1"/>
  <c r="L122" s="1"/>
  <c r="M122" s="1"/>
  <c r="H35"/>
  <c r="AB35" s="1"/>
  <c r="B104"/>
  <c r="D97"/>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s="1"/>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c r="J25"/>
  <c r="AC25" s="1"/>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J23"/>
  <c r="AC23" s="1"/>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D8" s="1"/>
  <c r="E7"/>
  <c r="G7"/>
  <c r="K5" i="3"/>
  <c r="J5"/>
  <c r="BE10"/>
  <c r="BB585"/>
  <c r="BC585"/>
  <c r="BD585"/>
  <c r="BE585"/>
  <c r="BF585"/>
  <c r="BG585"/>
  <c r="BH585"/>
  <c r="BI585"/>
  <c r="BJ585"/>
  <c r="BK585"/>
  <c r="BM585"/>
  <c r="BN585"/>
  <c r="BO585"/>
  <c r="BP585"/>
  <c r="BQ585"/>
  <c r="BR585"/>
  <c r="BS585"/>
  <c r="BL585" s="1"/>
  <c r="AZ585" s="1"/>
  <c r="BT585"/>
  <c r="BB586"/>
  <c r="BC586"/>
  <c r="BD586"/>
  <c r="BE586"/>
  <c r="BF586"/>
  <c r="BG586"/>
  <c r="BH586"/>
  <c r="BI586"/>
  <c r="BJ586"/>
  <c r="BK586"/>
  <c r="BM586"/>
  <c r="BL586" s="1"/>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4"/>
  <c r="AC44" s="1"/>
  <c r="F36"/>
  <c r="S36" s="1"/>
  <c r="H36"/>
  <c r="AB36" s="1"/>
  <c r="J35"/>
  <c r="AC35" s="1"/>
  <c r="F35"/>
  <c r="AA35" s="1"/>
  <c r="J36"/>
  <c r="AC36" s="1"/>
  <c r="W40"/>
  <c r="W25" i="37"/>
  <c r="U30"/>
  <c r="W31"/>
  <c r="E103"/>
  <c r="F103" s="1"/>
  <c r="G103" s="1"/>
  <c r="H103" s="1"/>
  <c r="I103" s="1"/>
  <c r="J103" s="1"/>
  <c r="K103" s="1"/>
  <c r="L103" s="1"/>
  <c r="M103" s="1"/>
  <c r="F39"/>
  <c r="S39" s="1"/>
  <c r="U14"/>
  <c r="F29" i="36"/>
  <c r="AA29" s="1"/>
  <c r="W8"/>
  <c r="F16"/>
  <c r="AA16" s="1"/>
  <c r="U9"/>
  <c r="W28"/>
  <c r="S30"/>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U40"/>
  <c r="F42" i="39"/>
  <c r="AA42" s="1"/>
  <c r="F41"/>
  <c r="S41" s="1"/>
  <c r="H40"/>
  <c r="AB40" s="1"/>
  <c r="H39"/>
  <c r="U39" s="1"/>
  <c r="S38"/>
  <c r="H34"/>
  <c r="U34" s="1"/>
  <c r="E109"/>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S40" i="21"/>
  <c r="U34"/>
  <c r="S34"/>
  <c r="C25" i="39"/>
  <c r="C27"/>
  <c r="C21"/>
  <c r="S40"/>
  <c r="C15"/>
  <c r="H32" i="33"/>
  <c r="AB32" s="1"/>
  <c r="H37" i="40"/>
  <c r="U37" s="1"/>
  <c r="H36"/>
  <c r="AB36" s="1"/>
  <c r="F35"/>
  <c r="AA35" s="1"/>
  <c r="H23"/>
  <c r="AB23" s="1"/>
  <c r="H17"/>
  <c r="U17" s="1"/>
  <c r="J15"/>
  <c r="W15" s="1"/>
  <c r="J11"/>
  <c r="W11" s="1"/>
  <c r="AB12" i="33"/>
  <c r="AC12" i="34"/>
  <c r="AA12"/>
  <c r="AB12" i="35"/>
  <c r="AB12" i="36"/>
  <c r="W32" i="40"/>
  <c r="F37" i="39"/>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AA13" i="35"/>
  <c r="U31" i="34"/>
  <c r="U46" i="33"/>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BA585"/>
  <c r="F17" i="21"/>
  <c r="AA17" s="1"/>
  <c r="H17"/>
  <c r="AB17" s="1"/>
  <c r="F15"/>
  <c r="S15" s="1"/>
  <c r="J41" i="39"/>
  <c r="W41" s="1"/>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AZ552" s="1"/>
  <c r="BA548"/>
  <c r="BA546"/>
  <c r="BA544"/>
  <c r="AZ544" s="1"/>
  <c r="BA542"/>
  <c r="AZ542" s="1"/>
  <c r="BA540"/>
  <c r="AZ540" s="1"/>
  <c r="BA538"/>
  <c r="AZ538" s="1"/>
  <c r="BA536"/>
  <c r="AZ536" s="1"/>
  <c r="BA534"/>
  <c r="AZ534" s="1"/>
  <c r="BA532"/>
  <c r="AZ532" s="1"/>
  <c r="BA530"/>
  <c r="BA528"/>
  <c r="AZ528"/>
  <c r="BA526"/>
  <c r="AZ526"/>
  <c r="BA524"/>
  <c r="AZ524" s="1"/>
  <c r="BA522"/>
  <c r="BA520"/>
  <c r="BA518"/>
  <c r="AZ518" s="1"/>
  <c r="BA516"/>
  <c r="AZ516" s="1"/>
  <c r="BA514"/>
  <c r="BA512"/>
  <c r="AZ512"/>
  <c r="BA510"/>
  <c r="AZ510"/>
  <c r="BA508"/>
  <c r="BA506"/>
  <c r="BA504"/>
  <c r="AZ504"/>
  <c r="BA502"/>
  <c r="BA500"/>
  <c r="BA498"/>
  <c r="AZ498"/>
  <c r="BA496"/>
  <c r="BA494"/>
  <c r="BA587"/>
  <c r="AZ587"/>
  <c r="BA583"/>
  <c r="BA581"/>
  <c r="AZ581" s="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s="1"/>
  <c r="AC557"/>
  <c r="G557"/>
  <c r="BQ557"/>
  <c r="BL557"/>
  <c r="BQ583"/>
  <c r="BL583" s="1"/>
  <c r="AZ583" s="1"/>
  <c r="BQ581"/>
  <c r="BL581"/>
  <c r="BQ579"/>
  <c r="BL579"/>
  <c r="AZ579" s="1"/>
  <c r="BQ577"/>
  <c r="BL577" s="1"/>
  <c r="AZ577" s="1"/>
  <c r="BQ575"/>
  <c r="BL575"/>
  <c r="AZ575" s="1"/>
  <c r="BQ573"/>
  <c r="BL573" s="1"/>
  <c r="AZ573" s="1"/>
  <c r="BQ571"/>
  <c r="BL571"/>
  <c r="AZ571" s="1"/>
  <c r="BQ569"/>
  <c r="BL569" s="1"/>
  <c r="AZ569" s="1"/>
  <c r="BQ567"/>
  <c r="BL567"/>
  <c r="AZ567" s="1"/>
  <c r="BQ565"/>
  <c r="BL565" s="1"/>
  <c r="AZ565" s="1"/>
  <c r="BQ563"/>
  <c r="BL563"/>
  <c r="BQ561"/>
  <c r="BL561"/>
  <c r="AZ561" s="1"/>
  <c r="BQ559"/>
  <c r="BL559" s="1"/>
  <c r="AZ559" s="1"/>
  <c r="G559"/>
  <c r="G555"/>
  <c r="G553"/>
  <c r="G549"/>
  <c r="G547"/>
  <c r="G545"/>
  <c r="G543"/>
  <c r="G541"/>
  <c r="G539"/>
  <c r="G537"/>
  <c r="BQ555"/>
  <c r="BL555"/>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Z521" s="1"/>
  <c r="AC521"/>
  <c r="G521"/>
  <c r="BQ521"/>
  <c r="BL521"/>
  <c r="BL520"/>
  <c r="AZ520" s="1"/>
  <c r="G519"/>
  <c r="G517"/>
  <c r="G515"/>
  <c r="G513"/>
  <c r="G511"/>
  <c r="BQ519"/>
  <c r="BL519"/>
  <c r="AZ519" s="1"/>
  <c r="BQ517"/>
  <c r="BL517" s="1"/>
  <c r="AZ517" s="1"/>
  <c r="BQ515"/>
  <c r="BL515"/>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c r="BQ499"/>
  <c r="BL499"/>
  <c r="BQ497"/>
  <c r="BL497"/>
  <c r="BQ495"/>
  <c r="BL495"/>
  <c r="AZ495" s="1"/>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AB44" i="39"/>
  <c r="U44"/>
  <c r="G101"/>
  <c r="H37"/>
  <c r="AB37" s="1"/>
  <c r="AC37"/>
  <c r="W37"/>
  <c r="H25"/>
  <c r="AB25" s="1"/>
  <c r="J25"/>
  <c r="F25"/>
  <c r="AA25" s="1"/>
  <c r="F15"/>
  <c r="AA15" s="1"/>
  <c r="H15"/>
  <c r="U15" s="1"/>
  <c r="J15"/>
  <c r="W15" s="1"/>
  <c r="H41"/>
  <c r="W27"/>
  <c r="S42"/>
  <c r="W14"/>
  <c r="AA41"/>
  <c r="W9"/>
  <c r="W8"/>
  <c r="J19" i="40"/>
  <c r="AC19" s="1"/>
  <c r="J50"/>
  <c r="B54" i="72"/>
  <c r="H103" i="9"/>
  <c r="D8" i="53" s="1"/>
  <c r="B16"/>
  <c r="B33" i="72" s="1"/>
  <c r="C7" i="37"/>
  <c r="C7" i="34"/>
  <c r="C7" i="36"/>
  <c r="W35" i="40"/>
  <c r="A118" i="9"/>
  <c r="A4" i="52"/>
  <c r="B41" i="72" s="1"/>
  <c r="A12" i="52"/>
  <c r="B56" i="72" s="1"/>
  <c r="G4" i="4"/>
  <c r="I4"/>
  <c r="K5"/>
  <c r="B47" i="48" s="1"/>
  <c r="A2" i="9"/>
  <c r="N2" i="43"/>
  <c r="F59" s="1"/>
  <c r="AZ24" i="3"/>
  <c r="AZ28"/>
  <c r="AZ32"/>
  <c r="AZ497"/>
  <c r="BL549"/>
  <c r="AZ494"/>
  <c r="AZ502"/>
  <c r="AZ514"/>
  <c r="AZ522"/>
  <c r="AZ530"/>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AZ362" s="1"/>
  <c r="G370"/>
  <c r="BL371"/>
  <c r="G372"/>
  <c r="BL373"/>
  <c r="BA375"/>
  <c r="AZ375" s="1"/>
  <c r="BA376"/>
  <c r="BL376"/>
  <c r="G377"/>
  <c r="BA378"/>
  <c r="AZ378"/>
  <c r="BL378"/>
  <c r="G379"/>
  <c r="BA380"/>
  <c r="G388"/>
  <c r="BL389"/>
  <c r="G390"/>
  <c r="BL391"/>
  <c r="BA393"/>
  <c r="AZ393" s="1"/>
  <c r="BA394"/>
  <c r="BL394"/>
  <c r="G113"/>
  <c r="BA115"/>
  <c r="AZ115"/>
  <c r="BL116"/>
  <c r="AZ116"/>
  <c r="G117"/>
  <c r="BA119"/>
  <c r="AZ119" s="1"/>
  <c r="BL120"/>
  <c r="G121"/>
  <c r="BA123"/>
  <c r="AZ123" s="1"/>
  <c r="BL124"/>
  <c r="AZ124" s="1"/>
  <c r="G125"/>
  <c r="BA127"/>
  <c r="AZ127"/>
  <c r="BL128"/>
  <c r="G129"/>
  <c r="BA131"/>
  <c r="AZ131"/>
  <c r="BL132"/>
  <c r="AZ132"/>
  <c r="G133"/>
  <c r="BA135"/>
  <c r="AZ135" s="1"/>
  <c r="BL136"/>
  <c r="G137"/>
  <c r="BA139"/>
  <c r="AZ139" s="1"/>
  <c r="BL140"/>
  <c r="AZ140" s="1"/>
  <c r="G141"/>
  <c r="BA143"/>
  <c r="AZ143"/>
  <c r="BL144"/>
  <c r="G145"/>
  <c r="BA147"/>
  <c r="AZ147"/>
  <c r="BL148"/>
  <c r="AZ148"/>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c r="BL176"/>
  <c r="G177"/>
  <c r="BA179"/>
  <c r="AZ179"/>
  <c r="BL180"/>
  <c r="AZ180"/>
  <c r="G181"/>
  <c r="BA183"/>
  <c r="AZ183" s="1"/>
  <c r="BL184"/>
  <c r="G185"/>
  <c r="BA187"/>
  <c r="AZ187" s="1"/>
  <c r="BL188"/>
  <c r="AZ188" s="1"/>
  <c r="G189"/>
  <c r="BA191"/>
  <c r="AZ191"/>
  <c r="BL192"/>
  <c r="G193"/>
  <c r="BA195"/>
  <c r="AZ195"/>
  <c r="BL196"/>
  <c r="AZ196"/>
  <c r="G197"/>
  <c r="BA199"/>
  <c r="AZ199" s="1"/>
  <c r="BL200"/>
  <c r="G201"/>
  <c r="BA203"/>
  <c r="AZ203" s="1"/>
  <c r="BL204"/>
  <c r="AZ204" s="1"/>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s="1"/>
  <c r="BA305"/>
  <c r="AZ305" s="1"/>
  <c r="BL305"/>
  <c r="G306"/>
  <c r="G309"/>
  <c r="BL310"/>
  <c r="BA312"/>
  <c r="AZ312"/>
  <c r="BA313"/>
  <c r="BL313"/>
  <c r="AZ313" s="1"/>
  <c r="G314"/>
  <c r="G317"/>
  <c r="BL318"/>
  <c r="BA320"/>
  <c r="AZ320" s="1"/>
  <c r="BA321"/>
  <c r="AZ321" s="1"/>
  <c r="BL321"/>
  <c r="G322"/>
  <c r="G325"/>
  <c r="BL326"/>
  <c r="BA328"/>
  <c r="AZ328"/>
  <c r="BA329"/>
  <c r="BL329"/>
  <c r="AZ329" s="1"/>
  <c r="G330"/>
  <c r="G333"/>
  <c r="BL334"/>
  <c r="BA336"/>
  <c r="AZ336" s="1"/>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c r="BA364"/>
  <c r="BL364"/>
  <c r="G365"/>
  <c r="G368"/>
  <c r="BL369"/>
  <c r="BA371"/>
  <c r="AZ371" s="1"/>
  <c r="BA372"/>
  <c r="AZ372" s="1"/>
  <c r="BL372"/>
  <c r="G373"/>
  <c r="G376"/>
  <c r="BL377"/>
  <c r="BL379"/>
  <c r="BA381"/>
  <c r="AZ381"/>
  <c r="BA382"/>
  <c r="BL382"/>
  <c r="G383"/>
  <c r="G386"/>
  <c r="BL387"/>
  <c r="BA389"/>
  <c r="AZ389" s="1"/>
  <c r="BA390"/>
  <c r="BL390"/>
  <c r="G391"/>
  <c r="G394"/>
  <c r="AZ138"/>
  <c r="AZ142"/>
  <c r="AZ146"/>
  <c r="AZ150"/>
  <c r="AZ154"/>
  <c r="AZ158"/>
  <c r="AZ162"/>
  <c r="AZ166"/>
  <c r="AZ170"/>
  <c r="AZ174"/>
  <c r="AZ178"/>
  <c r="AZ182"/>
  <c r="AZ186"/>
  <c r="AZ190"/>
  <c r="AZ194"/>
  <c r="AZ198"/>
  <c r="AZ202"/>
  <c r="AZ206"/>
  <c r="AZ500"/>
  <c r="BA16"/>
  <c r="BL303"/>
  <c r="G304"/>
  <c r="BA306"/>
  <c r="AZ306"/>
  <c r="BL307"/>
  <c r="AZ307"/>
  <c r="G308"/>
  <c r="BA310"/>
  <c r="AZ310" s="1"/>
  <c r="BL311"/>
  <c r="AZ311" s="1"/>
  <c r="G312"/>
  <c r="BA314"/>
  <c r="AZ314" s="1"/>
  <c r="BL315"/>
  <c r="AZ315" s="1"/>
  <c r="G316"/>
  <c r="BA318"/>
  <c r="AZ318"/>
  <c r="BL319"/>
  <c r="G320"/>
  <c r="BA322"/>
  <c r="AZ322"/>
  <c r="BL323"/>
  <c r="AZ323"/>
  <c r="G324"/>
  <c r="BA326"/>
  <c r="AZ326" s="1"/>
  <c r="BL327"/>
  <c r="AZ327" s="1"/>
  <c r="G328"/>
  <c r="BA330"/>
  <c r="AZ330" s="1"/>
  <c r="BL331"/>
  <c r="AZ331" s="1"/>
  <c r="G332"/>
  <c r="BA334"/>
  <c r="AZ334"/>
  <c r="BL335"/>
  <c r="G336"/>
  <c r="BA338"/>
  <c r="AZ338"/>
  <c r="BL339"/>
  <c r="AZ339"/>
  <c r="G340"/>
  <c r="BL343"/>
  <c r="G344"/>
  <c r="G348"/>
  <c r="G355"/>
  <c r="AZ209"/>
  <c r="AZ214"/>
  <c r="AZ218"/>
  <c r="AZ222"/>
  <c r="AZ303"/>
  <c r="AZ319"/>
  <c r="AZ335"/>
  <c r="G342"/>
  <c r="BL345"/>
  <c r="AZ345" s="1"/>
  <c r="G346"/>
  <c r="AZ348"/>
  <c r="BL349"/>
  <c r="AZ349"/>
  <c r="BL352"/>
  <c r="G353"/>
  <c r="BA357"/>
  <c r="AZ357"/>
  <c r="BL358"/>
  <c r="AZ358"/>
  <c r="G359"/>
  <c r="BA361"/>
  <c r="AZ361" s="1"/>
  <c r="BL362"/>
  <c r="G363"/>
  <c r="BA365"/>
  <c r="AZ365" s="1"/>
  <c r="BL366"/>
  <c r="AZ366" s="1"/>
  <c r="G367"/>
  <c r="BA369"/>
  <c r="AZ369"/>
  <c r="BL370"/>
  <c r="G371"/>
  <c r="BA373"/>
  <c r="AZ373"/>
  <c r="BL374"/>
  <c r="AZ374"/>
  <c r="G375"/>
  <c r="BA377"/>
  <c r="AZ377" s="1"/>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M5"/>
  <c r="BJ5"/>
  <c r="BH5"/>
  <c r="BF5"/>
  <c r="BD5"/>
  <c r="AZ309"/>
  <c r="AZ317"/>
  <c r="AZ325"/>
  <c r="AZ333"/>
  <c r="AZ341"/>
  <c r="BQ5"/>
  <c r="AC5"/>
  <c r="AZ549"/>
  <c r="AZ506"/>
  <c r="AZ496"/>
  <c r="G548"/>
  <c r="G538"/>
  <c r="G520"/>
  <c r="G502"/>
  <c r="BP5"/>
  <c r="BN5"/>
  <c r="AZ343"/>
  <c r="BI5"/>
  <c r="BE5"/>
  <c r="G17"/>
  <c r="BA17"/>
  <c r="BT5"/>
  <c r="AZ350"/>
  <c r="AZ352"/>
  <c r="AZ356"/>
  <c r="AZ360"/>
  <c r="AZ364"/>
  <c r="AZ368"/>
  <c r="BA15"/>
  <c r="BB5"/>
  <c r="BR5"/>
  <c r="AZ380"/>
  <c r="AZ384"/>
  <c r="AZ388"/>
  <c r="AZ392"/>
  <c r="AZ396"/>
  <c r="AZ394"/>
  <c r="AZ499"/>
  <c r="AZ509"/>
  <c r="G509"/>
  <c r="BL493"/>
  <c r="AZ491"/>
  <c r="AZ376"/>
  <c r="AZ390"/>
  <c r="AZ382"/>
  <c r="AZ493"/>
  <c r="U36" i="40"/>
  <c r="N4" i="43"/>
  <c r="F36"/>
  <c r="F81"/>
  <c r="H83" s="1"/>
  <c r="H113"/>
  <c r="F48"/>
  <c r="H52" s="1"/>
  <c r="N7"/>
  <c r="F70"/>
  <c r="H73" s="1"/>
  <c r="M6"/>
  <c r="M11"/>
  <c r="E17"/>
  <c r="F39"/>
  <c r="I17"/>
  <c r="F35"/>
  <c r="J17"/>
  <c r="F6" i="1"/>
  <c r="S14" i="35"/>
  <c r="U43" i="21"/>
  <c r="U35"/>
  <c r="AC35"/>
  <c r="G10" i="1"/>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c r="H111" s="1"/>
  <c r="I111" s="1"/>
  <c r="J111" s="1"/>
  <c r="K111" s="1"/>
  <c r="L111" s="1"/>
  <c r="M111" s="1"/>
  <c r="H35"/>
  <c r="AB35" s="1"/>
  <c r="AC29" i="35"/>
  <c r="W29"/>
  <c r="H35" i="37"/>
  <c r="U35" s="1"/>
  <c r="AC14" i="35"/>
  <c r="H20"/>
  <c r="U20" s="1"/>
  <c r="F20"/>
  <c r="AA20" s="1"/>
  <c r="AB23"/>
  <c r="AB29" i="36"/>
  <c r="U29"/>
  <c r="H32" i="37"/>
  <c r="AB32" s="1"/>
  <c r="F96"/>
  <c r="H27" i="40"/>
  <c r="U27" s="1"/>
  <c r="J27"/>
  <c r="AC27" s="1"/>
  <c r="F27"/>
  <c r="S27" s="1"/>
  <c r="J30"/>
  <c r="AC30" s="1"/>
  <c r="F30"/>
  <c r="AA30" s="1"/>
  <c r="AC21"/>
  <c r="S11"/>
  <c r="E98"/>
  <c r="F98" s="1"/>
  <c r="G98" s="1"/>
  <c r="H98" s="1"/>
  <c r="I98" s="1"/>
  <c r="J98" s="1"/>
  <c r="K98" s="1"/>
  <c r="L98" s="1"/>
  <c r="M98" s="1"/>
  <c r="F10" i="33"/>
  <c r="S10" s="1"/>
  <c r="F34"/>
  <c r="S34" s="1"/>
  <c r="H34"/>
  <c r="U34" s="1"/>
  <c r="F35"/>
  <c r="S35" s="1"/>
  <c r="F39" i="34"/>
  <c r="S39" s="1"/>
  <c r="J39"/>
  <c r="W39" s="1"/>
  <c r="F40"/>
  <c r="S40" s="1"/>
  <c r="F43"/>
  <c r="AA43" s="1"/>
  <c r="H44"/>
  <c r="AB44" s="1"/>
  <c r="F39" i="39"/>
  <c r="S39" s="1"/>
  <c r="J39"/>
  <c r="AC39" s="1"/>
  <c r="E97"/>
  <c r="F97" s="1"/>
  <c r="G97" s="1"/>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5" i="43"/>
  <c r="H74"/>
  <c r="H50"/>
  <c r="H49"/>
  <c r="H48"/>
  <c r="I20"/>
  <c r="F23" i="39"/>
  <c r="AA23" s="1"/>
  <c r="H27" i="36"/>
  <c r="U27" s="1"/>
  <c r="F27"/>
  <c r="AA27" s="1"/>
  <c r="H33" i="34"/>
  <c r="U33" s="1"/>
  <c r="F32" i="37"/>
  <c r="AA32" s="1"/>
  <c r="G96"/>
  <c r="H96"/>
  <c r="I96" s="1"/>
  <c r="J96" s="1"/>
  <c r="K96" s="1"/>
  <c r="L96" s="1"/>
  <c r="M96" s="1"/>
  <c r="F20" i="36"/>
  <c r="AA20" s="1"/>
  <c r="J33" i="34"/>
  <c r="AC33" s="1"/>
  <c r="H23" i="39"/>
  <c r="U23" s="1"/>
  <c r="D48" i="9"/>
  <c r="M52" s="1"/>
  <c r="H86" i="43"/>
  <c r="H82"/>
  <c r="H87"/>
  <c r="AE9" i="1"/>
  <c r="M29" i="80"/>
  <c r="F43"/>
  <c r="L48"/>
  <c r="L47"/>
  <c r="F7"/>
  <c r="C10" l="1"/>
  <c r="M59"/>
  <c r="L59" s="1"/>
  <c r="N59"/>
  <c r="L57"/>
  <c r="J59"/>
  <c r="J60"/>
  <c r="Q48" s="1"/>
  <c r="J57"/>
  <c r="J55" s="1"/>
  <c r="J58" s="1"/>
  <c r="Q50" s="1"/>
  <c r="L58"/>
  <c r="L56"/>
  <c r="I54"/>
  <c r="L60"/>
  <c r="J53"/>
  <c r="I4" i="6"/>
  <c r="BL16" i="3"/>
  <c r="BL18"/>
  <c r="F71" i="80"/>
  <c r="C6"/>
  <c r="C5" s="1"/>
  <c r="M7"/>
  <c r="F50"/>
  <c r="C49" s="1"/>
  <c r="C48" s="1"/>
  <c r="AZ16" i="3"/>
  <c r="M10" i="1"/>
  <c r="S44" i="39"/>
  <c r="W43"/>
  <c r="AC43"/>
  <c r="AB45"/>
  <c r="U45"/>
  <c r="J45"/>
  <c r="U17"/>
  <c r="H31"/>
  <c r="AB31" s="1"/>
  <c r="F31"/>
  <c r="AA31" s="1"/>
  <c r="E8" i="6"/>
  <c r="F27" s="1"/>
  <c r="BO5" i="3"/>
  <c r="F29" i="6" s="1"/>
  <c r="BS5" i="3"/>
  <c r="BG5"/>
  <c r="BK5"/>
  <c r="G14"/>
  <c r="BC5"/>
  <c r="E15" i="6" s="1"/>
  <c r="E60" i="40" s="1"/>
  <c r="K9" i="1"/>
  <c r="M9" s="1"/>
  <c r="O9" s="1"/>
  <c r="P9" s="1"/>
  <c r="M8"/>
  <c r="O8" s="1"/>
  <c r="P8" s="1"/>
  <c r="G3" i="43"/>
  <c r="F22" s="1"/>
  <c r="C11" i="21"/>
  <c r="C11" i="79"/>
  <c r="C11" i="39"/>
  <c r="U10" i="21"/>
  <c r="U40" i="39"/>
  <c r="J23"/>
  <c r="S34"/>
  <c r="AB34"/>
  <c r="U9"/>
  <c r="F9" i="1"/>
  <c r="G9" s="1"/>
  <c r="AC38" i="39"/>
  <c r="AB8"/>
  <c r="F3" i="35"/>
  <c r="BL20" i="3"/>
  <c r="AZ20" s="1"/>
  <c r="G28" i="6"/>
  <c r="BA18" i="3"/>
  <c r="AZ18" s="1"/>
  <c r="BL15"/>
  <c r="AZ15" s="1"/>
  <c r="D93" i="9"/>
  <c r="E12" i="6"/>
  <c r="E62" i="39" s="1"/>
  <c r="K6" i="1"/>
  <c r="G29" i="6"/>
  <c r="AC26" i="33"/>
  <c r="W26"/>
  <c r="W27" i="34"/>
  <c r="AC27"/>
  <c r="AB34" i="36"/>
  <c r="U34"/>
  <c r="AB33"/>
  <c r="U33"/>
  <c r="AC12" i="39"/>
  <c r="W12"/>
  <c r="AC39" i="40"/>
  <c r="W39"/>
  <c r="AZ401" i="3"/>
  <c r="AZ412"/>
  <c r="AZ417"/>
  <c r="AZ428"/>
  <c r="AZ433"/>
  <c r="AZ465"/>
  <c r="AZ58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B10"/>
  <c r="E10" s="1"/>
  <c r="D1" i="66"/>
  <c r="E10" s="1"/>
  <c r="AZ80" i="3"/>
  <c r="AZ84"/>
  <c r="AZ88"/>
  <c r="AZ107"/>
  <c r="AZ111"/>
  <c r="K12" i="1"/>
  <c r="M12" s="1"/>
  <c r="O12" s="1"/>
  <c r="P12" s="1"/>
  <c r="S13"/>
  <c r="AR13" s="1"/>
  <c r="R13"/>
  <c r="S11"/>
  <c r="AQ11" s="1"/>
  <c r="R11"/>
  <c r="J51" i="67"/>
  <c r="C42" i="1"/>
  <c r="H100" i="43"/>
  <c r="C30" i="66"/>
  <c r="E26" s="1"/>
  <c r="AC34" i="33"/>
  <c r="AA34"/>
  <c r="B41" i="1"/>
  <c r="F53" i="9" s="1"/>
  <c r="S22" i="31"/>
  <c r="J100" i="43"/>
  <c r="AB37" i="40"/>
  <c r="S35"/>
  <c r="U35"/>
  <c r="AC36"/>
  <c r="W38"/>
  <c r="AA32"/>
  <c r="S17"/>
  <c r="S23"/>
  <c r="AC17"/>
  <c r="AC15"/>
  <c r="AB27"/>
  <c r="S30"/>
  <c r="AA19"/>
  <c r="S28"/>
  <c r="AA27"/>
  <c r="U21"/>
  <c r="AB19"/>
  <c r="W42" i="39"/>
  <c r="U37"/>
  <c r="W39"/>
  <c r="S43"/>
  <c r="S37"/>
  <c r="U35"/>
  <c r="F32"/>
  <c r="F107"/>
  <c r="G107" s="1"/>
  <c r="U25"/>
  <c r="AB27"/>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A14"/>
  <c r="AB8"/>
  <c r="S8"/>
  <c r="M3" i="43"/>
  <c r="N10"/>
  <c r="M1"/>
  <c r="M8"/>
  <c r="N8"/>
  <c r="N9"/>
  <c r="D120" i="9"/>
  <c r="C18"/>
  <c r="D18" s="1"/>
  <c r="F34" i="67"/>
  <c r="F62" s="1"/>
  <c r="M20"/>
  <c r="F34" i="15"/>
  <c r="F62" s="1"/>
  <c r="G13" i="3"/>
  <c r="G5" s="1"/>
  <c r="B3" s="1"/>
  <c r="BA13"/>
  <c r="E10" i="6"/>
  <c r="E11"/>
  <c r="E61" i="39" s="1"/>
  <c r="BL17" i="3"/>
  <c r="AZ17" s="1"/>
  <c r="BL13"/>
  <c r="J56" i="9"/>
  <c r="J57" s="1"/>
  <c r="A24" i="51"/>
  <c r="B18" i="72" s="1"/>
  <c r="U29" i="34"/>
  <c r="E14" i="6"/>
  <c r="E64" i="39" s="1"/>
  <c r="E5" i="6"/>
  <c r="D9" i="11" s="1"/>
  <c r="C9" s="1"/>
  <c r="H22" i="43"/>
  <c r="L101"/>
  <c r="L109" s="1"/>
  <c r="H101"/>
  <c r="M101"/>
  <c r="M109" s="1"/>
  <c r="I101"/>
  <c r="I109" s="1"/>
  <c r="E101"/>
  <c r="E32" i="6"/>
  <c r="G1" i="68"/>
  <c r="K1" i="12"/>
  <c r="T12" i="1"/>
  <c r="E19" i="69"/>
  <c r="E19" i="68"/>
  <c r="E19" i="11"/>
  <c r="E1" i="73"/>
  <c r="K1" s="1"/>
  <c r="G41" i="69"/>
  <c r="G22"/>
  <c r="G41" i="68"/>
  <c r="G22"/>
  <c r="G27" i="12"/>
  <c r="G26"/>
  <c r="G41" i="11"/>
  <c r="G22"/>
  <c r="G25" i="12"/>
  <c r="C100" i="43"/>
  <c r="E11"/>
  <c r="E10"/>
  <c r="E9"/>
  <c r="E8"/>
  <c r="C7" s="1"/>
  <c r="E81"/>
  <c r="B79" s="1"/>
  <c r="AJ11"/>
  <c r="AJ13" s="1"/>
  <c r="AH11"/>
  <c r="AH13" s="1"/>
  <c r="AF11"/>
  <c r="AF13" s="1"/>
  <c r="AB11"/>
  <c r="AB13" s="1"/>
  <c r="Z11"/>
  <c r="Z13" s="1"/>
  <c r="Z7"/>
  <c r="AI11"/>
  <c r="AI13" s="1"/>
  <c r="AG11"/>
  <c r="AG13" s="1"/>
  <c r="AE11"/>
  <c r="AE13" s="1"/>
  <c r="AA11"/>
  <c r="AA13" s="1"/>
  <c r="Y11"/>
  <c r="Y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48" i="35"/>
  <c r="D48" s="1"/>
  <c r="C58" i="21"/>
  <c r="D58" s="1"/>
  <c r="C94" i="9"/>
  <c r="C92"/>
  <c r="H62" i="43"/>
  <c r="H66"/>
  <c r="H61"/>
  <c r="H65"/>
  <c r="H60"/>
  <c r="H64"/>
  <c r="H59"/>
  <c r="H63"/>
  <c r="H67"/>
  <c r="H55"/>
  <c r="H51"/>
  <c r="H56"/>
  <c r="H76"/>
  <c r="H72"/>
  <c r="H77"/>
  <c r="E56"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9" i="15"/>
  <c r="F37"/>
  <c r="F42"/>
  <c r="F13"/>
  <c r="L47" i="67"/>
  <c r="J15"/>
  <c r="F9"/>
  <c r="L47" i="15"/>
  <c r="M9" i="67"/>
  <c r="C76" i="15"/>
  <c r="M28"/>
  <c r="F38" i="67"/>
  <c r="F7"/>
  <c r="F8"/>
  <c r="M29" i="15"/>
  <c r="M6"/>
  <c r="F43"/>
  <c r="M8" i="67"/>
  <c r="M29"/>
  <c r="F36" i="15"/>
  <c r="F16" i="67"/>
  <c r="F6" i="15"/>
  <c r="F26"/>
  <c r="L48"/>
  <c r="M23" i="67"/>
  <c r="M8" i="15"/>
  <c r="C16" i="80"/>
  <c r="M6" i="67"/>
  <c r="F37"/>
  <c r="F36"/>
  <c r="C76"/>
  <c r="F7" i="15"/>
  <c r="F42" i="67"/>
  <c r="M24"/>
  <c r="J15" i="15"/>
  <c r="F38"/>
  <c r="G1" i="73"/>
  <c r="F16" i="15"/>
  <c r="F6" i="67"/>
  <c r="F40"/>
  <c r="M22"/>
  <c r="L48"/>
  <c r="M9" i="15"/>
  <c r="F43" i="67"/>
  <c r="M23" i="15"/>
  <c r="F8"/>
  <c r="M28" i="67"/>
  <c r="F40" i="15"/>
  <c r="M26"/>
  <c r="F13" i="67"/>
  <c r="M26"/>
  <c r="M22" i="15"/>
  <c r="F26" i="67"/>
  <c r="M24" i="15"/>
  <c r="Q61" i="80" l="1"/>
  <c r="Q74"/>
  <c r="L46"/>
  <c r="Q66"/>
  <c r="Q57"/>
  <c r="F1"/>
  <c r="Q52"/>
  <c r="Q73"/>
  <c r="Q60"/>
  <c r="E28" i="6"/>
  <c r="C60" i="80"/>
  <c r="C66"/>
  <c r="J6"/>
  <c r="J10"/>
  <c r="O10" i="1"/>
  <c r="C38" i="80"/>
  <c r="C32"/>
  <c r="AC11" i="43"/>
  <c r="AC13" s="1"/>
  <c r="S5"/>
  <c r="AD11"/>
  <c r="AD13" s="1"/>
  <c r="G22"/>
  <c r="D101"/>
  <c r="D109" s="1"/>
  <c r="P10" i="1"/>
  <c r="W45" i="39"/>
  <c r="AC45"/>
  <c r="U31"/>
  <c r="S31"/>
  <c r="AR12" i="1"/>
  <c r="E57" i="40"/>
  <c r="C101" i="43"/>
  <c r="C102" s="1"/>
  <c r="S2" s="1"/>
  <c r="F101"/>
  <c r="F103" s="1"/>
  <c r="F30" i="6"/>
  <c r="F31" s="1"/>
  <c r="N104" i="46"/>
  <c r="E22" i="43"/>
  <c r="B113"/>
  <c r="I117" s="1"/>
  <c r="J117" s="1"/>
  <c r="K117" s="1"/>
  <c r="L117" s="1"/>
  <c r="M117" s="1"/>
  <c r="J101"/>
  <c r="J109" s="1"/>
  <c r="G101"/>
  <c r="G103" s="1"/>
  <c r="N101"/>
  <c r="N109" s="1"/>
  <c r="K101"/>
  <c r="K106" s="1"/>
  <c r="E13" i="6"/>
  <c r="E58" i="40" s="1"/>
  <c r="C33" i="21"/>
  <c r="C33" i="79"/>
  <c r="J11" i="39"/>
  <c r="H11"/>
  <c r="F11"/>
  <c r="F11" i="21"/>
  <c r="J11"/>
  <c r="H11"/>
  <c r="J11" i="79"/>
  <c r="H11"/>
  <c r="F11"/>
  <c r="AC23" i="39"/>
  <c r="W23"/>
  <c r="C109" i="43"/>
  <c r="E65" i="39"/>
  <c r="BA5" i="3"/>
  <c r="E27" i="6" s="1"/>
  <c r="K20" s="1"/>
  <c r="E29"/>
  <c r="E56" i="40"/>
  <c r="J103" i="43"/>
  <c r="G30" i="6"/>
  <c r="G31" s="1"/>
  <c r="C4" i="4"/>
  <c r="K4" s="1"/>
  <c r="B46" i="48" s="1"/>
  <c r="B4" i="72" s="1"/>
  <c r="L58" i="67"/>
  <c r="L58" i="15"/>
  <c r="Q73" s="1"/>
  <c r="N59" i="67"/>
  <c r="L59" s="1"/>
  <c r="M59"/>
  <c r="M59" i="15"/>
  <c r="J53" i="67"/>
  <c r="I54"/>
  <c r="N59" i="15"/>
  <c r="I54"/>
  <c r="J53"/>
  <c r="L56" s="1"/>
  <c r="AQ13" i="1"/>
  <c r="AZ13" i="3"/>
  <c r="M6" i="1"/>
  <c r="O6" s="1"/>
  <c r="P6" s="1"/>
  <c r="F30" i="68"/>
  <c r="C30" s="1"/>
  <c r="F30" i="11"/>
  <c r="C48" s="1"/>
  <c r="F28" i="67"/>
  <c r="C28" s="1"/>
  <c r="F31" i="12"/>
  <c r="F52" i="9"/>
  <c r="M18" i="67"/>
  <c r="F32"/>
  <c r="F60" s="1"/>
  <c r="F30" i="69"/>
  <c r="C48" s="1"/>
  <c r="F32" i="15"/>
  <c r="F60" s="1"/>
  <c r="M18"/>
  <c r="F28"/>
  <c r="C28" s="1"/>
  <c r="T11" i="1"/>
  <c r="D9" i="69"/>
  <c r="C9" s="1"/>
  <c r="D19" i="12"/>
  <c r="C19" s="1"/>
  <c r="AR11" i="1"/>
  <c r="E59" i="40"/>
  <c r="D68" i="39"/>
  <c r="D70" s="1"/>
  <c r="P24" i="43"/>
  <c r="B66" i="40" s="1"/>
  <c r="K15"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S37"/>
  <c r="AA23"/>
  <c r="AB15"/>
  <c r="J23"/>
  <c r="F85"/>
  <c r="G85" s="1"/>
  <c r="H23"/>
  <c r="S13"/>
  <c r="D6" i="52"/>
  <c r="D121" i="9"/>
  <c r="D7" i="52" s="1"/>
  <c r="K120" i="9"/>
  <c r="S6" i="43"/>
  <c r="C23"/>
  <c r="C21" s="1"/>
  <c r="S4"/>
  <c r="S3"/>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14" i="1"/>
  <c r="M14" s="1"/>
  <c r="O14" s="1"/>
  <c r="P14" s="1"/>
  <c r="BL5" i="3"/>
  <c r="P21" i="43"/>
  <c r="M20"/>
  <c r="C19" s="1"/>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02" i="43"/>
  <c r="E104"/>
  <c r="E106"/>
  <c r="E107"/>
  <c r="E103"/>
  <c r="E105"/>
  <c r="M102"/>
  <c r="M104"/>
  <c r="M106"/>
  <c r="M107"/>
  <c r="M103"/>
  <c r="M105"/>
  <c r="H102"/>
  <c r="H107"/>
  <c r="H103"/>
  <c r="H106"/>
  <c r="H104"/>
  <c r="H105"/>
  <c r="E109"/>
  <c r="H109"/>
  <c r="I102"/>
  <c r="I104"/>
  <c r="I106"/>
  <c r="I107"/>
  <c r="I103"/>
  <c r="I105"/>
  <c r="D104"/>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R22" i="31"/>
  <c r="B21" s="1"/>
  <c r="B40" i="1"/>
  <c r="F24" i="80" s="1"/>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B73" i="72" s="1"/>
  <c r="C10" i="15"/>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i="67"/>
  <c r="AP7" i="1"/>
  <c r="C36" i="69" s="1"/>
  <c r="M7" i="1"/>
  <c r="O7" s="1"/>
  <c r="Q16"/>
  <c r="F27" i="69" s="1"/>
  <c r="H16" i="1"/>
  <c r="AB45" i="21"/>
  <c r="W32"/>
  <c r="AC32"/>
  <c r="AB9"/>
  <c r="U9"/>
  <c r="AA32"/>
  <c r="S32"/>
  <c r="W9"/>
  <c r="AC9"/>
  <c r="AB32"/>
  <c r="U32"/>
  <c r="AA10"/>
  <c r="S10"/>
  <c r="F59" i="67"/>
  <c r="F31"/>
  <c r="F59" i="15"/>
  <c r="M17"/>
  <c r="M17" i="67"/>
  <c r="F31" i="15"/>
  <c r="C16" i="67"/>
  <c r="C16" i="15"/>
  <c r="AE10" i="1"/>
  <c r="N106" i="43" l="1"/>
  <c r="C106"/>
  <c r="D102"/>
  <c r="D105"/>
  <c r="C107"/>
  <c r="D107"/>
  <c r="D103"/>
  <c r="N104"/>
  <c r="C103"/>
  <c r="D106"/>
  <c r="N103"/>
  <c r="D22"/>
  <c r="F109"/>
  <c r="F106"/>
  <c r="D115"/>
  <c r="E115" s="1"/>
  <c r="F115" s="1"/>
  <c r="G115" s="1"/>
  <c r="H115" s="1"/>
  <c r="D117"/>
  <c r="E117" s="1"/>
  <c r="F117" s="1"/>
  <c r="G117" s="1"/>
  <c r="H117" s="1"/>
  <c r="J5" i="80"/>
  <c r="K107" i="43"/>
  <c r="F102"/>
  <c r="G118"/>
  <c r="H118" s="1"/>
  <c r="C24" i="80"/>
  <c r="E63" i="39"/>
  <c r="K26" i="6"/>
  <c r="M26" s="1"/>
  <c r="I26" s="1"/>
  <c r="S26" s="1"/>
  <c r="K19"/>
  <c r="S6" i="1" s="1"/>
  <c r="T6" s="1"/>
  <c r="K24" i="6"/>
  <c r="M24" s="1"/>
  <c r="I24" s="1"/>
  <c r="S24" s="1"/>
  <c r="K23"/>
  <c r="K25"/>
  <c r="M25" s="1"/>
  <c r="I25" s="1"/>
  <c r="S25" s="1"/>
  <c r="K22"/>
  <c r="M22" s="1"/>
  <c r="I22" s="1"/>
  <c r="S22" s="1"/>
  <c r="K21"/>
  <c r="S8" i="1" s="1"/>
  <c r="C104" i="43"/>
  <c r="C105"/>
  <c r="K109"/>
  <c r="D118"/>
  <c r="E118" s="1"/>
  <c r="F118" s="1"/>
  <c r="F104"/>
  <c r="F107"/>
  <c r="F105"/>
  <c r="B115"/>
  <c r="C115" s="1"/>
  <c r="B118"/>
  <c r="C118" s="1"/>
  <c r="I116"/>
  <c r="J116" s="1"/>
  <c r="K116" s="1"/>
  <c r="L116" s="1"/>
  <c r="M116" s="1"/>
  <c r="D116"/>
  <c r="E116" s="1"/>
  <c r="F116" s="1"/>
  <c r="G116" s="1"/>
  <c r="H116" s="1"/>
  <c r="K104"/>
  <c r="I115"/>
  <c r="J115" s="1"/>
  <c r="K115" s="1"/>
  <c r="L115" s="1"/>
  <c r="M115" s="1"/>
  <c r="I118"/>
  <c r="J118" s="1"/>
  <c r="K118" s="1"/>
  <c r="L118" s="1"/>
  <c r="M118" s="1"/>
  <c r="B116"/>
  <c r="C116" s="1"/>
  <c r="B117"/>
  <c r="C117" s="1"/>
  <c r="K103"/>
  <c r="K102"/>
  <c r="K105"/>
  <c r="G105"/>
  <c r="G104"/>
  <c r="G107"/>
  <c r="G106"/>
  <c r="G109"/>
  <c r="G102"/>
  <c r="N102"/>
  <c r="N105"/>
  <c r="N107"/>
  <c r="J104"/>
  <c r="J105"/>
  <c r="J107"/>
  <c r="J106"/>
  <c r="J102"/>
  <c r="AB11" i="79"/>
  <c r="U11"/>
  <c r="U11" i="21"/>
  <c r="AB11"/>
  <c r="S11"/>
  <c r="AA11"/>
  <c r="AB11" i="39"/>
  <c r="U11"/>
  <c r="J33" i="79"/>
  <c r="H33"/>
  <c r="F33"/>
  <c r="AA11"/>
  <c r="S11"/>
  <c r="AC11"/>
  <c r="W11"/>
  <c r="W11" i="21"/>
  <c r="AC11"/>
  <c r="AA11" i="39"/>
  <c r="S11"/>
  <c r="W11"/>
  <c r="AC11"/>
  <c r="H33" i="21"/>
  <c r="J33"/>
  <c r="F33"/>
  <c r="C48" i="68"/>
  <c r="C30" i="69"/>
  <c r="M21" i="6"/>
  <c r="I21" s="1"/>
  <c r="S21" s="1"/>
  <c r="S7" i="1"/>
  <c r="E7" i="70" s="1"/>
  <c r="E30" i="6"/>
  <c r="L20"/>
  <c r="M20" s="1"/>
  <c r="I20" s="1"/>
  <c r="S20" s="1"/>
  <c r="L19"/>
  <c r="K16" i="1"/>
  <c r="E31" i="6"/>
  <c r="E66" i="39"/>
  <c r="E3" i="6"/>
  <c r="D3" i="34" s="1"/>
  <c r="B4" i="62"/>
  <c r="B71" i="72" s="1"/>
  <c r="L59" i="15"/>
  <c r="Q74" s="1"/>
  <c r="C30" i="11"/>
  <c r="E6" i="70"/>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F7" i="36"/>
  <c r="S7" s="1"/>
  <c r="H7" i="37"/>
  <c r="U7" s="1"/>
  <c r="J10" i="15"/>
  <c r="H6" i="3"/>
  <c r="AC6"/>
  <c r="C5" i="15"/>
  <c r="C32"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H10" i="39"/>
  <c r="J10"/>
  <c r="C49" i="15"/>
  <c r="Q60"/>
  <c r="M16" i="1"/>
  <c r="N16" s="1"/>
  <c r="Q60" i="67"/>
  <c r="Q73"/>
  <c r="F27" i="11"/>
  <c r="Q61" i="67"/>
  <c r="Q74"/>
  <c r="C49"/>
  <c r="F1"/>
  <c r="Q52"/>
  <c r="C17" i="15"/>
  <c r="J18" i="80" l="1"/>
  <c r="J26"/>
  <c r="J24"/>
  <c r="M23" i="6"/>
  <c r="I23" s="1"/>
  <c r="S23" s="1"/>
  <c r="S10" i="1"/>
  <c r="M18" i="9"/>
  <c r="B118" s="1"/>
  <c r="B14" i="74" s="1"/>
  <c r="B1" s="1"/>
  <c r="D37" i="11"/>
  <c r="D113" i="43"/>
  <c r="J22" s="1"/>
  <c r="D14" i="12"/>
  <c r="D17" s="1"/>
  <c r="C17" s="1"/>
  <c r="K27" i="6"/>
  <c r="S9" i="1"/>
  <c r="AR9" s="1"/>
  <c r="AQ6"/>
  <c r="AR6"/>
  <c r="T7"/>
  <c r="E8" i="70"/>
  <c r="AA33" i="21"/>
  <c r="S33"/>
  <c r="AB33"/>
  <c r="U33"/>
  <c r="U33" i="79"/>
  <c r="AB33"/>
  <c r="T48" s="1"/>
  <c r="G48" s="1"/>
  <c r="W33" i="21"/>
  <c r="AC33"/>
  <c r="AA33" i="79"/>
  <c r="R48" s="1"/>
  <c r="S33"/>
  <c r="W33"/>
  <c r="AC33"/>
  <c r="V48" s="1"/>
  <c r="I48" s="1"/>
  <c r="AQ8" i="1"/>
  <c r="AR8"/>
  <c r="T8"/>
  <c r="AR7"/>
  <c r="AQ7"/>
  <c r="D19" i="11"/>
  <c r="C19" s="1"/>
  <c r="C20" s="1"/>
  <c r="C25" s="1"/>
  <c r="D3" i="21"/>
  <c r="L27" i="6"/>
  <c r="M19"/>
  <c r="D3" i="37"/>
  <c r="L18" i="9"/>
  <c r="C17" i="4"/>
  <c r="B4" i="52" s="1"/>
  <c r="B43" i="72" s="1"/>
  <c r="E6" i="6"/>
  <c r="D10" i="11" s="1"/>
  <c r="C10" s="1"/>
  <c r="D3" i="33"/>
  <c r="Q61" i="15"/>
  <c r="E37" i="43"/>
  <c r="AA7" i="36"/>
  <c r="R36" s="1"/>
  <c r="E36" s="1"/>
  <c r="E40" s="1"/>
  <c r="F40" s="1"/>
  <c r="AC11" i="37"/>
  <c r="W11"/>
  <c r="AB7"/>
  <c r="T42" s="1"/>
  <c r="G42" s="1"/>
  <c r="G46" s="1"/>
  <c r="H46" s="1"/>
  <c r="W11" i="34"/>
  <c r="AC11"/>
  <c r="J5" i="67"/>
  <c r="J5" i="15"/>
  <c r="H20" i="6"/>
  <c r="AB7" i="36"/>
  <c r="T36" s="1"/>
  <c r="C38" i="15"/>
  <c r="E38" i="43"/>
  <c r="E6" i="3"/>
  <c r="C47" i="68"/>
  <c r="D45" s="1"/>
  <c r="AA10" i="39"/>
  <c r="M19" i="9"/>
  <c r="C118" s="1"/>
  <c r="C14" i="74" s="1"/>
  <c r="B2" s="1"/>
  <c r="D19" i="6"/>
  <c r="D25"/>
  <c r="D26"/>
  <c r="D15"/>
  <c r="C18" i="4"/>
  <c r="D22" i="6"/>
  <c r="D8"/>
  <c r="D21"/>
  <c r="D23"/>
  <c r="D24"/>
  <c r="D14"/>
  <c r="D20"/>
  <c r="D5"/>
  <c r="D12"/>
  <c r="D9"/>
  <c r="D11"/>
  <c r="D10"/>
  <c r="D13"/>
  <c r="L19" i="9"/>
  <c r="D28" i="6"/>
  <c r="D29"/>
  <c r="E61" i="40"/>
  <c r="H25" i="6"/>
  <c r="H22"/>
  <c r="H21"/>
  <c r="H26"/>
  <c r="H24"/>
  <c r="C13" i="12"/>
  <c r="P16" i="1"/>
  <c r="C11" i="12" s="1"/>
  <c r="C26"/>
  <c r="D25" s="1"/>
  <c r="F34" i="11"/>
  <c r="F11" i="12"/>
  <c r="F34" i="68"/>
  <c r="C36" s="1"/>
  <c r="AC10" i="40"/>
  <c r="C26" i="68"/>
  <c r="D22" s="1"/>
  <c r="C44"/>
  <c r="D41" s="1"/>
  <c r="C26" i="69"/>
  <c r="D22" s="1"/>
  <c r="C44"/>
  <c r="D41" s="1"/>
  <c r="C26" i="11"/>
  <c r="D22" s="1"/>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W10" i="39"/>
  <c r="AC10"/>
  <c r="U10"/>
  <c r="AB10"/>
  <c r="F50" i="11"/>
  <c r="F50" i="69"/>
  <c r="F50" i="68"/>
  <c r="C47" i="11"/>
  <c r="D45" s="1"/>
  <c r="C29"/>
  <c r="D27" s="1"/>
  <c r="C28"/>
  <c r="C27" s="1"/>
  <c r="L16" i="1"/>
  <c r="C17" i="80"/>
  <c r="C37" i="11" l="1"/>
  <c r="V48" i="21"/>
  <c r="I48" s="1"/>
  <c r="H23" i="6"/>
  <c r="E10" i="70"/>
  <c r="AQ10" i="1"/>
  <c r="T10"/>
  <c r="AR10"/>
  <c r="AQ9"/>
  <c r="T9"/>
  <c r="R49" i="79"/>
  <c r="E48"/>
  <c r="I53" s="1"/>
  <c r="J53" s="1"/>
  <c r="I52"/>
  <c r="J52" s="1"/>
  <c r="G53"/>
  <c r="H53" s="1"/>
  <c r="G52"/>
  <c r="H52" s="1"/>
  <c r="D10" i="68"/>
  <c r="C10" s="1"/>
  <c r="R25" i="6"/>
  <c r="D20" i="12"/>
  <c r="C20" s="1"/>
  <c r="C18" s="1"/>
  <c r="C24" i="11"/>
  <c r="C22" s="1"/>
  <c r="C31" s="1"/>
  <c r="I19" i="6"/>
  <c r="M27"/>
  <c r="C34" i="11"/>
  <c r="C35" s="1"/>
  <c r="D6" i="6"/>
  <c r="R20"/>
  <c r="R7" i="1" s="1"/>
  <c r="C36" i="11"/>
  <c r="J24" i="67"/>
  <c r="J18"/>
  <c r="J24" i="15"/>
  <c r="J18"/>
  <c r="G36" i="36"/>
  <c r="R37"/>
  <c r="AB7" i="34"/>
  <c r="T49" s="1"/>
  <c r="G49" s="1"/>
  <c r="G53" s="1"/>
  <c r="H53" s="1"/>
  <c r="W7" i="21"/>
  <c r="AA7"/>
  <c r="R48" s="1"/>
  <c r="E48" s="1"/>
  <c r="E52" s="1"/>
  <c r="F52" s="1"/>
  <c r="R26" i="6"/>
  <c r="R23"/>
  <c r="R10" i="1" s="1"/>
  <c r="R24" i="6"/>
  <c r="R21"/>
  <c r="R8" i="1" s="1"/>
  <c r="R22" i="6"/>
  <c r="R9" i="1" s="1"/>
  <c r="D30" i="6"/>
  <c r="D16"/>
  <c r="A7" i="51"/>
  <c r="B7" i="72" s="1"/>
  <c r="C4" i="52"/>
  <c r="B45" i="72" s="1"/>
  <c r="A10" i="51"/>
  <c r="B9" i="72" s="1"/>
  <c r="D27" i="6"/>
  <c r="C12" i="12"/>
  <c r="C15"/>
  <c r="C34" i="68"/>
  <c r="U7" i="21"/>
  <c r="C26" i="43"/>
  <c r="C27"/>
  <c r="I52" i="21"/>
  <c r="J52" s="1"/>
  <c r="I40" i="36"/>
  <c r="J40" s="1"/>
  <c r="R43" i="37"/>
  <c r="E42"/>
  <c r="I47" s="1"/>
  <c r="J47" s="1"/>
  <c r="G43" i="35"/>
  <c r="H43" s="1"/>
  <c r="I42"/>
  <c r="J42" s="1"/>
  <c r="R39"/>
  <c r="E38"/>
  <c r="I43" s="1"/>
  <c r="J43" s="1"/>
  <c r="G47" i="37"/>
  <c r="H47" s="1"/>
  <c r="I46"/>
  <c r="J46" s="1"/>
  <c r="G63" i="40"/>
  <c r="F65"/>
  <c r="G48" i="21"/>
  <c r="R50" i="34"/>
  <c r="E49"/>
  <c r="G70" i="39"/>
  <c r="C14" i="12"/>
  <c r="F35" i="80"/>
  <c r="M21"/>
  <c r="C14"/>
  <c r="E6" i="76"/>
  <c r="C15" i="80" l="1"/>
  <c r="C18"/>
  <c r="J20"/>
  <c r="C34"/>
  <c r="F63"/>
  <c r="C62" s="1"/>
  <c r="D19" i="68"/>
  <c r="D37" s="1"/>
  <c r="C37" s="1"/>
  <c r="E53" i="79"/>
  <c r="F53" s="1"/>
  <c r="E52"/>
  <c r="F52" s="1"/>
  <c r="C49"/>
  <c r="C48"/>
  <c r="C38" i="11"/>
  <c r="C33" s="1"/>
  <c r="C42" s="1"/>
  <c r="S19" i="6"/>
  <c r="S27" s="1"/>
  <c r="H19"/>
  <c r="I27"/>
  <c r="D31"/>
  <c r="I6" s="1"/>
  <c r="E2" i="76"/>
  <c r="B2" i="43"/>
  <c r="R49" i="21"/>
  <c r="C48" s="1"/>
  <c r="G54" i="34"/>
  <c r="H54" s="1"/>
  <c r="I53" i="21"/>
  <c r="J53" s="1"/>
  <c r="C37" i="36"/>
  <c r="C36"/>
  <c r="G40"/>
  <c r="H40" s="1"/>
  <c r="E41"/>
  <c r="F41" s="1"/>
  <c r="G41"/>
  <c r="H41" s="1"/>
  <c r="C19" i="68"/>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B6" i="76"/>
  <c r="F35" i="15"/>
  <c r="F35" i="67"/>
  <c r="M21"/>
  <c r="M21" i="15"/>
  <c r="C19" i="80" l="1"/>
  <c r="C20" s="1"/>
  <c r="C26" s="1"/>
  <c r="B3" i="79"/>
  <c r="F6" i="12" s="1"/>
  <c r="B2" i="79"/>
  <c r="F8" i="12" s="1"/>
  <c r="R19" i="6"/>
  <c r="H27"/>
  <c r="I5"/>
  <c r="B2" i="76"/>
  <c r="B3" s="1"/>
  <c r="B3" i="43"/>
  <c r="C49" i="21"/>
  <c r="F63" i="67"/>
  <c r="C62" s="1"/>
  <c r="C34"/>
  <c r="J20"/>
  <c r="C24" i="68"/>
  <c r="J20" i="15"/>
  <c r="F63"/>
  <c r="C62" s="1"/>
  <c r="C34"/>
  <c r="C22" i="12"/>
  <c r="C33" i="68"/>
  <c r="I63" i="40"/>
  <c r="H65"/>
  <c r="C39" i="11"/>
  <c r="C43" s="1"/>
  <c r="C41" s="1"/>
  <c r="I70" i="39"/>
  <c r="C23" i="80" l="1"/>
  <c r="C29" s="1"/>
  <c r="R6" i="1"/>
  <c r="R16" s="1"/>
  <c r="R27" i="6"/>
  <c r="C39" i="68"/>
  <c r="C43" s="1"/>
  <c r="C42"/>
  <c r="J63" i="40"/>
  <c r="I65"/>
  <c r="C46" i="11"/>
  <c r="C45" s="1"/>
  <c r="C49" s="1"/>
  <c r="C51" s="1"/>
  <c r="C52" s="1"/>
  <c r="B2" s="1"/>
  <c r="B3" s="1"/>
  <c r="J70" i="39"/>
  <c r="C57" i="80" l="1"/>
  <c r="J14"/>
  <c r="C33"/>
  <c r="C31" s="1"/>
  <c r="C36"/>
  <c r="Q49"/>
  <c r="J19"/>
  <c r="J17" s="1"/>
  <c r="C13"/>
  <c r="C41" i="68"/>
  <c r="C46"/>
  <c r="C45" s="1"/>
  <c r="K63" i="40"/>
  <c r="J65"/>
  <c r="K70" i="39"/>
  <c r="C56" i="11"/>
  <c r="C57" s="1"/>
  <c r="Q70" i="80" l="1"/>
  <c r="C75"/>
  <c r="C37"/>
  <c r="C30" s="1"/>
  <c r="C39" s="1"/>
  <c r="C56"/>
  <c r="C65" s="1"/>
  <c r="J13"/>
  <c r="J23" s="1"/>
  <c r="J22"/>
  <c r="C61"/>
  <c r="C59" s="1"/>
  <c r="C64"/>
  <c r="C49" i="68"/>
  <c r="C51" s="1"/>
  <c r="L63" i="40"/>
  <c r="K65"/>
  <c r="L70" i="39"/>
  <c r="E2" i="70"/>
  <c r="C34" i="69"/>
  <c r="C17" i="67"/>
  <c r="L51" i="80"/>
  <c r="J16" l="1"/>
  <c r="J25" s="1"/>
  <c r="Q67"/>
  <c r="C80"/>
  <c r="C79" s="1"/>
  <c r="Q69"/>
  <c r="Q68" s="1"/>
  <c r="C58"/>
  <c r="C67" s="1"/>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6" i="1"/>
  <c r="AE8"/>
  <c r="C66" i="15" l="1"/>
  <c r="C60"/>
  <c r="C59" s="1"/>
  <c r="AG6" i="1"/>
  <c r="C80" i="15"/>
  <c r="C79" s="1"/>
  <c r="C65"/>
  <c r="Q68"/>
  <c r="L57"/>
  <c r="L60" s="1"/>
  <c r="L51"/>
  <c r="F41"/>
  <c r="M27"/>
  <c r="M27" i="67"/>
  <c r="F41" i="80"/>
  <c r="F41" i="67"/>
  <c r="J29" i="80" l="1"/>
  <c r="F69"/>
  <c r="C68" s="1"/>
  <c r="C40"/>
  <c r="Q47" s="1"/>
  <c r="Q53" s="1"/>
  <c r="C71"/>
  <c r="Q67" i="15"/>
  <c r="J26"/>
  <c r="J29" s="1"/>
  <c r="J26" i="67"/>
  <c r="J29" s="1"/>
  <c r="C58" i="15"/>
  <c r="C67" s="1"/>
  <c r="F69"/>
  <c r="C40"/>
  <c r="C43" s="1"/>
  <c r="L46"/>
  <c r="Q57"/>
  <c r="Q66"/>
  <c r="F69" i="67"/>
  <c r="C68" s="1"/>
  <c r="C71" s="1"/>
  <c r="C40"/>
  <c r="C83" s="1"/>
  <c r="C82" s="1"/>
  <c r="Q56" i="80" l="1"/>
  <c r="Q62" s="1"/>
  <c r="C83"/>
  <c r="C82" s="1"/>
  <c r="B2"/>
  <c r="B3" s="1"/>
  <c r="G6" i="12" s="1"/>
  <c r="C46" i="80"/>
  <c r="C43"/>
  <c r="Q65"/>
  <c r="Q75" s="1"/>
  <c r="C68" i="15"/>
  <c r="C71" s="1"/>
  <c r="C83"/>
  <c r="C82" s="1"/>
  <c r="Q65"/>
  <c r="Q75" s="1"/>
  <c r="Q47"/>
  <c r="Q53" s="1"/>
  <c r="Q56"/>
  <c r="Q62" s="1"/>
  <c r="B2"/>
  <c r="C43" i="67"/>
  <c r="C45"/>
  <c r="C46" s="1"/>
  <c r="Q65"/>
  <c r="Q75" s="1"/>
  <c r="Q56"/>
  <c r="Q62" s="1"/>
  <c r="Q47"/>
  <c r="Q53" s="1"/>
  <c r="D2"/>
  <c r="B2" s="1"/>
  <c r="AO8" i="1"/>
  <c r="AO7"/>
  <c r="AO6"/>
  <c r="AO10"/>
  <c r="E2" i="69"/>
  <c r="B10" i="70" l="1"/>
  <c r="G8" i="12"/>
  <c r="B3" i="15"/>
  <c r="E6" i="12" s="1"/>
  <c r="E8"/>
  <c r="B8" i="70"/>
  <c r="B7"/>
  <c r="B6"/>
  <c r="C46" i="15"/>
  <c r="B2" i="69"/>
  <c r="B3" s="1"/>
  <c r="B3" i="67"/>
  <c r="D2" i="35"/>
  <c r="D2" i="37"/>
  <c r="D2" i="33"/>
  <c r="D2" i="21"/>
  <c r="F20" i="31"/>
  <c r="D2" i="36"/>
  <c r="D2" i="34"/>
  <c r="E2" i="68"/>
  <c r="B20" i="31" l="1"/>
  <c r="B2" i="36"/>
  <c r="B3" s="1"/>
  <c r="B2" i="35"/>
  <c r="B3" s="1"/>
  <c r="B2" i="37"/>
  <c r="B3" s="1"/>
  <c r="B2" i="34"/>
  <c r="B3" s="1"/>
  <c r="B2" i="21"/>
  <c r="B2" i="70"/>
  <c r="B3" s="1"/>
  <c r="B3" i="21" l="1"/>
  <c r="C6" i="12" s="1"/>
  <c r="C8"/>
  <c r="C4" s="1"/>
  <c r="C23" l="1"/>
  <c r="C31"/>
  <c r="C30" l="1"/>
  <c r="C28" s="1"/>
  <c r="C27"/>
  <c r="C25" s="1"/>
  <c r="C32" l="1"/>
  <c r="B2" s="1"/>
  <c r="B3" s="1"/>
  <c r="D20" i="9"/>
  <c r="D19"/>
  <c r="D21" l="1"/>
  <c r="D102"/>
  <c r="D103"/>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6" i="68"/>
  <c r="C7" l="1"/>
  <c r="C5" s="1"/>
  <c r="C23" l="1"/>
  <c r="C20"/>
  <c r="H112" i="9"/>
  <c r="D21" i="53" s="1"/>
  <c r="B39" i="72" s="1"/>
  <c r="H111" i="9"/>
  <c r="D126" s="1"/>
  <c r="D59"/>
  <c r="M55"/>
  <c r="D19" i="53" l="1"/>
  <c r="C28" i="68"/>
  <c r="C27" s="1"/>
  <c r="C25"/>
  <c r="C22" s="1"/>
  <c r="B38" i="72"/>
  <c r="D20" i="53"/>
  <c r="B40" i="72" s="1"/>
  <c r="I14" i="74"/>
  <c r="B8" s="1"/>
  <c r="D127" i="9"/>
  <c r="D13" i="52" s="1"/>
  <c r="D12"/>
  <c r="C31" i="68" l="1"/>
  <c r="C52" s="1"/>
  <c r="C57" s="1"/>
  <c r="C56" s="1"/>
  <c r="D8" i="74"/>
  <c r="C8"/>
  <c r="B2" i="68" l="1"/>
  <c r="C19" i="9"/>
  <c r="C21" l="1"/>
  <c r="G19"/>
  <c r="G21" s="1"/>
  <c r="C102"/>
  <c r="D22"/>
  <c r="B3" i="68"/>
  <c r="D35" i="9"/>
  <c r="C20"/>
  <c r="D34"/>
  <c r="C103" l="1"/>
  <c r="G20"/>
  <c r="C32" s="1"/>
  <c r="C35" s="1"/>
  <c r="C34" l="1"/>
  <c r="F118" l="1"/>
  <c r="G118" s="1"/>
  <c r="G4" i="52" s="1"/>
  <c r="B52" i="72" s="1"/>
  <c r="F4" i="52" l="1"/>
  <c r="B51" i="72" s="1"/>
  <c r="F119" i="9"/>
  <c r="F5" i="52" s="1"/>
  <c r="B53" i="72" s="1"/>
  <c r="D118" i="9"/>
  <c r="D119" l="1"/>
  <c r="D5" i="52" s="1"/>
  <c r="B49" i="72" s="1"/>
  <c r="D4" i="52"/>
  <c r="B47" i="72" s="1"/>
  <c r="H118" i="9"/>
  <c r="H101" s="1"/>
  <c r="H109" s="1"/>
  <c r="D16" i="53" l="1"/>
  <c r="H110" i="9"/>
  <c r="D18" i="53" s="1"/>
  <c r="B35" i="72" s="1"/>
  <c r="D124" i="9"/>
  <c r="H4" i="52"/>
  <c r="I118" i="9"/>
  <c r="H102" s="1"/>
  <c r="D7" i="53" s="1"/>
  <c r="B21" i="72" s="1"/>
  <c r="C104" i="9"/>
  <c r="H119"/>
  <c r="H5" i="52" s="1"/>
  <c r="D14" i="74"/>
  <c r="H107" i="9"/>
  <c r="D45"/>
  <c r="M48"/>
  <c r="D5" i="53"/>
  <c r="D10" i="52" l="1"/>
  <c r="H14" i="74"/>
  <c r="B7" s="1"/>
  <c r="D125" i="9"/>
  <c r="D11" i="52" s="1"/>
  <c r="B34" i="72"/>
  <c r="D17" i="53"/>
  <c r="B36" i="72" s="1"/>
  <c r="E118" i="9"/>
  <c r="E4" i="52" s="1"/>
  <c r="B48" i="72" s="1"/>
  <c r="C105" i="9"/>
  <c r="I4" i="52"/>
  <c r="B5" i="74"/>
  <c r="F14"/>
  <c r="E14"/>
  <c r="D6" i="53"/>
  <c r="B22" i="72" s="1"/>
  <c r="B20"/>
  <c r="C93" i="9"/>
  <c r="C86" s="1"/>
  <c r="C72"/>
  <c r="D52"/>
  <c r="D55"/>
  <c r="M53" s="1"/>
  <c r="C85"/>
  <c r="C78"/>
  <c r="C73" s="1"/>
  <c r="C64"/>
  <c r="C63" s="1"/>
  <c r="C67" s="1"/>
  <c r="C68" s="1"/>
  <c r="D54" s="1"/>
  <c r="D53"/>
  <c r="D122"/>
  <c r="H108"/>
  <c r="D15" i="53" s="1"/>
  <c r="B31" i="72" s="1"/>
  <c r="M49" i="9"/>
  <c r="D13" i="53"/>
  <c r="D7" i="74" l="1"/>
  <c r="C7"/>
  <c r="C95" i="9"/>
  <c r="C96" s="1"/>
  <c r="E96" s="1"/>
  <c r="E97" s="1"/>
  <c r="D5" i="74"/>
  <c r="C5"/>
  <c r="D14" i="53"/>
  <c r="B32" i="72" s="1"/>
  <c r="B30"/>
  <c r="C79" i="9"/>
  <c r="L63"/>
  <c r="M63" s="1"/>
  <c r="L64"/>
  <c r="M64" s="1"/>
  <c r="L65"/>
  <c r="M65" s="1"/>
  <c r="L66"/>
  <c r="M66" s="1"/>
  <c r="L67"/>
  <c r="M67" s="1"/>
  <c r="L68"/>
  <c r="M68" s="1"/>
  <c r="D123"/>
  <c r="D9" i="52" s="1"/>
  <c r="G14" i="74"/>
  <c r="B6" s="1"/>
  <c r="D8" i="52"/>
  <c r="C97" i="9" l="1"/>
  <c r="D58" s="1"/>
  <c r="D56" s="1"/>
  <c r="M54" s="1"/>
  <c r="N57" s="1"/>
  <c r="P57" s="1"/>
  <c r="M69"/>
  <c r="N69" s="1"/>
  <c r="C80"/>
  <c r="E80" s="1"/>
  <c r="E81" s="1"/>
  <c r="C6" i="74"/>
  <c r="D6"/>
  <c r="C81" i="9" l="1"/>
  <c r="N58"/>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<sst xmlns="http://schemas.openxmlformats.org/spreadsheetml/2006/main" count="8282" uniqueCount="3192">
  <si>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</si>
  <si>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</si>
  <si>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</si>
  <si>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</si>
  <si>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</si>
  <si>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</si>
  <si>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</si>
  <si>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</si>
  <si>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</si>
  <si>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</si>
  <si>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</si>
  <si>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</si>
  <si>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</si>
  <si>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</si>
  <si>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</si>
  <si>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</si>
  <si>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</si>
  <si>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</si>
  <si>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</si>
  <si>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</si>
  <si>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</si>
  <si>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</si>
  <si>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</si>
  <si>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</si>
  <si>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</si>
  <si>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</si>
  <si>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</si>
  <si>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</si>
  <si>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</si>
  <si>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</si>
  <si>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</si>
  <si>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</si>
  <si>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</si>
  <si>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</si>
  <si>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</si>
  <si>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</si>
  <si>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</si>
  <si>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</si>
  <si>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</si>
  <si>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</si>
  <si>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</si>
  <si>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</si>
  <si>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</si>
  <si>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</si>
  <si>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</si>
  <si>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</si>
  <si>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</si>
  <si>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</si>
  <si>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</si>
  <si>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</si>
  <si>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</si>
  <si>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</si>
  <si>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</si>
  <si>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</si>
  <si>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</si>
  <si>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</si>
  <si>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</si>
  <si>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</si>
  <si>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</si>
  <si>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</si>
  <si>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</si>
  <si>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</si>
  <si>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</si>
  <si>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</si>
  <si>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</si>
  <si>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</si>
  <si>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</si>
  <si>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</si>
  <si>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</si>
  <si>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</si>
  <si>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</si>
  <si>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</si>
  <si>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</si>
  <si>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</si>
  <si>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</si>
  <si>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</si>
  <si>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</si>
  <si>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</si>
  <si>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</si>
  <si>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</si>
  <si>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</si>
  <si>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</si>
  <si>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</si>
  <si>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</si>
  <si>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</si>
  <si>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</si>
  <si>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</si>
  <si>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</si>
  <si>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</si>
  <si>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</si>
  <si>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</si>
  <si>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</si>
  <si>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</si>
  <si>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</si>
  <si>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</si>
  <si>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</si>
  <si>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</si>
  <si>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</si>
  <si>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</si>
  <si>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</si>
  <si>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</si>
  <si>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</si>
  <si>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</si>
  <si>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</si>
  <si>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</si>
  <si>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</si>
  <si>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</si>
  <si>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</si>
  <si>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</si>
  <si>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</si>
  <si>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</si>
  <si>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</si>
  <si>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</si>
  <si>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</si>
  <si>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</si>
  <si>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</si>
  <si>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</si>
  <si>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</si>
  <si>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</si>
  <si>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</si>
  <si>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</si>
  <si>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</si>
  <si>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</si>
  <si>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</si>
  <si>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</si>
  <si>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</si>
  <si>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</si>
  <si>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</si>
  <si>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</si>
  <si>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</si>
  <si>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</si>
  <si>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</si>
  <si>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</si>
  <si>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</si>
  <si>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</si>
  <si>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</si>
  <si>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</si>
  <si>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</si>
  <si>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</si>
  <si>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</si>
  <si>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</si>
  <si>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</si>
  <si>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</si>
  <si>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</si>
  <si>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</si>
  <si>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</si>
  <si>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</si>
  <si>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</si>
  <si>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</si>
  <si>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</si>
  <si>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</si>
  <si>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</si>
  <si>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</si>
  <si>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</si>
  <si>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</si>
  <si>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</si>
  <si>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</si>
  <si>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</si>
  <si>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</si>
  <si>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</si>
  <si>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</si>
  <si>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</si>
  <si>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</si>
  <si>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</si>
  <si>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</si>
  <si>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</si>
  <si>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</si>
  <si>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</si>
  <si>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</si>
  <si>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</si>
  <si>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</si>
  <si>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</si>
  <si>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</si>
  <si>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</si>
  <si>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</si>
  <si>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</si>
  <si>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</si>
  <si>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</si>
  <si>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</si>
  <si>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</si>
  <si>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</si>
  <si>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</si>
  <si>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</si>
  <si>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</si>
  <si>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</si>
  <si>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</si>
  <si>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</si>
  <si>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</si>
  <si>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</si>
  <si>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</si>
  <si>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</si>
  <si>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</si>
  <si>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</si>
  <si>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</si>
  <si>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</si>
  <si>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</si>
  <si>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</si>
  <si>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</si>
  <si>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</si>
  <si>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</si>
  <si>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</si>
  <si>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</si>
  <si>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</si>
  <si>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</si>
  <si>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</si>
  <si>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</si>
  <si>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</si>
  <si>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</si>
  <si>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</si>
  <si>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</si>
  <si>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</si>
  <si>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</si>
  <si>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</si>
  <si>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</si>
  <si>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</si>
  <si>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</si>
  <si>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</si>
  <si>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</si>
  <si>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</si>
  <si>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</si>
  <si>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</si>
  <si>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</si>
  <si>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</si>
  <si>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</si>
  <si>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</si>
  <si>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</si>
  <si>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</si>
  <si>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</si>
  <si>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</si>
  <si>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</si>
  <si>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</si>
  <si>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</si>
  <si>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</si>
  <si>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</si>
  <si>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</si>
  <si>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</si>
  <si>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</si>
  <si>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</si>
  <si>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</si>
  <si>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</si>
  <si>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</si>
  <si>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</si>
  <si>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</si>
  <si>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</si>
  <si>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</si>
  <si>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</si>
  <si>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</si>
  <si>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</si>
  <si>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</si>
  <si>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</si>
  <si>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</si>
  <si>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</si>
  <si>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</si>
  <si>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</si>
  <si>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</si>
  <si>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</si>
  <si>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</si>
  <si>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</si>
  <si>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</si>
  <si>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</si>
  <si>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</si>
  <si>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</si>
  <si>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</si>
  <si>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</si>
  <si>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</si>
  <si>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</si>
  <si>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</si>
  <si>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</si>
  <si>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</si>
  <si>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</si>
  <si>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</si>
  <si>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</si>
  <si>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</si>
  <si>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</si>
  <si>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</si>
  <si>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</si>
  <si>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</si>
  <si>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</si>
  <si>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</si>
  <si>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</si>
  <si>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</si>
  <si>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</si>
  <si>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</si>
  <si>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</si>
  <si>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</si>
  <si>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</si>
  <si>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</si>
  <si>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</si>
  <si>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</si>
  <si>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</si>
  <si>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</si>
  <si>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</si>
  <si>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</si>
  <si>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</si>
  <si>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</si>
  <si>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</si>
  <si>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</si>
  <si>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</si>
  <si>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</si>
  <si>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</si>
  <si>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</si>
  <si>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</si>
  <si>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</si>
  <si>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</si>
  <si>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</si>
  <si>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</si>
  <si>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</si>
  <si>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</si>
  <si>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</si>
  <si>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</si>
  <si>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</si>
  <si>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</si>
  <si>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</si>
  <si>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</si>
  <si>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</si>
  <si>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</si>
  <si>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</si>
  <si>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</si>
  <si>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</si>
  <si>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</si>
  <si>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</si>
  <si>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</si>
  <si>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</si>
  <si>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</si>
  <si>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</si>
  <si>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</si>
  <si>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</si>
  <si>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</si>
  <si>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</si>
  <si>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</si>
  <si>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</si>
  <si>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</si>
  <si>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</si>
  <si>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</si>
  <si>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</si>
  <si>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</si>
  <si>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</si>
  <si>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</si>
  <si>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</si>
  <si>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</si>
  <si>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</si>
  <si>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</si>
  <si>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</si>
  <si>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</si>
  <si>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</si>
  <si>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</si>
  <si>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</si>
  <si>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</si>
  <si>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</si>
  <si>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</si>
  <si>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</si>
  <si>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</si>
  <si>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</si>
  <si>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</si>
  <si>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</si>
  <si>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</si>
  <si>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</si>
  <si>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</si>
  <si>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</si>
  <si>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</si>
  <si>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</si>
  <si>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</si>
  <si>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</si>
  <si>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</si>
  <si>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</si>
  <si>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</si>
  <si>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</si>
  <si>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</si>
  <si>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</si>
  <si>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</si>
  <si>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</si>
  <si>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</si>
  <si>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</si>
  <si>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</si>
  <si>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</si>
  <si>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</si>
  <si>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</si>
  <si>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</si>
  <si>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</si>
  <si>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</si>
  <si>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</si>
  <si>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</si>
  <si>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</si>
  <si>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</si>
  <si>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</si>
  <si>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</si>
  <si>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</si>
  <si>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</si>
  <si>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</si>
  <si>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</si>
  <si>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</si>
  <si>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</si>
  <si>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</si>
  <si>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</si>
  <si>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</si>
  <si>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</si>
  <si>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</si>
  <si>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</si>
  <si>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</si>
  <si>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</si>
  <si>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</si>
  <si>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</si>
  <si>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</si>
  <si>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</si>
  <si>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</si>
  <si>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</si>
  <si>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</si>
  <si>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</si>
  <si>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</si>
  <si>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</si>
  <si>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</si>
  <si>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</si>
  <si>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</si>
  <si>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</si>
  <si>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</si>
  <si>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</si>
  <si>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</si>
  <si>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</si>
  <si>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</si>
  <si>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</si>
  <si>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</si>
  <si>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</si>
  <si>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</si>
  <si>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</si>
  <si>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</si>
  <si>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</si>
  <si>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</si>
  <si>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</si>
  <si>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</si>
  <si>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</si>
  <si>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</si>
  <si>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</si>
  <si>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</si>
  <si>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</si>
  <si>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</si>
  <si>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</si>
  <si>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</si>
  <si>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</si>
  <si>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</si>
  <si>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</si>
  <si>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</si>
  <si>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</si>
  <si>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</si>
  <si>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</si>
  <si>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</si>
  <si>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</si>
  <si>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</si>
  <si>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</si>
  <si>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</si>
  <si>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</si>
  <si>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</si>
  <si>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</si>
  <si>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</si>
  <si>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</si>
  <si>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</si>
  <si>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</si>
  <si>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</si>
  <si>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</si>
  <si>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</si>
  <si>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</si>
  <si>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</si>
  <si>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</si>
  <si>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</si>
  <si>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</si>
  <si>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</si>
  <si>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</si>
  <si>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</si>
  <si>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</si>
  <si>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</si>
  <si>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</si>
  <si>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</si>
  <si>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</si>
  <si>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</si>
  <si>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</si>
  <si>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</si>
  <si>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</si>
  <si>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</si>
  <si>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</si>
  <si>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</si>
  <si>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</si>
  <si>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</si>
  <si>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</si>
  <si>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</si>
  <si>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</si>
  <si>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</si>
  <si>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</si>
  <si>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</si>
  <si>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</si>
  <si>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</si>
  <si>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</si>
  <si>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</si>
  <si>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</si>
  <si>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</si>
  <si>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</si>
  <si>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</si>
  <si>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</si>
  <si>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</si>
  <si>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</si>
  <si>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</si>
  <si>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</si>
  <si>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</si>
  <si>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</si>
  <si>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</si>
  <si>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</si>
  <si>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</si>
  <si>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</si>
  <si>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</si>
  <si>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</si>
  <si>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</si>
  <si>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</si>
  <si>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</si>
  <si>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</si>
  <si>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</si>
  <si>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</si>
  <si>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</si>
  <si>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</si>
  <si>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</si>
  <si>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</si>
  <si>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</si>
  <si>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</si>
  <si>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</si>
  <si>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</si>
  <si>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</si>
  <si>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</si>
  <si>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</si>
  <si>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</si>
  <si>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</si>
  <si>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</si>
  <si>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</si>
  <si>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</si>
  <si>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</si>
  <si>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</si>
  <si>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</si>
  <si>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</si>
  <si>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</si>
  <si>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</si>
  <si>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</si>
  <si>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</si>
  <si>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</si>
  <si>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</si>
  <si>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</si>
  <si>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</si>
  <si>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</si>
  <si>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</si>
  <si>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</si>
  <si>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</si>
  <si>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</si>
  <si>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</si>
  <si>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</si>
  <si>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</si>
  <si>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</si>
  <si>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</si>
  <si>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</si>
  <si>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</si>
  <si>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</si>
  <si>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</si>
  <si>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</si>
  <si>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</si>
  <si>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</si>
  <si>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</si>
  <si>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</si>
  <si>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</si>
  <si>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</si>
  <si>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</si>
  <si>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</si>
  <si>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</si>
  <si>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</si>
  <si>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</si>
  <si>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</si>
  <si>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</si>
  <si>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</si>
  <si>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</si>
  <si>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</si>
  <si>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</si>
  <si>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</si>
  <si>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</si>
  <si>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</si>
  <si>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</si>
  <si>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</si>
  <si>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</si>
  <si>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</si>
  <si>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</si>
  <si>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</si>
  <si>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</si>
  <si>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</si>
  <si>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</si>
  <si>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</si>
  <si>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</si>
  <si>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</si>
  <si>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</si>
  <si>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</si>
  <si>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</si>
  <si>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</si>
  <si>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</si>
  <si>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</si>
  <si>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</si>
  <si>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</si>
  <si>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</si>
  <si>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</si>
  <si>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</si>
  <si>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</si>
  <si>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</si>
  <si>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</si>
  <si>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</si>
  <si>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</si>
  <si>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</si>
  <si>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</si>
  <si>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</si>
  <si>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</si>
  <si>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</si>
  <si>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</si>
  <si>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</si>
  <si>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</si>
  <si>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</si>
  <si>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</si>
  <si>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</si>
  <si>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</si>
  <si>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</si>
  <si>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</si>
  <si>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</si>
  <si>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</si>
  <si>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</si>
  <si>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</si>
  <si>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</si>
  <si>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</si>
  <si>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</si>
  <si>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</si>
  <si>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</si>
  <si>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</si>
  <si>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</si>
  <si>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</si>
  <si>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</si>
  <si>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</si>
  <si>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</si>
  <si>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</si>
  <si>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</si>
  <si>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</si>
  <si>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</si>
  <si>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</si>
  <si>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</si>
  <si>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</si>
  <si>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</si>
  <si>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</si>
  <si>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</si>
  <si>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</si>
  <si>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</si>
  <si>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</si>
  <si>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</si>
  <si>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</si>
  <si>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</si>
  <si>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</si>
  <si>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</si>
  <si>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</si>
  <si>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</si>
  <si>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</si>
  <si>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</si>
  <si>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</si>
  <si>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</si>
  <si>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</si>
  <si>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</si>
  <si>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</si>
  <si>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</si>
  <si>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</si>
  <si>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</si>
  <si>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</si>
  <si>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</si>
  <si>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</si>
  <si>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</si>
  <si>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</si>
  <si>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</si>
  <si>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</si>
  <si>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</si>
  <si>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</si>
  <si>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</si>
  <si>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</si>
  <si>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</si>
  <si>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</si>
  <si>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</si>
  <si>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</si>
  <si>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</si>
  <si>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</si>
  <si>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</si>
  <si>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</si>
  <si>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</si>
  <si>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</si>
  <si>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</si>
  <si>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</si>
  <si>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</si>
  <si>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</si>
  <si>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</si>
  <si>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</si>
  <si>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</si>
  <si>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</si>
  <si>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</si>
  <si>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</si>
  <si>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</si>
  <si>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</si>
  <si>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</si>
  <si>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</si>
  <si>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</si>
  <si>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</si>
  <si>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</si>
  <si>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</si>
  <si>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</si>
  <si>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</si>
  <si>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</si>
  <si>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</si>
  <si>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</si>
  <si>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</si>
  <si>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</si>
  <si>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</si>
  <si>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</si>
  <si>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</si>
  <si>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</si>
  <si>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</si>
  <si>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</si>
  <si>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</si>
  <si>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</si>
  <si>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</si>
  <si>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</si>
  <si>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</si>
  <si>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</si>
  <si>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</si>
  <si>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</si>
  <si>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</si>
  <si>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</si>
  <si>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</si>
  <si>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</si>
  <si>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</si>
  <si>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</si>
  <si>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</si>
  <si>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</si>
  <si>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</si>
  <si>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</si>
  <si>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</si>
  <si>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</si>
  <si>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</si>
  <si>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</si>
  <si>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</si>
  <si>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</si>
  <si>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</si>
  <si>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</si>
  <si>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</si>
  <si>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</si>
  <si>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</si>
  <si>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</si>
  <si>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</si>
  <si>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</si>
  <si>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</si>
  <si>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</si>
  <si>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</si>
  <si>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</si>
  <si>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</si>
  <si>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</si>
  <si>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</si>
  <si>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</si>
  <si>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</si>
  <si>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</si>
  <si>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</si>
  <si>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</si>
  <si>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</si>
  <si>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</si>
  <si>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</si>
  <si>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</si>
  <si>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</si>
  <si>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</si>
  <si>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</si>
  <si>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</si>
  <si>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</si>
  <si>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</si>
  <si>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</si>
  <si>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</si>
  <si>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</si>
  <si>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</si>
  <si>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</si>
  <si>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</si>
  <si>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</si>
  <si>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</si>
  <si>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</si>
  <si>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</si>
  <si>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</si>
  <si>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</si>
  <si>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</si>
  <si>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</si>
  <si>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</si>
  <si>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</si>
  <si>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</si>
  <si>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</si>
  <si>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</si>
  <si>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</si>
  <si>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</si>
  <si>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</si>
  <si>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</si>
  <si>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</si>
  <si>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</si>
  <si>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</si>
  <si>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</si>
  <si>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</si>
  <si>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</si>
  <si>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</si>
  <si>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</si>
  <si>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</si>
  <si>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</si>
  <si>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</si>
  <si>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</si>
  <si>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</si>
  <si>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</si>
  <si>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</si>
  <si>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</si>
  <si>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</si>
  <si>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</si>
  <si>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</si>
  <si>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</si>
  <si>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</si>
  <si>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</si>
  <si>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</si>
  <si>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</si>
  <si>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</si>
  <si>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</si>
  <si>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</si>
  <si>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</si>
  <si>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</si>
  <si>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</si>
  <si>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</si>
  <si>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</si>
  <si>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</si>
  <si>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</si>
  <si>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</si>
  <si>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</si>
  <si>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</si>
  <si>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</si>
  <si>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</si>
  <si>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</si>
  <si>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</si>
  <si>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</si>
  <si>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</si>
  <si>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</si>
  <si>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</si>
  <si>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</si>
  <si>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</si>
  <si>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</si>
  <si>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</si>
  <si>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</si>
  <si>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</si>
  <si>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</si>
  <si>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</si>
  <si>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</si>
  <si>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</si>
  <si>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</si>
  <si>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</si>
  <si>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</si>
  <si>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</si>
  <si>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</si>
  <si>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</si>
  <si>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</si>
  <si>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</si>
  <si>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</si>
  <si>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</si>
  <si>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</si>
  <si>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</si>
  <si>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</si>
  <si>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</si>
  <si>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</si>
  <si>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</si>
  <si>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</si>
  <si>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</si>
  <si>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</si>
  <si>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</si>
  <si>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</si>
  <si>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</si>
  <si>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</si>
  <si>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</si>
  <si>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</si>
  <si>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</si>
  <si>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</si>
  <si>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</si>
  <si>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</si>
  <si>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</si>
  <si>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</si>
  <si>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</si>
  <si>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</si>
  <si>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</si>
  <si>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</si>
  <si>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</si>
  <si>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</si>
  <si>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</si>
  <si>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</si>
  <si>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</si>
  <si>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</si>
  <si>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</si>
  <si>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</si>
  <si>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</si>
  <si>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</si>
  <si>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</si>
  <si>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</si>
  <si>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</si>
  <si>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</si>
  <si>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</si>
  <si>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</si>
  <si>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</si>
  <si>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</si>
  <si>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</si>
  <si>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</si>
  <si>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</si>
  <si>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</si>
  <si>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</si>
  <si>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</si>
  <si>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</si>
  <si>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</si>
  <si>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</si>
  <si>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</si>
  <si>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</si>
  <si>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</si>
  <si>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</si>
  <si>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</si>
  <si>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</si>
  <si>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</si>
  <si>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</si>
  <si>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</si>
  <si>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</si>
  <si>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</si>
  <si>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</si>
  <si>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</si>
  <si>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</si>
  <si>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</si>
  <si>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</si>
  <si>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</si>
  <si>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</si>
  <si>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</si>
  <si>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</si>
  <si>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</si>
  <si>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</si>
  <si>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</si>
  <si>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</si>
  <si>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</si>
  <si>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</si>
  <si>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</si>
  <si>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</si>
  <si>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</si>
  <si>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</si>
  <si>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</si>
  <si>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</si>
  <si>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</si>
  <si>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</si>
  <si>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</si>
  <si>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</si>
  <si>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</si>
  <si>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</si>
  <si>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</si>
  <si>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</si>
  <si>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</si>
  <si>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</si>
  <si>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</si>
  <si>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</si>
  <si>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</si>
  <si>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</si>
  <si>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</si>
  <si>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</si>
  <si>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</si>
  <si>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</si>
  <si>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</si>
  <si>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</si>
  <si>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</si>
  <si>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</si>
  <si>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</si>
  <si>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</si>
  <si>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</si>
  <si>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</si>
  <si>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</si>
  <si>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</si>
  <si>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</si>
  <si>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</si>
  <si>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</si>
  <si>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</si>
  <si>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</si>
  <si>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</si>
  <si>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</si>
  <si>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</si>
  <si>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</si>
  <si>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</si>
  <si>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</si>
  <si>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</si>
  <si>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</si>
  <si>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</si>
  <si>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</si>
  <si>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</si>
  <si>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</si>
  <si>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</si>
  <si>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</si>
  <si>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</si>
  <si>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</si>
  <si>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</si>
  <si>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</si>
  <si>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</si>
  <si>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</si>
  <si>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</si>
  <si>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</si>
  <si>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</si>
  <si>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</si>
  <si>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</si>
  <si>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</si>
  <si>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</si>
  <si>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</si>
  <si>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</si>
  <si>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</si>
  <si>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</si>
  <si>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</si>
  <si>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</si>
  <si>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</si>
  <si>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</si>
  <si>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</si>
  <si>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</si>
  <si>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</si>
  <si>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</si>
  <si>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</si>
  <si>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</si>
  <si>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</si>
  <si>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</si>
  <si>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</si>
  <si>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</si>
  <si>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</si>
  <si>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</si>
  <si>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</si>
  <si>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</si>
  <si>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</si>
  <si>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</si>
  <si>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</si>
  <si>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</si>
  <si>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</si>
  <si>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</si>
  <si>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</si>
  <si>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</si>
  <si>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</si>
  <si>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</si>
  <si>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</si>
  <si>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</si>
  <si>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</si>
  <si>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</si>
  <si>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</si>
  <si>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</si>
  <si>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</si>
  <si>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</si>
  <si>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</si>
  <si>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</si>
  <si>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</si>
  <si>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</si>
  <si>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</si>
  <si>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</si>
  <si>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</si>
  <si>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</si>
  <si>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</si>
  <si>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</si>
  <si>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</si>
  <si>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</si>
  <si>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</si>
  <si>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</si>
  <si>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</si>
  <si>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</si>
  <si>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</si>
  <si>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</si>
  <si>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</si>
  <si>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</si>
  <si>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</si>
  <si>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</si>
  <si>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</si>
  <si>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</si>
  <si>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</si>
  <si>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</si>
  <si>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</si>
  <si>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</si>
  <si>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</si>
  <si>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</si>
  <si>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</si>
  <si>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</si>
  <si>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</si>
  <si>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</si>
  <si>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</si>
  <si>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</si>
  <si>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</si>
  <si>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</si>
  <si>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</si>
  <si>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</si>
  <si>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</si>
  <si>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</si>
  <si>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</si>
  <si>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</si>
  <si>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</si>
  <si>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</si>
  <si>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</si>
  <si>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</si>
  <si>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</si>
  <si>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</si>
  <si>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</si>
  <si>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</si>
  <si>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</si>
  <si>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</si>
  <si>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</si>
  <si>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</si>
  <si>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</si>
  <si>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</si>
  <si>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</si>
  <si>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</si>
  <si>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</si>
  <si>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</si>
  <si>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</si>
  <si>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</si>
  <si>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</si>
  <si>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</si>
  <si>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</si>
  <si>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</si>
  <si>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</si>
  <si>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</si>
  <si>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</si>
  <si>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</si>
  <si>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</si>
  <si>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</si>
  <si>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</si>
  <si>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</si>
  <si>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</si>
  <si>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</si>
  <si>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</si>
  <si>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</si>
  <si>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</si>
  <si>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</si>
  <si>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</si>
  <si>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</si>
  <si>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</si>
  <si>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</si>
  <si>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</si>
  <si>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</si>
  <si>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</si>
  <si>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</si>
  <si>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</si>
  <si>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</si>
  <si>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</si>
  <si>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</si>
  <si>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</si>
  <si>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</si>
  <si>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</si>
  <si>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</si>
  <si>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</si>
  <si>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</si>
  <si>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</si>
  <si>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</si>
  <si>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</si>
  <si>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</si>
  <si>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</si>
  <si>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</si>
  <si>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</si>
  <si>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</si>
  <si>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</si>
  <si>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</si>
  <si>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</si>
  <si>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</si>
  <si>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</si>
  <si>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</si>
  <si>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</si>
  <si>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</si>
  <si>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</si>
  <si>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</si>
  <si>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</si>
  <si>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</si>
  <si>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</si>
  <si>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</si>
  <si>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</si>
  <si>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</si>
  <si>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</si>
  <si>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</si>
  <si>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</si>
  <si>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</si>
  <si>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</si>
  <si>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</si>
  <si>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</si>
  <si>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</si>
  <si>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</si>
  <si>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</si>
  <si>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</si>
  <si>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</si>
  <si>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</si>
  <si>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</si>
  <si>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</si>
  <si>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</si>
  <si>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</si>
  <si>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</si>
  <si>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</si>
  <si>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</si>
  <si>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</si>
  <si>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</si>
  <si>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</si>
  <si>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</si>
  <si>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</si>
  <si>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</si>
  <si>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</si>
  <si>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</si>
  <si>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</si>
  <si>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</si>
  <si>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</si>
  <si>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</si>
  <si>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</si>
  <si>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</si>
  <si>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</si>
  <si>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</si>
  <si>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</si>
  <si>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</si>
  <si>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</si>
  <si>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</si>
  <si>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</si>
  <si>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</si>
  <si>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</si>
  <si>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</si>
  <si>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</si>
  <si>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</si>
  <si>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</si>
  <si>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</si>
  <si>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</si>
  <si>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</si>
  <si>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</si>
  <si>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</si>
  <si>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</si>
  <si>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</si>
  <si>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</si>
  <si>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</si>
  <si>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</si>
  <si>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</si>
  <si>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</si>
  <si>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</si>
  <si>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</si>
  <si>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</si>
  <si>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</si>
  <si>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</si>
  <si>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</si>
  <si>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</si>
  <si>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</si>
  <si>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</si>
  <si>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</si>
  <si>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</si>
  <si>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</si>
  <si>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</si>
  <si>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</si>
  <si>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</si>
  <si>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</si>
  <si>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</si>
  <si>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</si>
  <si>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</si>
  <si>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</si>
  <si>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</si>
  <si>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</si>
  <si>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</si>
  <si>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</si>
  <si>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</si>
  <si>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</si>
  <si>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</si>
  <si>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</si>
  <si>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</si>
  <si>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</si>
  <si>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</si>
  <si>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</si>
  <si>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</si>
  <si>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</si>
  <si>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</si>
  <si>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</si>
  <si>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</si>
  <si>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</si>
  <si>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</si>
  <si>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</si>
  <si>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</si>
  <si>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</si>
  <si>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</si>
  <si>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</si>
  <si>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</si>
  <si>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</si>
  <si>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</si>
  <si>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</si>
  <si>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</si>
  <si>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</si>
  <si>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</si>
  <si>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</si>
  <si>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</si>
  <si>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</si>
  <si>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</si>
  <si>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</si>
  <si>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</si>
  <si>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</si>
  <si>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</si>
  <si>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</si>
  <si>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</si>
  <si>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</si>
  <si>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</si>
  <si>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</si>
  <si>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</si>
  <si>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</si>
  <si>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</si>
  <si>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</si>
  <si>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</si>
  <si>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</si>
  <si>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</si>
  <si>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</si>
  <si>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</si>
  <si>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</si>
  <si>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</si>
  <si>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</si>
  <si>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</si>
  <si>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</si>
  <si>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</si>
  <si>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</si>
  <si>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</si>
  <si>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</si>
  <si>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</si>
  <si>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</si>
  <si>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</si>
  <si>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</si>
  <si>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</si>
  <si>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</si>
  <si>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</si>
  <si>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</si>
  <si>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</si>
  <si>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</si>
  <si>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</si>
  <si>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</si>
  <si>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</si>
  <si>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</si>
  <si>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</si>
  <si>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</si>
  <si>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</si>
  <si>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</si>
  <si>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</si>
  <si>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</si>
  <si>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</si>
  <si>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</si>
  <si>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</si>
  <si>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</si>
  <si>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</si>
  <si>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</si>
  <si>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</si>
  <si>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</si>
  <si>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</si>
  <si>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</si>
  <si>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</si>
  <si>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</si>
  <si>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</si>
  <si>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</si>
  <si>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</si>
  <si>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</si>
  <si>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</si>
  <si>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</si>
  <si>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</si>
  <si>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</si>
  <si>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</si>
  <si>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</si>
  <si>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</si>
  <si>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</si>
  <si>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</si>
  <si>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</si>
  <si>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</si>
  <si>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</si>
  <si>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</si>
  <si>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</si>
  <si>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</si>
  <si>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</si>
  <si>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</si>
  <si>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</si>
  <si>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</si>
  <si>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</si>
  <si>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</si>
  <si>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</si>
  <si>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</si>
  <si>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</si>
  <si>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</si>
  <si>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</si>
  <si>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</si>
  <si>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</si>
  <si>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</si>
  <si>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</si>
  <si>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</si>
  <si>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</si>
  <si>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</si>
  <si>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</si>
  <si>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</si>
  <si>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</si>
  <si>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</si>
  <si>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</si>
  <si>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</si>
  <si>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</si>
  <si>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</si>
  <si>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</si>
  <si>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</si>
  <si>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</si>
  <si>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</si>
  <si>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</si>
  <si>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</si>
  <si>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</si>
  <si>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</si>
  <si>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</si>
  <si>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</si>
  <si>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</si>
  <si>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</si>
  <si>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</si>
  <si>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</si>
  <si>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</si>
  <si>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</si>
  <si>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</si>
  <si>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</si>
  <si>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</si>
  <si>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</si>
  <si>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</si>
  <si>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</si>
  <si>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</si>
  <si>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</si>
  <si>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</si>
  <si>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</si>
  <si>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</si>
  <si>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</si>
  <si>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</si>
  <si>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</si>
  <si>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</si>
  <si>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</si>
  <si>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</si>
  <si>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</si>
  <si>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</si>
  <si>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</si>
  <si>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</si>
  <si>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</si>
  <si>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</si>
  <si>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</si>
  <si>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</si>
  <si>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</si>
  <si>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</si>
  <si>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</si>
  <si>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</si>
  <si>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</si>
  <si>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</si>
  <si>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</si>
  <si>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</si>
  <si>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</si>
  <si>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</si>
  <si>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</si>
  <si>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</si>
  <si>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</si>
  <si>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</si>
  <si>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</si>
  <si>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</si>
  <si>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</si>
  <si>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</si>
  <si>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</si>
  <si>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</si>
  <si>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</si>
  <si>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</si>
  <si>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</si>
  <si>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</si>
  <si>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</si>
  <si>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</si>
  <si>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</si>
  <si>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</si>
  <si>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</si>
  <si>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</si>
  <si>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</si>
  <si>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</si>
  <si>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</si>
  <si>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</si>
  <si>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</si>
  <si>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</si>
  <si>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</si>
  <si>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</si>
  <si>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</si>
  <si>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</si>
  <si>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</si>
  <si>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</si>
  <si>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</si>
  <si>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</si>
  <si>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</si>
  <si>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</si>
  <si>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</si>
  <si>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</si>
  <si>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</si>
  <si>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</si>
  <si>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</si>
  <si>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</si>
  <si>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</si>
  <si>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</si>
  <si>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</si>
  <si>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</si>
  <si>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</si>
  <si>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</si>
  <si>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</si>
  <si>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</si>
  <si>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</si>
  <si>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</si>
  <si>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</si>
  <si>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</si>
  <si>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</si>
  <si>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</si>
  <si>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</si>
  <si>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</si>
  <si>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</si>
  <si>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</si>
  <si>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</si>
  <si>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</si>
  <si>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</si>
  <si>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</si>
  <si>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</si>
  <si>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</si>
  <si>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</si>
  <si>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</si>
  <si>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</si>
  <si>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</si>
  <si>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</si>
  <si>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</si>
  <si>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</si>
  <si>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</si>
  <si>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</si>
  <si>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</si>
  <si>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</si>
  <si>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</si>
  <si>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</si>
  <si>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</si>
  <si>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</si>
  <si>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</si>
  <si>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</si>
  <si>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</si>
  <si>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</si>
  <si>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</si>
  <si>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</si>
  <si>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</si>
  <si>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</si>
  <si>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</si>
  <si>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</si>
  <si>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</si>
  <si>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</si>
  <si>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</si>
  <si>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</si>
  <si>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</si>
  <si>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</si>
  <si>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</si>
  <si>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</si>
  <si>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</si>
  <si>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</si>
  <si>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</si>
  <si>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</si>
  <si>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</si>
  <si>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</si>
  <si>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</si>
  <si>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</si>
  <si>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</si>
  <si>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</si>
  <si>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</si>
  <si>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</si>
  <si>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</si>
  <si>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</si>
  <si>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</si>
  <si>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</si>
  <si>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</si>
  <si>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</si>
  <si>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</si>
  <si>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</si>
  <si>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</si>
  <si>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</si>
  <si>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</si>
  <si>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</si>
  <si>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</si>
  <si>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</si>
  <si>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</si>
  <si>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</si>
  <si>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</si>
  <si>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</si>
  <si>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</si>
  <si>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</si>
  <si>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</si>
  <si>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</si>
  <si>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</si>
  <si>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</si>
  <si>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</si>
  <si>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</si>
  <si>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</si>
  <si>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</si>
  <si>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</si>
  <si>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</si>
  <si>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</si>
  <si>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</si>
  <si>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</si>
  <si>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</si>
  <si>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</si>
  <si>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</si>
  <si>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</si>
  <si>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</si>
  <si>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</si>
  <si>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</si>
  <si>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</si>
  <si>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</si>
  <si>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</si>
  <si>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</si>
  <si>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</si>
  <si>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</si>
  <si>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</si>
  <si>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</si>
  <si>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</si>
  <si>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</si>
  <si>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</si>
  <si>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</si>
  <si>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</si>
  <si>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</si>
  <si>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</si>
  <si>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</si>
  <si>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</si>
  <si>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</si>
  <si>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</si>
  <si>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</si>
  <si>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</si>
  <si>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</si>
  <si>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</si>
  <si>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</si>
  <si>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</si>
  <si>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</si>
  <si>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</si>
  <si>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</si>
  <si>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</si>
  <si>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</si>
  <si>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</si>
  <si>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</si>
  <si>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</si>
  <si>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</si>
  <si>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</si>
  <si>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</si>
  <si>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</si>
  <si>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</si>
  <si>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</si>
  <si>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</si>
  <si>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</si>
  <si>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</si>
  <si>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</si>
  <si>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</si>
  <si>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</si>
  <si>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</si>
  <si>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</si>
  <si>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</si>
  <si>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</si>
  <si>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</si>
  <si>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</si>
  <si>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</si>
  <si>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</si>
  <si>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</si>
  <si>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</si>
  <si>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</si>
  <si>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</si>
  <si>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</si>
  <si>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</si>
  <si>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</si>
  <si>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</si>
  <si>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</si>
  <si>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</si>
  <si>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</si>
  <si>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</si>
  <si>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</si>
  <si>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</si>
  <si>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</si>
  <si>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</si>
  <si>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</si>
  <si>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</si>
  <si>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</si>
  <si>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</si>
  <si>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</si>
  <si>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</si>
  <si>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</si>
  <si>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</si>
  <si>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</si>
  <si>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</si>
  <si>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</si>
  <si>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</si>
  <si>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</si>
  <si>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</si>
  <si>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</si>
  <si>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</si>
  <si>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</si>
  <si>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</si>
  <si>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</si>
  <si>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</si>
  <si>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</si>
  <si>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</si>
  <si>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</si>
  <si>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</si>
  <si>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</si>
  <si>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</si>
  <si>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</si>
  <si>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</si>
  <si>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</si>
  <si>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</si>
  <si>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</si>
  <si>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</si>
  <si>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</si>
  <si>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</si>
  <si>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</si>
  <si>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</si>
  <si>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</si>
  <si>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</si>
  <si>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</si>
  <si>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</si>
  <si>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</si>
  <si>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</si>
  <si>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</si>
  <si>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</si>
  <si>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</si>
  <si>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</si>
  <si>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</si>
  <si>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</si>
  <si>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</si>
  <si>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</si>
  <si>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</si>
  <si>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</si>
  <si>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</si>
  <si>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</si>
  <si>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</si>
  <si>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</si>
  <si>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</si>
  <si>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</si>
  <si>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</si>
  <si>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</si>
  <si>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</si>
  <si>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</si>
  <si>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</si>
  <si>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</si>
  <si>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</si>
  <si>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</si>
  <si>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</si>
  <si>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</si>
  <si>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</si>
  <si>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</si>
  <si>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</si>
  <si>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</si>
  <si>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</si>
  <si>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</si>
  <si>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</si>
  <si>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</si>
  <si>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</si>
  <si>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</si>
  <si>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</si>
  <si>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</si>
  <si>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</si>
  <si>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</si>
  <si>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</si>
  <si>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</si>
  <si>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</si>
  <si>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</si>
  <si>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</si>
  <si>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</si>
  <si>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</si>
  <si>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</si>
  <si>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</si>
  <si>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</si>
  <si>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</si>
  <si>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</si>
  <si>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</si>
  <si>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</si>
  <si>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</si>
  <si>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</si>
  <si>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</si>
  <si>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</si>
  <si>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</si>
  <si>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</si>
  <si>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</si>
  <si>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</si>
  <si>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</si>
  <si>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</si>
  <si>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</si>
  <si>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</si>
  <si>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</si>
  <si>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</si>
  <si>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</si>
  <si>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</si>
  <si>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</si>
  <si>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</si>
  <si>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</si>
  <si>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</si>
  <si>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</si>
  <si>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</si>
  <si>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</si>
  <si>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</si>
  <si>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</si>
  <si>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</si>
  <si>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</si>
  <si>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</si>
  <si>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</si>
  <si>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</si>
  <si>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</si>
  <si>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</si>
  <si>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</si>
  <si>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</si>
  <si>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</si>
  <si>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</si>
  <si>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</si>
  <si>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</si>
  <si>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</si>
  <si>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</si>
  <si>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</si>
  <si>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</si>
  <si>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</si>
  <si>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</si>
  <si>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</si>
  <si>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</si>
  <si>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</si>
  <si>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</si>
  <si>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</si>
  <si>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</si>
  <si>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</si>
  <si>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</si>
  <si>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</si>
  <si>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</si>
  <si>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</si>
  <si>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</si>
  <si>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</si>
  <si>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</si>
  <si>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</si>
  <si>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</si>
  <si>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</si>
  <si>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</si>
  <si>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</si>
  <si>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</si>
  <si>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</si>
  <si>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</si>
  <si>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</si>
  <si>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</si>
  <si>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</si>
  <si>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</si>
  <si>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</si>
  <si>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</si>
  <si>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</si>
  <si>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</si>
  <si>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</si>
  <si>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</si>
  <si>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</si>
  <si>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</si>
  <si>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</si>
  <si>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</si>
  <si>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</si>
  <si>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</si>
  <si>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</si>
  <si>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</si>
  <si>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</si>
  <si>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</si>
  <si>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</si>
  <si>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</si>
  <si>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</si>
  <si>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</si>
  <si>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</si>
  <si>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</si>
  <si>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</si>
  <si>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</si>
  <si>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</si>
  <si>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</si>
  <si>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</si>
  <si>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</si>
  <si>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</si>
  <si>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</si>
  <si>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</si>
  <si>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</si>
  <si>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</si>
  <si>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</si>
  <si>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</si>
  <si>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</si>
  <si>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</si>
  <si>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</si>
  <si>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</si>
  <si>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</si>
  <si>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</si>
  <si>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</si>
  <si>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</si>
  <si>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</si>
  <si>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</si>
  <si>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</si>
  <si>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</si>
  <si>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</si>
  <si>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</si>
  <si>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</si>
  <si>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</si>
  <si>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</si>
  <si>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</si>
  <si>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</si>
  <si>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</si>
  <si>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</si>
  <si>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</si>
  <si>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</si>
  <si>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</si>
  <si>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</si>
  <si>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</si>
  <si>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</si>
  <si>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</si>
  <si>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</si>
  <si>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</si>
  <si>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</si>
  <si>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</si>
  <si>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</si>
  <si>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</si>
  <si>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</si>
  <si>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</si>
  <si>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</si>
  <si>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</si>
  <si>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</si>
  <si>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</si>
  <si>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</si>
  <si>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</si>
  <si>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</si>
  <si>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</si>
  <si>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</si>
  <si>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</si>
  <si>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</si>
  <si>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</si>
  <si>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</si>
  <si>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</si>
  <si>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</si>
  <si>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</si>
  <si>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</si>
  <si>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</si>
  <si>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</si>
  <si>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</si>
  <si>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</si>
  <si>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</si>
  <si>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</si>
  <si>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</si>
  <si>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</si>
  <si>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</si>
  <si>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</si>
  <si>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</si>
  <si>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</si>
  <si>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</si>
  <si>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</si>
  <si>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</si>
  <si>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</si>
  <si>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</si>
  <si>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</si>
  <si>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</si>
  <si>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</si>
  <si>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</si>
  <si>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</si>
  <si>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</si>
  <si>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</si>
  <si>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</si>
  <si>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</si>
  <si>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</si>
  <si>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</si>
  <si>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</si>
  <si>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</si>
  <si>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</si>
  <si>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</si>
  <si>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</si>
  <si>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</si>
  <si>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</si>
  <si>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</si>
  <si>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</si>
  <si>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</si>
  <si>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</si>
  <si>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</si>
  <si>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</si>
  <si>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</si>
  <si>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</si>
  <si>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</si>
  <si>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</si>
  <si>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</si>
  <si>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</si>
  <si>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</si>
  <si>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</si>
  <si>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</si>
  <si>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</si>
  <si>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</si>
  <si>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</si>
  <si>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</si>
  <si>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</si>
  <si>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</si>
  <si>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</si>
  <si>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</si>
  <si>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</si>
  <si>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</si>
  <si>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</si>
  <si>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</si>
  <si>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</si>
  <si>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</si>
  <si>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</si>
  <si>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</si>
  <si>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</si>
  <si>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</si>
  <si>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</si>
  <si>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</si>
  <si>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</si>
  <si>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</si>
  <si>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</si>
  <si>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</si>
  <si>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</si>
  <si>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</si>
  <si>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</si>
  <si>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</si>
  <si>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</si>
  <si>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</si>
  <si>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</si>
  <si>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</si>
  <si>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</si>
  <si>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</si>
  <si>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</si>
  <si>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</si>
  <si>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</si>
  <si>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</si>
  <si>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</si>
  <si>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</si>
  <si>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</si>
  <si>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</si>
  <si>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</si>
  <si>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</si>
  <si>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</si>
  <si>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</si>
  <si>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</si>
  <si>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</si>
  <si>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</si>
  <si>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</si>
  <si>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</si>
  <si>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</si>
  <si>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</si>
  <si>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</si>
  <si>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</si>
  <si>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</si>
  <si>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</si>
  <si>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</si>
  <si>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</si>
  <si>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</si>
  <si>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</si>
  <si>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</si>
  <si>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</si>
  <si>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</si>
  <si>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</si>
  <si>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</si>
  <si>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</si>
  <si>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</si>
  <si>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</si>
  <si>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</si>
  <si>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</si>
  <si>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</si>
  <si>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</si>
  <si>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</si>
  <si>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</si>
  <si>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</si>
  <si>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</si>
  <si>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</si>
  <si>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</si>
  <si>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</si>
  <si>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</si>
  <si>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</si>
  <si>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</si>
  <si>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</si>
  <si>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</si>
  <si>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</si>
  <si>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</si>
  <si>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</si>
  <si>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</si>
  <si>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</si>
  <si>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</si>
  <si>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</si>
  <si>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</si>
  <si>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</si>
  <si>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</si>
  <si>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</si>
  <si>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</si>
  <si>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</si>
  <si>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</si>
  <si>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</si>
  <si>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</si>
  <si>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</si>
  <si>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</si>
  <si>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</si>
  <si>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</si>
  <si>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</si>
  <si>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</si>
  <si>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</si>
  <si>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</si>
  <si>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</si>
  <si>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</si>
  <si>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</si>
  <si>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</si>
  <si>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</si>
  <si>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</si>
  <si>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</si>
  <si>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</si>
  <si>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</si>
  <si>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</si>
  <si>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</si>
  <si>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</si>
  <si>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</si>
  <si>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</si>
  <si>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</si>
  <si>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</si>
  <si>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</si>
  <si>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</si>
  <si>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</si>
  <si>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</si>
  <si>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</si>
  <si>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</si>
  <si>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</si>
  <si>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</si>
  <si>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</si>
  <si>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</si>
  <si>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</si>
  <si>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</si>
  <si>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</si>
  <si>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</si>
  <si>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</si>
  <si>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</si>
  <si>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</si>
  <si>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</si>
  <si>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</si>
  <si>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</si>
  <si>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</si>
  <si>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</si>
  <si>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</si>
  <si>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</si>
  <si>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</si>
  <si>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</si>
  <si>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</si>
  <si>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</si>
  <si>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</si>
  <si>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</si>
  <si>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</si>
  <si>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</si>
  <si>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</si>
  <si>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</si>
  <si>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</si>
  <si>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</si>
  <si>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</si>
  <si>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</si>
  <si>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</si>
  <si>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</si>
  <si>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</si>
  <si>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</si>
  <si>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</si>
  <si>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</si>
  <si>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</si>
  <si>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</si>
  <si>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</si>
  <si>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</si>
  <si>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</si>
  <si>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</si>
  <si>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</si>
  <si>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</si>
  <si>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</si>
  <si>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</si>
  <si>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</si>
  <si>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</si>
  <si>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</si>
  <si>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</si>
  <si>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</si>
  <si>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</si>
  <si>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</si>
  <si>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</si>
  <si>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</si>
  <si>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</si>
  <si>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</si>
  <si>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</si>
  <si>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</si>
  <si>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</si>
  <si>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</si>
  <si>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</si>
  <si>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</si>
  <si>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</si>
  <si>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</si>
  <si>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</si>
  <si>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</si>
  <si>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</si>
  <si>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</si>
  <si>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</si>
  <si>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</si>
  <si>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</si>
  <si>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</si>
  <si>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</si>
  <si>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</si>
  <si>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</si>
  <si>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</si>
  <si>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</si>
  <si>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</si>
  <si>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</si>
  <si>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</si>
  <si>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</si>
  <si>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</si>
  <si>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</si>
  <si>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</si>
  <si>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</si>
  <si>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</si>
  <si>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</si>
  <si>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</si>
  <si>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</si>
  <si>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</si>
  <si>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</si>
  <si>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</si>
  <si>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</si>
  <si>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</si>
  <si>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</si>
  <si>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</si>
  <si>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</si>
  <si>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</si>
  <si>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</si>
  <si>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</si>
  <si>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</si>
  <si>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</si>
  <si>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</si>
  <si>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</si>
  <si>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</si>
  <si>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</si>
  <si>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</si>
  <si>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</si>
  <si>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</si>
  <si>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</si>
  <si>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</si>
  <si>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</si>
  <si>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</si>
  <si>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</si>
  <si>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</si>
  <si>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</si>
  <si>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</si>
  <si>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</si>
  <si>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</si>
  <si>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</si>
  <si>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</si>
  <si>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</si>
  <si>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</si>
  <si>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</si>
  <si>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</si>
  <si>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</si>
  <si>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</si>
  <si>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</si>
  <si>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</si>
  <si>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</si>
  <si>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</si>
  <si>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</si>
  <si>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</si>
  <si>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</si>
  <si>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</si>
  <si>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</si>
  <si>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</si>
  <si>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</si>
  <si>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</si>
  <si>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</si>
  <si>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</si>
  <si>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</si>
  <si>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</si>
  <si>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</si>
  <si>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</si>
  <si>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</si>
  <si>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</si>
  <si>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</si>
  <si>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</si>
  <si>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</si>
  <si>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</si>
  <si>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</si>
  <si>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</si>
  <si>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</si>
  <si>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</si>
  <si>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</si>
  <si>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</si>
  <si>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</si>
  <si>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</si>
  <si>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</si>
  <si>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</si>
  <si>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</si>
  <si>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</si>
  <si>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</si>
  <si>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</si>
  <si>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</si>
  <si>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</si>
  <si>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</si>
  <si>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</si>
  <si>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</si>
  <si>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</si>
  <si>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</si>
  <si>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</si>
  <si>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</si>
  <si>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</si>
  <si>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</si>
  <si>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</si>
  <si>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</si>
  <si>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</si>
  <si>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</si>
  <si>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</si>
  <si>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</si>
  <si>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</si>
  <si>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</si>
  <si>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</si>
  <si>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</si>
  <si>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</si>
  <si>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</si>
  <si>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</si>
  <si>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</si>
  <si>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</si>
  <si>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</si>
  <si>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</si>
  <si>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</si>
  <si>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</si>
  <si>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</si>
  <si>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</si>
  <si>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</si>
  <si>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</si>
  <si>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</si>
  <si>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</si>
  <si>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</si>
  <si>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</si>
  <si>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</si>
  <si>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</si>
  <si>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</si>
  <si>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</si>
  <si>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</si>
  <si>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</si>
  <si>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</si>
  <si>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</si>
  <si>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</si>
  <si>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</si>
  <si>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</si>
  <si>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</si>
  <si>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</si>
  <si>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</si>
  <si>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</si>
  <si>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</si>
  <si>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</si>
  <si>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</si>
  <si>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</si>
  <si>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</si>
  <si>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</si>
  <si>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</si>
  <si>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</si>
  <si>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</si>
  <si>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</si>
  <si>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</si>
  <si>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</si>
  <si>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</si>
  <si>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</si>
  <si>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</si>
  <si>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</si>
  <si>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</si>
  <si>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</si>
  <si>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</si>
  <si>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</si>
  <si>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</si>
  <si>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</si>
  <si>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</si>
  <si>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</si>
  <si>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</si>
  <si>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</si>
  <si>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</si>
  <si>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</si>
  <si>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</si>
  <si>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</si>
  <si>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</si>
  <si>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</si>
  <si>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</si>
  <si>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</si>
  <si>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</si>
  <si>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</si>
  <si>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</si>
  <si>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</si>
  <si>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</si>
  <si>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</si>
  <si>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</si>
  <si>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</si>
  <si>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</si>
  <si>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</si>
  <si>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</si>
  <si>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</si>
  <si>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</si>
  <si>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</si>
  <si>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</si>
  <si>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</si>
  <si>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</si>
  <si>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</si>
  <si>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</si>
  <si>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</si>
  <si>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</si>
  <si>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</si>
  <si>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</si>
  <si>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</si>
  <si>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</si>
  <si>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</si>
  <si>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</si>
  <si>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</si>
  <si>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</si>
  <si>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</si>
  <si>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</si>
  <si>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</si>
  <si>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</si>
  <si>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</si>
  <si>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</si>
  <si>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</si>
  <si>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</si>
  <si>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</si>
  <si>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</si>
  <si>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</si>
  <si>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</si>
  <si>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</si>
  <si>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</si>
  <si>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</si>
  <si>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</si>
  <si>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</si>
  <si>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</si>
  <si>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</si>
  <si>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</si>
  <si>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</si>
  <si>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</si>
  <si>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</si>
  <si>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</si>
  <si>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</si>
  <si>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</si>
  <si>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</si>
  <si>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</si>
  <si>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</si>
  <si>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</si>
  <si>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</si>
  <si>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</si>
  <si>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</si>
  <si>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</si>
  <si>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</si>
  <si>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</si>
  <si>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</si>
  <si>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</si>
  <si>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</si>
  <si>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</si>
  <si>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</si>
  <si>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</si>
  <si>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</si>
  <si>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</si>
  <si>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</si>
  <si>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</si>
  <si>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</si>
  <si>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</si>
  <si>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</si>
  <si>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</si>
  <si>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</si>
  <si>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</si>
  <si>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</si>
  <si>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</si>
  <si>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</si>
  <si>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</si>
  <si>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</si>
  <si>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</si>
  <si>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</si>
  <si>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</si>
  <si>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</si>
  <si>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</si>
  <si>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</si>
  <si>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</si>
  <si>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</si>
  <si>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</si>
  <si>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</si>
  <si>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</si>
  <si>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</si>
  <si>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</si>
  <si>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</si>
  <si>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</si>
  <si>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</si>
  <si>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</si>
  <si>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</si>
  <si>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</si>
  <si>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</si>
  <si>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</si>
  <si>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</si>
  <si>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</si>
  <si>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</si>
  <si>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</si>
  <si>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</si>
  <si>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</si>
  <si>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</si>
  <si>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</si>
  <si>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</si>
  <si>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</si>
  <si>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</si>
  <si>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</si>
  <si>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</si>
  <si>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</si>
  <si>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</si>
  <si>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</si>
  <si>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</si>
  <si>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</si>
  <si>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</si>
  <si>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</si>
  <si>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</si>
  <si>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</si>
  <si>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</si>
  <si>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</si>
  <si>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</si>
  <si>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</si>
  <si>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</si>
  <si>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</si>
  <si>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</si>
  <si>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</si>
  <si>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</si>
  <si>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</si>
  <si>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</si>
  <si>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</si>
  <si>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</si>
  <si>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</si>
  <si>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</si>
  <si>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</si>
  <si>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</si>
  <si>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</si>
  <si>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</si>
  <si>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</si>
  <si>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</si>
  <si>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</si>
  <si>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</si>
  <si>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</si>
  <si>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</si>
  <si>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</si>
  <si>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</si>
  <si>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</si>
  <si>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</si>
  <si>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</si>
  <si>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</si>
  <si>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</si>
  <si>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</si>
  <si>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</si>
  <si>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</si>
  <si>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</si>
  <si>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</si>
  <si>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</si>
  <si>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</si>
  <si>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</si>
  <si>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</si>
  <si>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</si>
  <si>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</si>
  <si>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</si>
  <si>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</si>
  <si>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</si>
  <si>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</si>
  <si>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</si>
  <si>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</si>
  <si>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</si>
  <si>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</si>
  <si>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</si>
  <si>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</si>
  <si>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</si>
  <si>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</si>
  <si>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</si>
  <si>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</si>
  <si>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</si>
  <si>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</si>
  <si>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</si>
  <si>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</si>
  <si>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</si>
  <si>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</si>
  <si>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</si>
  <si>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</si>
  <si>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</si>
  <si>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</si>
  <si>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</si>
  <si>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</si>
  <si>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</si>
  <si>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</si>
  <si>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</si>
  <si>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</si>
  <si>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</si>
  <si>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</si>
  <si>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</si>
  <si>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</si>
  <si>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</si>
  <si>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</si>
  <si>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</si>
  <si>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</si>
  <si>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</si>
  <si>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</si>
  <si>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</si>
  <si>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</si>
  <si>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</si>
  <si>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</si>
  <si>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</si>
  <si>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</si>
  <si>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</si>
  <si>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</si>
  <si>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</si>
  <si>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</si>
  <si>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</si>
  <si>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</si>
  <si>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</si>
  <si>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</si>
  <si>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</si>
  <si>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</si>
  <si>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</si>
  <si>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</si>
  <si>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</si>
  <si>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</si>
  <si>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</si>
  <si>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</si>
  <si>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</si>
  <si>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</si>
  <si>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</si>
  <si>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</si>
  <si>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</si>
  <si>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</si>
  <si>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</si>
  <si>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</si>
  <si>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</si>
  <si>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</si>
  <si>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</si>
  <si>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</si>
  <si>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</si>
  <si>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</si>
  <si>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</si>
  <si>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</si>
  <si>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</si>
  <si>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</si>
  <si>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</si>
  <si>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</si>
  <si>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</si>
  <si>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</si>
  <si>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</si>
  <si>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</si>
  <si>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</si>
  <si>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</si>
  <si>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</si>
  <si>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</si>
  <si>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</si>
  <si>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</si>
  <si>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</si>
  <si>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</si>
  <si>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</si>
  <si>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</si>
  <si>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</si>
  <si>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</si>
  <si>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</si>
  <si>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</si>
  <si>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</si>
  <si>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</si>
  <si>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</si>
  <si>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</si>
  <si>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</si>
  <si>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</si>
  <si>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</si>
  <si>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</si>
  <si>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</si>
  <si>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</si>
  <si>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</si>
  <si>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</si>
  <si>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</si>
  <si>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</si>
  <si>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</si>
  <si>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</si>
  <si>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</si>
  <si>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</si>
  <si>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</si>
  <si>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</si>
  <si>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</si>
  <si>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</si>
  <si>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</si>
  <si>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</si>
  <si>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</si>
  <si>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</si>
  <si>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</si>
  <si>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</si>
  <si>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</si>
  <si>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</si>
  <si>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</si>
  <si>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</si>
  <si>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</si>
  <si>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</si>
  <si>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</si>
  <si>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</si>
  <si>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</si>
  <si>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</si>
  <si>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</si>
  <si>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</si>
  <si>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</si>
  <si>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</si>
  <si>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</si>
  <si>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</si>
  <si>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</si>
  <si>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</si>
  <si>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</si>
  <si>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</si>
  <si>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</si>
  <si>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</si>
  <si>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</si>
  <si>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</si>
  <si>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</si>
  <si>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</si>
  <si>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</si>
  <si>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</si>
  <si>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</si>
  <si>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</si>
  <si>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</si>
  <si>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</si>
  <si>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</si>
  <si>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</si>
  <si>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</si>
  <si>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</si>
  <si>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</si>
  <si>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</si>
  <si>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</si>
  <si>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</si>
  <si>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</si>
  <si>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</si>
  <si>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</si>
  <si>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</si>
  <si>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</si>
  <si>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</si>
  <si>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</si>
  <si>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</si>
  <si>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</si>
  <si>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</si>
  <si>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</si>
  <si>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</si>
  <si>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</si>
  <si>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</si>
  <si>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</si>
  <si>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</si>
  <si>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</si>
  <si>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</si>
  <si>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</si>
  <si>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</si>
  <si>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</si>
  <si>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</si>
  <si>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</si>
  <si>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</si>
  <si>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</si>
  <si>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</si>
  <si>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</si>
  <si>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</si>
  <si>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</si>
  <si>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</si>
  <si>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</si>
  <si>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</si>
  <si>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</si>
  <si>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</si>
  <si>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</si>
  <si>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</si>
  <si>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</si>
  <si>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</si>
  <si>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</si>
  <si>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</si>
  <si>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</si>
  <si>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</si>
  <si>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</si>
  <si>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</si>
  <si>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</si>
  <si>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</si>
  <si>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</si>
  <si>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</si>
  <si>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</si>
  <si>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</si>
  <si>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</si>
  <si>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</si>
  <si>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</si>
  <si>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</si>
  <si>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</si>
  <si>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</si>
  <si>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</si>
  <si>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</si>
  <si>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</si>
  <si>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</si>
  <si>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</si>
  <si>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</si>
  <si>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</si>
  <si>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</si>
  <si>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</si>
  <si>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</si>
  <si>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</si>
  <si>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</si>
  <si>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</si>
  <si>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</si>
  <si>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</si>
  <si>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</si>
  <si>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</si>
  <si>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</si>
  <si>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</si>
  <si>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</si>
  <si>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</si>
  <si>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</si>
  <si>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</si>
  <si>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</si>
  <si>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</si>
  <si>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</si>
  <si>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</si>
  <si>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</si>
  <si>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</si>
  <si>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</si>
  <si>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</si>
  <si>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</si>
  <si>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</si>
  <si>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</si>
  <si>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</si>
  <si>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</si>
  <si>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</si>
  <si>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</si>
  <si>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</si>
  <si>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</si>
  <si>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</si>
  <si>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</si>
  <si>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</si>
  <si>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</si>
  <si>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</si>
  <si>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</si>
  <si>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</si>
  <si>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</si>
  <si>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</si>
  <si>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</si>
  <si>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</si>
  <si>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</si>
  <si>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</si>
  <si>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</si>
  <si>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</si>
  <si>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</si>
  <si>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</si>
  <si>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</si>
  <si>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</si>
  <si>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</si>
  <si>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</si>
  <si>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</si>
  <si>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</si>
  <si>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</si>
  <si>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</si>
  <si>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</si>
  <si>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</si>
  <si>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</si>
  <si>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</si>
  <si>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</si>
  <si>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</si>
  <si>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</si>
  <si>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</si>
  <si>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</si>
  <si>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</si>
  <si>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</si>
  <si>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</si>
  <si>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</si>
  <si>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</si>
  <si>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</si>
  <si>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</si>
  <si>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</si>
  <si>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</si>
  <si>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</si>
  <si>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</si>
  <si>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</si>
  <si>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</si>
  <si>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</si>
  <si>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</si>
  <si>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</si>
  <si>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</si>
  <si>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</si>
  <si>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</si>
  <si>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</si>
  <si>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</si>
  <si>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</si>
  <si>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</si>
  <si>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</si>
  <si>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</si>
  <si>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</si>
  <si>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</si>
  <si>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</si>
  <si>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</si>
  <si>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</si>
  <si>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</si>
  <si>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</si>
  <si>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</si>
  <si>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</si>
  <si>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</si>
  <si>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</si>
  <si>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</si>
  <si>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</si>
  <si>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</si>
  <si>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</si>
  <si>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</si>
  <si>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</si>
  <si>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</si>
  <si>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</si>
  <si>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</si>
  <si>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</si>
  <si>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</si>
  <si>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</si>
  <si>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</si>
  <si>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</si>
  <si>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</si>
  <si>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</si>
  <si>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</si>
  <si>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</si>
  <si>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</si>
  <si>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</si>
  <si>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</si>
  <si>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</si>
  <si>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</si>
  <si>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</si>
  <si>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</si>
  <si>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</si>
  <si>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</si>
  <si>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</si>
  <si>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</si>
  <si>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</si>
  <si>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</si>
  <si>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</si>
  <si>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</si>
  <si>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</si>
  <si>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</si>
  <si>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</si>
  <si>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</si>
  <si>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</si>
  <si>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</si>
  <si>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</si>
  <si>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</si>
  <si>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</si>
  <si>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</si>
  <si>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</si>
  <si>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</si>
  <si>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</si>
  <si>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</si>
  <si>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</si>
  <si>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</si>
  <si>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</si>
  <si>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</si>
  <si>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</si>
  <si>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</si>
  <si>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</si>
  <si>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</si>
  <si>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</si>
  <si>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</si>
  <si>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</si>
  <si>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</si>
  <si>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</si>
  <si>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</si>
  <si>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</si>
  <si>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</si>
  <si>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</si>
  <si>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</si>
  <si>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</si>
  <si>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</si>
  <si>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</si>
  <si>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</si>
  <si>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</si>
  <si>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</si>
  <si>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</si>
  <si>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</si>
  <si>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</si>
  <si>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</si>
  <si>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</si>
  <si>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</si>
  <si>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</si>
  <si>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</si>
  <si>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</si>
  <si>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</si>
  <si>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</si>
  <si>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</si>
  <si>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</si>
  <si>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</si>
  <si>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</si>
  <si>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</si>
  <si>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</si>
  <si>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</si>
  <si>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</si>
  <si>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</si>
  <si>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</si>
  <si>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</si>
  <si>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</si>
  <si>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</si>
  <si>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</si>
  <si>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</si>
  <si>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</si>
  <si>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</si>
  <si>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</si>
  <si>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</si>
  <si>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</si>
  <si>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</si>
  <si>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</si>
  <si>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</si>
  <si>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</si>
  <si>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</si>
  <si>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</si>
  <si>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</si>
  <si>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</si>
  <si>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</si>
  <si>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</si>
  <si>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</si>
  <si>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</si>
  <si>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</si>
  <si>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</si>
  <si>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</si>
  <si>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</si>
  <si>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</si>
  <si>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</si>
  <si>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</si>
  <si>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</si>
  <si>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</si>
  <si>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</si>
  <si>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</si>
  <si>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</si>
  <si>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</si>
  <si>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</si>
  <si>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</si>
  <si>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</si>
  <si>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</si>
  <si>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</si>
  <si>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</si>
  <si>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</si>
  <si>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</si>
  <si>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</si>
  <si>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</si>
  <si>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</si>
  <si>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</si>
  <si>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</si>
  <si>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</si>
  <si>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</si>
  <si>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</si>
  <si>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</si>
  <si>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</si>
  <si>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</si>
  <si>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</si>
  <si>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</si>
  <si>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</si>
  <si>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</si>
  <si>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</si>
  <si>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</si>
  <si>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</si>
  <si>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</si>
  <si>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</si>
  <si>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</si>
  <si>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</si>
  <si>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</si>
  <si>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</si>
  <si>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</si>
  <si>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</si>
  <si>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</si>
  <si>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</si>
  <si>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</si>
  <si>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</si>
  <si>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</si>
  <si>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</si>
  <si>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</si>
  <si>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</si>
  <si>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</si>
  <si>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</si>
  <si>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</si>
  <si>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</si>
  <si>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</si>
  <si>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</si>
  <si>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</si>
  <si>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</si>
  <si>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</si>
  <si>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</si>
  <si>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</si>
  <si>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</si>
  <si>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</si>
  <si>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</si>
  <si>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</si>
  <si>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</si>
  <si>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</si>
  <si>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</si>
  <si>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</si>
  <si>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</si>
  <si>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</si>
  <si>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</si>
  <si>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</si>
  <si>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</si>
  <si>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</si>
  <si>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</si>
  <si>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</si>
  <si>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王鹏</t>
  </si>
  <si>
    <t>济南三盛房地产开发有限公司</t>
    <phoneticPr fontId="6" type="noConversion"/>
  </si>
  <si>
    <t>国投信托有限公司</t>
    <phoneticPr fontId="6" type="noConversion"/>
  </si>
  <si>
    <t>抵押</t>
  </si>
  <si>
    <t>房地产抵押价值</t>
  </si>
  <si>
    <t>其他：</t>
  </si>
  <si>
    <t>企业</t>
  </si>
  <si>
    <t>出让</t>
  </si>
  <si>
    <t>山东省济南市</t>
    <phoneticPr fontId="6" type="noConversion"/>
  </si>
  <si>
    <t>高新区凤凰路以西、旅游路以南</t>
    <phoneticPr fontId="6" type="noConversion"/>
  </si>
  <si>
    <t>土地面积</t>
    <phoneticPr fontId="143" type="noConversion"/>
  </si>
  <si>
    <t>西地块</t>
    <phoneticPr fontId="143" type="noConversion"/>
  </si>
  <si>
    <t>东地块</t>
    <phoneticPr fontId="143" type="noConversion"/>
  </si>
  <si>
    <r>
      <t>8</t>
    </r>
    <r>
      <rPr>
        <sz val="11"/>
        <color theme="1"/>
        <rFont val="宋体"/>
        <family val="3"/>
        <charset val="134"/>
        <scheme val="minor"/>
      </rPr>
      <t>#</t>
    </r>
    <phoneticPr fontId="143" type="noConversion"/>
  </si>
  <si>
    <t>9#</t>
    <phoneticPr fontId="143" type="noConversion"/>
  </si>
  <si>
    <r>
      <t>10#</t>
    </r>
    <r>
      <rPr>
        <sz val="11"/>
        <color theme="1"/>
        <rFont val="宋体"/>
        <family val="3"/>
        <charset val="134"/>
        <scheme val="minor"/>
      </rPr>
      <t/>
    </r>
  </si>
  <si>
    <t>11#</t>
  </si>
  <si>
    <r>
      <t>12#</t>
    </r>
    <r>
      <rPr>
        <sz val="11"/>
        <color theme="1"/>
        <rFont val="宋体"/>
        <family val="3"/>
        <charset val="134"/>
        <scheme val="minor"/>
      </rPr>
      <t/>
    </r>
  </si>
  <si>
    <t>车库A</t>
    <phoneticPr fontId="143" type="noConversion"/>
  </si>
  <si>
    <t>车库B</t>
    <phoneticPr fontId="143" type="noConversion"/>
  </si>
  <si>
    <t>换热站</t>
    <phoneticPr fontId="143" type="noConversion"/>
  </si>
  <si>
    <t>地上</t>
  </si>
  <si>
    <t>地上</t>
    <phoneticPr fontId="143" type="noConversion"/>
  </si>
  <si>
    <t>地下</t>
  </si>
  <si>
    <t>地下</t>
    <phoneticPr fontId="143" type="noConversion"/>
  </si>
  <si>
    <t>标黄为建工规证记载面积</t>
    <phoneticPr fontId="143" type="noConversion"/>
  </si>
  <si>
    <t>合计</t>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</si>
  <si>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</si>
  <si>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</si>
  <si>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15#</t>
    <phoneticPr fontId="143" type="noConversion"/>
  </si>
  <si>
    <t>车库C</t>
    <phoneticPr fontId="143" type="noConversion"/>
  </si>
  <si>
    <t>标红为抵押范围</t>
    <phoneticPr fontId="143" type="noConversion"/>
  </si>
  <si>
    <t>住宅</t>
  </si>
  <si>
    <t>配套</t>
    <phoneticPr fontId="3" type="noConversion"/>
  </si>
  <si>
    <t>车库</t>
  </si>
  <si>
    <t>是</t>
  </si>
  <si>
    <t>否</t>
  </si>
  <si>
    <t>平层住宅</t>
  </si>
  <si>
    <t>住宅</t>
    <phoneticPr fontId="143" type="noConversion"/>
  </si>
  <si>
    <t>车库</t>
    <phoneticPr fontId="143" type="noConversion"/>
  </si>
  <si>
    <t>16#（售楼处）</t>
    <phoneticPr fontId="143" type="noConversion"/>
  </si>
  <si>
    <t>储藏</t>
    <phoneticPr fontId="3" type="noConversion"/>
  </si>
  <si>
    <t>戊类库房</t>
  </si>
  <si>
    <t>交换站</t>
    <phoneticPr fontId="3" type="noConversion"/>
  </si>
  <si>
    <t>已建住宅</t>
    <phoneticPr fontId="3" type="noConversion"/>
  </si>
  <si>
    <t>未建住宅</t>
    <phoneticPr fontId="3" type="noConversion"/>
  </si>
  <si>
    <t>已建住宅</t>
    <phoneticPr fontId="7" type="noConversion"/>
  </si>
  <si>
    <t>未建住宅</t>
    <phoneticPr fontId="7" type="noConversion"/>
  </si>
  <si>
    <t>已建车库</t>
    <phoneticPr fontId="3" type="noConversion"/>
  </si>
  <si>
    <t>未建车库</t>
    <phoneticPr fontId="3" type="noConversion"/>
  </si>
  <si>
    <t>未建车库</t>
    <phoneticPr fontId="7" type="noConversion"/>
  </si>
  <si>
    <t>储藏室</t>
    <phoneticPr fontId="7" type="noConversion"/>
  </si>
  <si>
    <t>济南二级</t>
  </si>
  <si>
    <t>济南二级</t>
    <phoneticPr fontId="3" type="noConversion"/>
  </si>
  <si>
    <t>已建住宅</t>
  </si>
  <si>
    <t>储藏室</t>
  </si>
  <si>
    <t>未建住宅</t>
  </si>
  <si>
    <t>未建车库</t>
  </si>
  <si>
    <t>70</t>
    <phoneticPr fontId="31" type="noConversion"/>
  </si>
  <si>
    <t>正常</t>
  </si>
  <si>
    <t>成本法</t>
  </si>
  <si>
    <t>假设开发法</t>
  </si>
  <si>
    <t>住宅</t>
    <phoneticPr fontId="31" type="noConversion"/>
  </si>
  <si>
    <t>一般</t>
  </si>
  <si>
    <t>较好</t>
  </si>
  <si>
    <t>七通</t>
  </si>
  <si>
    <t>双面临街</t>
  </si>
  <si>
    <t>单面临街</t>
  </si>
  <si>
    <t>快速路</t>
    <phoneticPr fontId="31" type="noConversion"/>
  </si>
  <si>
    <t>主干道</t>
  </si>
  <si>
    <t>主干道</t>
    <phoneticPr fontId="31" type="noConversion"/>
  </si>
  <si>
    <t>次干道</t>
  </si>
  <si>
    <t>次干道</t>
    <phoneticPr fontId="31" type="noConversion"/>
  </si>
  <si>
    <t>支路</t>
    <phoneticPr fontId="31" type="noConversion"/>
  </si>
  <si>
    <t>较规则</t>
  </si>
  <si>
    <t>较规则</t>
    <phoneticPr fontId="31" type="noConversion"/>
  </si>
  <si>
    <t>三通</t>
  </si>
  <si>
    <t>三通</t>
    <phoneticPr fontId="31" type="noConversion"/>
  </si>
  <si>
    <t>较好</t>
    <phoneticPr fontId="31" type="noConversion"/>
  </si>
  <si>
    <t>较适宜</t>
  </si>
  <si>
    <t>较适宜</t>
    <phoneticPr fontId="31" type="noConversion"/>
  </si>
  <si>
    <t>济南</t>
  </si>
  <si>
    <t>车位数</t>
    <phoneticPr fontId="143" type="noConversion"/>
  </si>
  <si>
    <t>个</t>
    <phoneticPr fontId="143" type="noConversion"/>
  </si>
  <si>
    <t>分摊未建车位数</t>
    <phoneticPr fontId="143" type="noConversion"/>
  </si>
  <si>
    <t>收益法</t>
  </si>
  <si>
    <t>自定义</t>
  </si>
  <si>
    <t>钢混</t>
  </si>
  <si>
    <t>非生产用房</t>
  </si>
  <si>
    <t>在建（套用方法）</t>
  </si>
  <si>
    <t>济南市舜华南路与旅游路交汇处</t>
    <phoneticPr fontId="3" type="noConversion"/>
  </si>
  <si>
    <t>华皓英伦联邦</t>
    <phoneticPr fontId="3" type="noConversion"/>
  </si>
  <si>
    <t>住宅</t>
    <phoneticPr fontId="25" type="noConversion"/>
  </si>
  <si>
    <t>60-70（含）</t>
  </si>
  <si>
    <t>高板</t>
  </si>
  <si>
    <t>高板</t>
    <phoneticPr fontId="25" type="noConversion"/>
  </si>
  <si>
    <t>钢混</t>
    <phoneticPr fontId="25" type="noConversion"/>
  </si>
  <si>
    <t>高档</t>
  </si>
  <si>
    <t>高档</t>
    <phoneticPr fontId="25" type="noConversion"/>
  </si>
  <si>
    <t>精装</t>
  </si>
  <si>
    <t>精装</t>
    <phoneticPr fontId="25" type="noConversion"/>
  </si>
  <si>
    <t>专业</t>
  </si>
  <si>
    <t>专业</t>
    <phoneticPr fontId="25" type="noConversion"/>
  </si>
  <si>
    <t>平层</t>
  </si>
  <si>
    <t>平层</t>
    <phoneticPr fontId="25" type="noConversion"/>
  </si>
  <si>
    <t>七通</t>
    <phoneticPr fontId="25" type="noConversion"/>
  </si>
  <si>
    <t>毛坯</t>
  </si>
  <si>
    <t>毛坯</t>
    <phoneticPr fontId="25" type="noConversion"/>
  </si>
  <si>
    <t>万科金域华府</t>
    <phoneticPr fontId="3" type="noConversion"/>
  </si>
  <si>
    <t>山东省济南市历下区经十路与凤山路交叉口北行约400米</t>
    <phoneticPr fontId="3" type="noConversion"/>
  </si>
  <si>
    <t>恒大龙奥御苑</t>
    <phoneticPr fontId="3" type="noConversion"/>
  </si>
  <si>
    <t>山东省济南市历下区历下区龙鼎大道全运村南行300米</t>
    <phoneticPr fontId="3" type="noConversion"/>
  </si>
  <si>
    <t>简装</t>
    <phoneticPr fontId="25" type="noConversion"/>
  </si>
  <si>
    <t>普装</t>
    <phoneticPr fontId="25" type="noConversion"/>
  </si>
  <si>
    <t>精装</t>
    <phoneticPr fontId="25" type="noConversion"/>
  </si>
  <si>
    <t>2017-G092</t>
    <phoneticPr fontId="3" type="noConversion"/>
  </si>
  <si>
    <t>高新区旅游路以南、舜华路以东</t>
    <phoneticPr fontId="3" type="noConversion"/>
  </si>
  <si>
    <t>2017-G081</t>
    <phoneticPr fontId="3" type="noConversion"/>
  </si>
  <si>
    <t>高新区旅游路以南、凤凰路以西</t>
    <phoneticPr fontId="3" type="noConversion"/>
  </si>
  <si>
    <t>2017-G083</t>
    <phoneticPr fontId="3" type="noConversion"/>
  </si>
  <si>
    <t>高新区旅游路以南、凤凰路以东</t>
    <phoneticPr fontId="3" type="noConversion"/>
  </si>
  <si>
    <t>成本比率</t>
  </si>
  <si>
    <t>总价</t>
  </si>
  <si>
    <t>配套</t>
    <phoneticPr fontId="143" type="noConversion"/>
  </si>
  <si>
    <t>地上住宅</t>
    <phoneticPr fontId="143" type="noConversion"/>
  </si>
  <si>
    <t>地上底商</t>
    <phoneticPr fontId="143" type="noConversion"/>
  </si>
  <si>
    <t>未建商业</t>
  </si>
  <si>
    <t>未建商业</t>
    <phoneticPr fontId="3" type="noConversion"/>
  </si>
  <si>
    <t>底商</t>
  </si>
  <si>
    <t>未建商业</t>
    <phoneticPr fontId="7" type="noConversion"/>
  </si>
  <si>
    <t>收益法 (底商)</t>
  </si>
  <si>
    <t>收益法 (底商)</t>
    <phoneticPr fontId="16" type="noConversion"/>
  </si>
  <si>
    <t>是否坡地</t>
    <phoneticPr fontId="31" type="noConversion"/>
  </si>
  <si>
    <t>是</t>
    <phoneticPr fontId="31" type="noConversion"/>
  </si>
  <si>
    <t>否</t>
    <phoneticPr fontId="31" type="noConversion"/>
  </si>
  <si>
    <t>一般</t>
    <phoneticPr fontId="31" type="noConversion"/>
  </si>
  <si>
    <t>2.估价师知悉的除抵押担保权以外的法定优先受偿款</t>
  </si>
  <si>
    <t>已注销</t>
  </si>
  <si>
    <t>地下与车库公用部分</t>
    <phoneticPr fontId="143" type="noConversion"/>
  </si>
  <si>
    <t>地下仓储</t>
    <phoneticPr fontId="143" type="noConversion"/>
  </si>
  <si>
    <t>仓储</t>
  </si>
  <si>
    <t>部分缴纳</t>
  </si>
  <si>
    <t>未包含在土地购买价格中</t>
  </si>
  <si>
    <t>已部分缴纳</t>
  </si>
  <si>
    <t>押一</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</si>
</sst>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101" fillId="5" borderId="0" xfId="0"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23" xfId="0" applyFont="1" applyBorder="1" applyAlignment="1" applyProtection="1">
      <alignment horizontal="right" vertical="center" wrapText="1"/>
      <protection locked="0"/>
    </xf>
    <xf numFmtId="0" fontId="47" fillId="6"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37" fillId="0" borderId="51" xfId="0" applyNumberFormat="1" applyFont="1" applyFill="1" applyBorder="1" applyAlignment="1" applyProtection="1">
      <alignment horizontal="center" vertical="center" wrapText="1"/>
      <protection locked="0"/>
    </xf>
    <xf numFmtId="0" fontId="101" fillId="7" borderId="0" xfId="0"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5" borderId="0" xfId="0" applyFont="1" applyFill="1">
      <alignment vertical="center"/>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14" fillId="5" borderId="0" xfId="0" applyFont="1" applyFill="1">
      <alignment vertical="center"/>
    </xf>
    <xf numFmtId="0" fontId="100" fillId="16" borderId="0" xfId="0" applyFont="1" applyFill="1">
      <alignment vertical="center"/>
    </xf>
    <xf numFmtId="176" fontId="108" fillId="16" borderId="1" xfId="0" applyNumberFormat="1" applyFont="1" applyFill="1" applyBorder="1" applyAlignment="1" applyProtection="1">
      <alignment vertical="center" wrapText="1"/>
      <protection locked="0"/>
    </xf>
    <xf numFmtId="176" fontId="108" fillId="16" borderId="1" xfId="0" applyNumberFormat="1" applyFont="1" applyFill="1" applyBorder="1" applyAlignment="1" applyProtection="1">
      <alignment horizontal="center" vertical="center" wrapText="1"/>
      <protection locked="0"/>
    </xf>
    <xf numFmtId="0" fontId="222" fillId="16" borderId="24" xfId="0" applyFont="1" applyFill="1" applyBorder="1" applyAlignment="1" applyProtection="1">
      <alignment vertical="center"/>
      <protection locked="0"/>
    </xf>
    <xf numFmtId="177" fontId="48" fillId="16" borderId="1" xfId="1" applyNumberFormat="1" applyFont="1" applyFill="1" applyBorder="1" applyAlignment="1" applyProtection="1">
      <alignment horizontal="center" vertical="center"/>
      <protection locked="0"/>
    </xf>
    <xf numFmtId="184" fontId="132" fillId="16" borderId="1" xfId="0" applyNumberFormat="1" applyFont="1" applyFill="1" applyBorder="1" applyAlignment="1" applyProtection="1">
      <alignment horizontal="center" vertical="center" shrinkToFit="1"/>
      <protection locked="0"/>
    </xf>
    <xf numFmtId="177" fontId="132" fillId="16" borderId="1" xfId="1" applyNumberFormat="1" applyFont="1" applyFill="1" applyBorder="1" applyAlignment="1" applyProtection="1">
      <alignment horizontal="center" vertical="center"/>
      <protection locked="0"/>
    </xf>
    <xf numFmtId="177" fontId="222" fillId="16" borderId="5" xfId="1" applyNumberFormat="1" applyFont="1" applyFill="1" applyBorder="1" applyAlignment="1" applyProtection="1">
      <alignment vertical="center"/>
      <protection locked="0"/>
    </xf>
    <xf numFmtId="181" fontId="108" fillId="16" borderId="1" xfId="0" applyNumberFormat="1" applyFont="1" applyFill="1" applyBorder="1" applyAlignment="1" applyProtection="1">
      <alignment horizontal="center" vertical="center"/>
      <protection locked="0"/>
    </xf>
    <xf numFmtId="0" fontId="108" fillId="16" borderId="23" xfId="0" applyFont="1" applyFill="1" applyBorder="1" applyAlignment="1" applyProtection="1">
      <alignment horizontal="center" vertical="center"/>
      <protection locked="0"/>
    </xf>
    <xf numFmtId="0" fontId="108" fillId="16" borderId="61" xfId="1" applyNumberFormat="1" applyFont="1" applyFill="1" applyBorder="1" applyAlignment="1" applyProtection="1">
      <alignment horizontal="center" vertical="center"/>
      <protection locked="0"/>
    </xf>
    <xf numFmtId="0" fontId="108" fillId="16" borderId="49" xfId="1" applyNumberFormat="1" applyFont="1" applyFill="1" applyBorder="1" applyAlignment="1" applyProtection="1">
      <alignment horizontal="center" vertical="center"/>
      <protection locked="0"/>
    </xf>
    <xf numFmtId="0" fontId="108" fillId="16" borderId="3" xfId="0" applyFont="1" applyFill="1" applyBorder="1" applyAlignment="1" applyProtection="1">
      <alignment vertical="center"/>
      <protection locked="0"/>
    </xf>
    <xf numFmtId="0" fontId="108" fillId="16" borderId="5" xfId="1" applyFont="1" applyFill="1" applyBorder="1" applyAlignment="1" applyProtection="1">
      <alignment horizontal="right" vertical="center"/>
      <protection locked="0"/>
    </xf>
    <xf numFmtId="0" fontId="108" fillId="16" borderId="54" xfId="0" applyFont="1" applyFill="1" applyBorder="1" applyAlignment="1" applyProtection="1">
      <alignment vertical="center"/>
      <protection locked="0"/>
    </xf>
    <xf numFmtId="181" fontId="108" fillId="16"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123824</xdr:colOff>
      <xdr:row>20</xdr:row>
      <xdr:rowOff>10696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38624" cy="3439696"/>
        </a:xfrm>
        <a:prstGeom prst="rect">
          <a:avLst/>
        </a:prstGeom>
      </xdr:spPr>
    </xdr:pic>
    <xdr:clientData/>
  </xdr:twoCellAnchor>
  <xdr:twoCellAnchor editAs="oneCell">
    <xdr:from>
      <xdr:col>6</xdr:col>
      <xdr:colOff>238125</xdr:colOff>
      <xdr:row>0</xdr:row>
      <xdr:rowOff>85725</xdr:rowOff>
    </xdr:from>
    <xdr:to>
      <xdr:col>13</xdr:col>
      <xdr:colOff>533401</xdr:colOff>
      <xdr:row>20</xdr:row>
      <xdr:rowOff>49586</xdr:rowOff>
    </xdr:to>
    <xdr:pic>
      <xdr:nvPicPr>
        <xdr:cNvPr id="3" name="图片 2"/>
        <xdr:cNvPicPr>
          <a:picLocks noChangeAspect="1"/>
        </xdr:cNvPicPr>
      </xdr:nvPicPr>
      <xdr:blipFill>
        <a:blip xmlns:r="http://schemas.openxmlformats.org/officeDocument/2006/relationships" r:embed="rId2"/>
        <a:stretch>
          <a:fillRect/>
        </a:stretch>
      </xdr:blipFill>
      <xdr:spPr>
        <a:xfrm>
          <a:off x="4352925" y="85725"/>
          <a:ext cx="5095876" cy="3392861"/>
        </a:xfrm>
        <a:prstGeom prst="rect">
          <a:avLst/>
        </a:prstGeom>
      </xdr:spPr>
    </xdr:pic>
    <xdr:clientData/>
  </xdr:twoCellAnchor>
  <xdr:twoCellAnchor editAs="oneCell">
    <xdr:from>
      <xdr:col>0</xdr:col>
      <xdr:colOff>38100</xdr:colOff>
      <xdr:row>21</xdr:row>
      <xdr:rowOff>123826</xdr:rowOff>
    </xdr:from>
    <xdr:to>
      <xdr:col>6</xdr:col>
      <xdr:colOff>333375</xdr:colOff>
      <xdr:row>36</xdr:row>
      <xdr:rowOff>167706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38100" y="3724276"/>
          <a:ext cx="4410075" cy="2615630"/>
        </a:xfrm>
        <a:prstGeom prst="rect">
          <a:avLst/>
        </a:prstGeom>
      </xdr:spPr>
    </xdr:pic>
    <xdr:clientData/>
  </xdr:twoCellAnchor>
  <xdr:twoCellAnchor editAs="oneCell">
    <xdr:from>
      <xdr:col>0</xdr:col>
      <xdr:colOff>28575</xdr:colOff>
      <xdr:row>37</xdr:row>
      <xdr:rowOff>19050</xdr:rowOff>
    </xdr:from>
    <xdr:to>
      <xdr:col>5</xdr:col>
      <xdr:colOff>523385</xdr:colOff>
      <xdr:row>58</xdr:row>
      <xdr:rowOff>132886</xdr:rowOff>
    </xdr:to>
    <xdr:pic>
      <xdr:nvPicPr>
        <xdr:cNvPr id="5" name="图片 4"/>
        <xdr:cNvPicPr>
          <a:picLocks noChangeAspect="1"/>
        </xdr:cNvPicPr>
      </xdr:nvPicPr>
      <xdr:blipFill>
        <a:blip xmlns:r="http://schemas.openxmlformats.org/officeDocument/2006/relationships" r:embed="rId4"/>
        <a:stretch>
          <a:fillRect/>
        </a:stretch>
      </xdr:blipFill>
      <xdr:spPr>
        <a:xfrm>
          <a:off x="28575" y="6362700"/>
          <a:ext cx="3923810" cy="3714286"/>
        </a:xfrm>
        <a:prstGeom prst="rect">
          <a:avLst/>
        </a:prstGeom>
      </xdr:spPr>
    </xdr:pic>
    <xdr:clientData/>
  </xdr:twoCellAnchor>
  <xdr:twoCellAnchor editAs="oneCell">
    <xdr:from>
      <xdr:col>8</xdr:col>
      <xdr:colOff>0</xdr:colOff>
      <xdr:row>46</xdr:row>
      <xdr:rowOff>1</xdr:rowOff>
    </xdr:from>
    <xdr:to>
      <xdr:col>15</xdr:col>
      <xdr:colOff>190500</xdr:colOff>
      <xdr:row>63</xdr:row>
      <xdr:rowOff>78885</xdr:rowOff>
    </xdr:to>
    <xdr:pic>
      <xdr:nvPicPr>
        <xdr:cNvPr id="8" name="图片 7"/>
        <xdr:cNvPicPr>
          <a:picLocks noChangeAspect="1"/>
        </xdr:cNvPicPr>
      </xdr:nvPicPr>
      <xdr:blipFill>
        <a:blip xmlns:r="http://schemas.openxmlformats.org/officeDocument/2006/relationships" r:embed="rId5"/>
        <a:stretch>
          <a:fillRect/>
        </a:stretch>
      </xdr:blipFill>
      <xdr:spPr>
        <a:xfrm>
          <a:off x="5486400" y="7886701"/>
          <a:ext cx="4991100" cy="2993534"/>
        </a:xfrm>
        <a:prstGeom prst="rect">
          <a:avLst/>
        </a:prstGeom>
      </xdr:spPr>
    </xdr:pic>
    <xdr:clientData/>
  </xdr:twoCellAnchor>
  <xdr:twoCellAnchor editAs="oneCell">
    <xdr:from>
      <xdr:col>8</xdr:col>
      <xdr:colOff>1</xdr:colOff>
      <xdr:row>65</xdr:row>
      <xdr:rowOff>0</xdr:rowOff>
    </xdr:from>
    <xdr:to>
      <xdr:col>15</xdr:col>
      <xdr:colOff>190501</xdr:colOff>
      <xdr:row>82</xdr:row>
      <xdr:rowOff>55582</xdr:rowOff>
    </xdr:to>
    <xdr:pic>
      <xdr:nvPicPr>
        <xdr:cNvPr id="9" name="图片 8"/>
        <xdr:cNvPicPr>
          <a:picLocks noChangeAspect="1"/>
        </xdr:cNvPicPr>
      </xdr:nvPicPr>
      <xdr:blipFill>
        <a:blip xmlns:r="http://schemas.openxmlformats.org/officeDocument/2006/relationships" r:embed="rId6"/>
        <a:stretch>
          <a:fillRect/>
        </a:stretch>
      </xdr:blipFill>
      <xdr:spPr>
        <a:xfrm>
          <a:off x="5486401" y="11144250"/>
          <a:ext cx="4991100" cy="2970232"/>
        </a:xfrm>
        <a:prstGeom prst="rect">
          <a:avLst/>
        </a:prstGeom>
      </xdr:spPr>
    </xdr:pic>
    <xdr:clientData/>
  </xdr:twoCellAnchor>
  <xdr:twoCellAnchor editAs="oneCell">
    <xdr:from>
      <xdr:col>8</xdr:col>
      <xdr:colOff>133350</xdr:colOff>
      <xdr:row>27</xdr:row>
      <xdr:rowOff>47625</xdr:rowOff>
    </xdr:from>
    <xdr:to>
      <xdr:col>14</xdr:col>
      <xdr:colOff>542925</xdr:colOff>
      <xdr:row>43</xdr:row>
      <xdr:rowOff>87494</xdr:rowOff>
    </xdr:to>
    <xdr:pic>
      <xdr:nvPicPr>
        <xdr:cNvPr id="10" name="图片 9"/>
        <xdr:cNvPicPr>
          <a:picLocks noChangeAspect="1"/>
        </xdr:cNvPicPr>
      </xdr:nvPicPr>
      <xdr:blipFill>
        <a:blip xmlns:r="http://schemas.openxmlformats.org/officeDocument/2006/relationships" r:embed="rId7"/>
        <a:stretch>
          <a:fillRect/>
        </a:stretch>
      </xdr:blipFill>
      <xdr:spPr>
        <a:xfrm>
          <a:off x="5619750" y="4676775"/>
          <a:ext cx="4524375" cy="27830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7',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山东省济南市高新区凤凰路以西、旅游路以南出让国有建设用地使用权及在建建筑物房地产抵押价值预评估</v>
      </c>
    </row>
    <row r="3" spans="1:2" s="1592" customFormat="1">
      <c r="A3" s="1590" t="s">
        <v>1222</v>
      </c>
      <c r="B3" s="1591" t="str">
        <f>'预评函-封皮'!B40</f>
        <v>济南三盛房地产开发有限公司</v>
      </c>
    </row>
    <row r="4" spans="1:2" s="1592" customFormat="1">
      <c r="A4" s="1590" t="s">
        <v>1223</v>
      </c>
      <c r="B4" s="1591" t="str">
        <f ca="1">'预评函-封皮'!B46</f>
        <v>郑燚（注册号：1120070131)、王鹏（注册号：1120050019)</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受贵公司委托，我公司对山东省济南市高新区凤凰路以西、旅游路以南出让国有建设用地使用权及在建建筑物房地产抵押价值进行了预评估。</v>
      </c>
    </row>
    <row r="7" spans="1:2" s="1592" customFormat="1">
      <c r="A7" s="1590" t="s">
        <v>1265</v>
      </c>
      <c r="B7" s="1591" t="str">
        <f>'预评函-1'!A7</f>
        <v>估价对象为山东省济南市高新区凤凰路以西、旅游路以南出让国有建设用地使用权及在建建筑物房地产，为济南三盛房地产开发有限公司所有。根据《国有土地使用证》[]，估价对象（分摊）出让国有建设用地使用权面积为20327.75平方米，建筑面积为64569.14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20327.75平方米，规划建筑面积为64569.14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为估价委托人在向国投信托有限公司办理贷款手续过程中，确定房地产抵押贷款额度提供参考依据而评估房地产抵押价值。</v>
      </c>
    </row>
    <row r="12" spans="1:2" s="1592" customFormat="1">
      <c r="A12" s="1590" t="s">
        <v>1227</v>
      </c>
      <c r="B12" s="1591" t="str">
        <f>'预评函-1'!A15</f>
        <v>2017年11月17日（评估专业人员实地查勘之日）</v>
      </c>
    </row>
    <row r="13" spans="1:2" s="1592" customFormat="1">
      <c r="A13" s="1590" t="s">
        <v>1228</v>
      </c>
      <c r="B13" s="1591" t="str">
        <f>'预评函-1'!A18</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本次评估采用的主估价方法为成本法和假设开发法。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83432</v>
      </c>
    </row>
    <row r="21" spans="1:2" s="1592" customFormat="1">
      <c r="A21" s="1590" t="s">
        <v>1236</v>
      </c>
      <c r="B21" s="1591">
        <f ca="1">'预评函-2'!D7</f>
        <v>12921</v>
      </c>
    </row>
    <row r="22" spans="1:2" s="1592" customFormat="1">
      <c r="A22" s="1590" t="s">
        <v>1237</v>
      </c>
      <c r="B22" s="1591" t="str">
        <f ca="1">'预评函-2'!D6</f>
        <v>捌亿叁仟肆佰叁拾贰万元整</v>
      </c>
    </row>
    <row r="23" spans="1:2" s="1592" customFormat="1">
      <c r="A23" s="1590" t="s">
        <v>1288</v>
      </c>
      <c r="B23" s="1591" t="str">
        <f>'预评函-2'!B8</f>
        <v>2.估价师知悉的除抵押担保权以外的法定优先受偿款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v>
      </c>
    </row>
    <row r="30" spans="1:2" s="1592" customFormat="1">
      <c r="A30" s="1590" t="s">
        <v>1293</v>
      </c>
      <c r="B30" s="1591" t="str">
        <f>'预评函-2'!D13</f>
        <v>——</v>
      </c>
    </row>
    <row r="31" spans="1:2" s="1592" customFormat="1">
      <c r="A31" s="1590" t="s">
        <v>1275</v>
      </c>
      <c r="B31" s="1591" t="e">
        <f>'预评函-2'!D15</f>
        <v>#VALUE!</v>
      </c>
    </row>
    <row r="32" spans="1:2" s="1592" customFormat="1">
      <c r="A32" s="1590" t="s">
        <v>1242</v>
      </c>
      <c r="B32" s="1591" t="e">
        <f>'预评函-2'!D14</f>
        <v>#VALUE!</v>
      </c>
    </row>
    <row r="33" spans="1:2" s="1592" customFormat="1">
      <c r="A33" s="1590" t="s">
        <v>1277</v>
      </c>
      <c r="B33" s="1591" t="str">
        <f>'预评函-2'!B16</f>
        <v>3.抵押担保权已注销时的房地产抵押价值</v>
      </c>
    </row>
    <row r="34" spans="1:2" s="1592" customFormat="1">
      <c r="A34" s="1590" t="s">
        <v>1295</v>
      </c>
      <c r="B34" s="1591">
        <f ca="1">'预评函-2'!D16</f>
        <v>83432</v>
      </c>
    </row>
    <row r="35" spans="1:2" s="1592" customFormat="1">
      <c r="A35" s="1590" t="s">
        <v>1276</v>
      </c>
      <c r="B35" s="1591">
        <f ca="1">'预评函-2'!D18</f>
        <v>12921</v>
      </c>
    </row>
    <row r="36" spans="1:2" s="1592" customFormat="1">
      <c r="A36" s="1590" t="s">
        <v>1243</v>
      </c>
      <c r="B36" s="1591" t="str">
        <f ca="1">'预评函-2'!D17</f>
        <v>捌亿叁仟肆佰叁拾贰万元整</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山东省济南市高新区凤凰路以西、旅游路以南出让国有建设用地使用权及在建建筑物房地产</v>
      </c>
    </row>
    <row r="42" spans="1:2" s="1592" customFormat="1">
      <c r="A42" s="1590" t="s">
        <v>1289</v>
      </c>
      <c r="B42" s="1591" t="str">
        <f>'预评函-3'!B2</f>
        <v>建筑面积</v>
      </c>
    </row>
    <row r="43" spans="1:2" s="1592" customFormat="1">
      <c r="A43" s="1590" t="s">
        <v>1290</v>
      </c>
      <c r="B43" s="1591">
        <f>'预评函-3'!B4</f>
        <v>64569.140000000007</v>
      </c>
    </row>
    <row r="44" spans="1:2" s="1592" customFormat="1">
      <c r="A44" s="1590" t="s">
        <v>1274</v>
      </c>
      <c r="B44" s="1591" t="str">
        <f>'预评函-3'!C2</f>
        <v>(分摊)土地面积</v>
      </c>
    </row>
    <row r="45" spans="1:2" s="1592" customFormat="1">
      <c r="A45" s="1590" t="s">
        <v>1246</v>
      </c>
      <c r="B45" s="1591">
        <f>'预评函-3'!C4</f>
        <v>20327.75</v>
      </c>
    </row>
    <row r="46" spans="1:2" s="1592" customFormat="1">
      <c r="A46" s="1590" t="s">
        <v>1272</v>
      </c>
      <c r="B46" s="1591" t="str">
        <f>'预评函-3'!D2</f>
        <v>出让国有建设用地使用权价值</v>
      </c>
    </row>
    <row r="47" spans="1:2" s="1592" customFormat="1">
      <c r="A47" s="1590" t="s">
        <v>1247</v>
      </c>
      <c r="B47" s="1591">
        <f ca="1">'预评函-3'!D4</f>
        <v>81263</v>
      </c>
    </row>
    <row r="48" spans="1:2" s="1592" customFormat="1">
      <c r="A48" s="1590" t="s">
        <v>1248</v>
      </c>
      <c r="B48" s="1591">
        <f ca="1">'预评函-3'!E4</f>
        <v>12585</v>
      </c>
    </row>
    <row r="49" spans="1:2" s="1592" customFormat="1">
      <c r="A49" s="1590" t="s">
        <v>1249</v>
      </c>
      <c r="B49" s="1591" t="str">
        <f ca="1">'预评函-3'!D5</f>
        <v>捌亿壹仟贰佰陆拾叁万元整</v>
      </c>
    </row>
    <row r="50" spans="1:2" s="1592" customFormat="1">
      <c r="A50" s="1590" t="s">
        <v>1273</v>
      </c>
      <c r="B50" s="1591" t="str">
        <f>'预评函-3'!F2</f>
        <v>在建建筑物价值</v>
      </c>
    </row>
    <row r="51" spans="1:2" s="1592" customFormat="1">
      <c r="A51" s="1590" t="s">
        <v>1250</v>
      </c>
      <c r="B51" s="1591">
        <f ca="1">'预评函-3'!F4</f>
        <v>2169</v>
      </c>
    </row>
    <row r="52" spans="1:2" s="1592" customFormat="1">
      <c r="A52" s="1590" t="s">
        <v>1251</v>
      </c>
      <c r="B52" s="1591">
        <f ca="1">'预评函-3'!G4</f>
        <v>336</v>
      </c>
    </row>
    <row r="53" spans="1:2" s="1592" customFormat="1">
      <c r="A53" s="1590" t="s">
        <v>1279</v>
      </c>
      <c r="B53" s="1591" t="str">
        <f ca="1">'预评函-3'!F5</f>
        <v>贰仟壹佰陆拾玖万元整</v>
      </c>
    </row>
    <row r="54" spans="1:2" s="1592" customFormat="1">
      <c r="A54" s="1590" t="s">
        <v>1297</v>
      </c>
      <c r="B54" s="1591" t="str">
        <f>'预评函-3'!A8</f>
        <v/>
      </c>
    </row>
    <row r="55" spans="1:2" s="1592" customFormat="1">
      <c r="A55" s="1590" t="s">
        <v>1280</v>
      </c>
      <c r="B55" s="1591" t="str">
        <f>'预评函-3'!A10</f>
        <v>抵押担保权已注销时的房地产抵押价值</v>
      </c>
    </row>
    <row r="56" spans="1:2" s="1592" customFormat="1">
      <c r="A56" s="1590" t="s">
        <v>1281</v>
      </c>
      <c r="B56" s="1591" t="str">
        <f>'预评函-3'!A12</f>
        <v/>
      </c>
    </row>
    <row r="57" spans="1:2" s="1586" customFormat="1" ht="15" thickBot="1">
      <c r="A57" s="1593" t="s">
        <v>1298</v>
      </c>
      <c r="B57" s="1594" t="str">
        <f>'预评函-3'!A6</f>
        <v>估价师知悉的除抵押担保权以外的法定优先受偿款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故，本次评估不存在估价师知悉的除抵押担保权以外的法定优先受偿款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1270</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郑燚</v>
      </c>
    </row>
    <row r="71" spans="1:2">
      <c r="A71" s="1590" t="s">
        <v>1262</v>
      </c>
      <c r="B71" s="1591">
        <f ca="1">'预评函-4'!B4</f>
        <v>1120070131</v>
      </c>
    </row>
    <row r="72" spans="1:2">
      <c r="A72" s="1590" t="s">
        <v>1263</v>
      </c>
      <c r="B72" s="1599" t="str">
        <f>'预评函-4'!A5</f>
        <v>王鹏</v>
      </c>
    </row>
    <row r="73" spans="1:2" s="1586" customFormat="1" ht="15" thickBot="1">
      <c r="A73" s="1593" t="s">
        <v>1264</v>
      </c>
      <c r="B73" s="1594">
        <f ca="1">'预评函-4'!B5</f>
        <v>1120050019</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Y21" sqref="Y21"/>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3178</v>
      </c>
      <c r="C17" s="2014"/>
    </row>
    <row r="18" spans="1:3">
      <c r="A18" s="2013" t="s">
        <v>1769</v>
      </c>
      <c r="B18" s="2013" t="s">
        <v>757</v>
      </c>
      <c r="C18" s="2014"/>
    </row>
    <row r="19" spans="1:3">
      <c r="A19" s="2013" t="s">
        <v>1770</v>
      </c>
      <c r="B19" s="2013" t="s">
        <v>757</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为估价委托人在向国投信托有限公司办理贷款手续过程中，确定房地产抵押贷款额度提供参考依据而评估房地产抵押价值。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济南三盛房地产开发有限公司拟使用山东省济南市高新区凤凰路以西、旅游路以南出让国有建设用地使用权及在建建筑物房地产作为抵押担保物，向国投信托有限公司办理贷款手续。国投信托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3"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21" t="s">
        <v>864</v>
      </c>
      <c r="C54" s="2018" t="s">
        <v>1282</v>
      </c>
    </row>
    <row r="55" spans="1:4">
      <c r="A55" s="3023"/>
      <c r="B55" s="2021" t="s">
        <v>865</v>
      </c>
      <c r="C55" s="2018" t="s">
        <v>1283</v>
      </c>
    </row>
    <row r="56" spans="1:4">
      <c r="A56" s="3023"/>
      <c r="B56" s="2021" t="s">
        <v>866</v>
      </c>
      <c r="C56" s="2018" t="s">
        <v>1287</v>
      </c>
    </row>
    <row r="57" spans="1:4">
      <c r="A57" s="3023"/>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H13" sqref="H13:H14"/>
    </sheetView>
  </sheetViews>
  <sheetFormatPr defaultColWidth="10" defaultRowHeight="18" customHeight="1"/>
  <cols>
    <col min="1" max="1" width="14.875" style="2031" customWidth="1"/>
    <col min="2" max="2" width="12.625" style="2031" customWidth="1"/>
    <col min="3" max="3" width="11.5" style="2031" customWidth="1"/>
    <col min="4" max="4" width="19.125" style="2031" customWidth="1"/>
    <col min="5"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1778</v>
      </c>
      <c r="B1" s="3032" t="str">
        <f>IF(B10="北京市","北京市",C10)&amp;F10&amp;IF(结果表!G1="在建","出让国有建设用地使用权及在建建筑物",IF(结果表!G1="土地","出让国有建设用地使用权",))&amp;B9&amp;"预评估"</f>
        <v>山东省济南市高新区凤凰路以西、旅游路以南出让国有建设用地使用权及在建建筑物房地产抵押价值预评估</v>
      </c>
      <c r="C1" s="3033"/>
      <c r="D1" s="3033"/>
      <c r="E1" s="3033"/>
      <c r="F1" s="3033"/>
      <c r="G1" s="3033"/>
      <c r="H1" s="3033"/>
      <c r="I1" s="303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山东省济南市高新区凤凰路以西、旅游路以南出让国有建设用地使用权及在建建筑物房地产抵押价值</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山东省济南市高新区凤凰路以西、旅游路以南出让国有建设用地使用权及在建建筑物房地产</v>
      </c>
    </row>
    <row r="3" spans="1:19" ht="18" customHeight="1">
      <c r="A3" s="2034" t="s">
        <v>1780</v>
      </c>
      <c r="B3" s="2035">
        <v>43056</v>
      </c>
      <c r="C3" s="2036" t="s">
        <v>1781</v>
      </c>
      <c r="D3" s="2035">
        <f>B3</f>
        <v>43056</v>
      </c>
      <c r="E3" s="2025"/>
      <c r="F3" s="2025"/>
      <c r="G3" s="2025"/>
      <c r="H3" s="2025"/>
      <c r="I3" s="2025"/>
      <c r="J3" s="2025"/>
      <c r="K3" s="2026"/>
      <c r="L3" s="2027"/>
      <c r="M3" s="2027"/>
      <c r="N3" s="2028"/>
      <c r="O3" s="2029"/>
      <c r="P3" s="2028"/>
      <c r="Q3" s="2028"/>
      <c r="R3" s="2028"/>
      <c r="S3" s="2030"/>
    </row>
    <row r="4" spans="1:19" ht="18" customHeight="1" thickBot="1">
      <c r="A4" s="2037" t="s">
        <v>1782</v>
      </c>
      <c r="B4" s="2038" t="s">
        <v>3046</v>
      </c>
      <c r="C4" s="1037">
        <f ca="1">SUMIF(注册房地产估价师,B4,估价师及机构信息!B3:B24)</f>
        <v>1120070131</v>
      </c>
      <c r="D4" s="2038" t="s">
        <v>3047</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1783</v>
      </c>
      <c r="B5" s="2920" t="s">
        <v>3048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1784</v>
      </c>
      <c r="B6" s="2921"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1785</v>
      </c>
      <c r="B7" s="2920" t="s">
        <v>3048</v>
      </c>
      <c r="C7" s="2047"/>
      <c r="D7" s="2048"/>
      <c r="E7" s="2033"/>
      <c r="F7" s="2041"/>
      <c r="G7" s="2041"/>
      <c r="H7" s="2041"/>
      <c r="I7" s="2041"/>
      <c r="J7" s="2041"/>
      <c r="K7" s="2050"/>
      <c r="L7" s="2027"/>
      <c r="M7" s="2027"/>
      <c r="N7" s="2028"/>
      <c r="O7" s="2029"/>
      <c r="P7" s="2028"/>
      <c r="Q7" s="2028"/>
      <c r="R7" s="2028"/>
    </row>
    <row r="8" spans="1:19" ht="18" customHeight="1">
      <c r="A8" s="2046" t="s">
        <v>1786</v>
      </c>
      <c r="B8" s="2051" t="s">
        <v>3050</v>
      </c>
      <c r="C8" s="2052"/>
      <c r="D8" s="3035" t="s">
        <v>1787</v>
      </c>
      <c r="E8" s="2053" t="s">
        <v>3184</v>
      </c>
      <c r="F8" s="2054"/>
      <c r="G8" s="2025"/>
      <c r="H8" s="2025"/>
      <c r="I8" s="2025"/>
      <c r="J8" s="2041"/>
      <c r="K8" s="2042"/>
      <c r="L8" s="2027"/>
      <c r="M8" s="2027"/>
      <c r="N8" s="2028"/>
      <c r="O8" s="2029"/>
      <c r="P8" s="2028"/>
      <c r="Q8" s="2028"/>
      <c r="R8" s="2028"/>
    </row>
    <row r="9" spans="1:19" ht="18" customHeight="1" thickBot="1">
      <c r="A9" s="2039" t="s">
        <v>1788</v>
      </c>
      <c r="B9" s="2055" t="s">
        <v>3051</v>
      </c>
      <c r="C9" s="2056"/>
      <c r="D9" s="3036"/>
      <c r="E9" s="2055" t="s">
        <v>70</v>
      </c>
      <c r="F9" s="2057"/>
      <c r="G9" s="2058"/>
      <c r="H9" s="2058"/>
      <c r="I9" s="2058"/>
      <c r="J9" s="2041"/>
      <c r="K9" s="2050"/>
      <c r="L9" s="2027"/>
      <c r="M9" s="2027"/>
      <c r="N9" s="2028"/>
      <c r="O9" s="2029"/>
      <c r="P9" s="2028"/>
      <c r="Q9" s="2028"/>
      <c r="R9" s="2028"/>
    </row>
    <row r="10" spans="1:19" ht="18" customHeight="1" thickTop="1">
      <c r="A10" s="2059" t="s">
        <v>1789</v>
      </c>
      <c r="B10" s="2060" t="s">
        <v>3052</v>
      </c>
      <c r="C10" s="2922" t="s">
        <v>3055</v>
      </c>
      <c r="D10" s="2045"/>
      <c r="E10" s="2061" t="s">
        <v>1790</v>
      </c>
      <c r="F10" s="2923" t="s">
        <v>3056</v>
      </c>
      <c r="G10" s="2062"/>
      <c r="H10" s="2063"/>
      <c r="I10" s="2045"/>
      <c r="J10" s="2041"/>
      <c r="K10" s="2050"/>
      <c r="L10" s="2027"/>
      <c r="M10" s="2027"/>
      <c r="N10" s="2028"/>
      <c r="O10" s="2029"/>
      <c r="P10" s="2028"/>
      <c r="Q10" s="2028"/>
      <c r="R10" s="2028"/>
    </row>
    <row r="11" spans="1:19" ht="18" customHeight="1">
      <c r="A11" s="2064" t="s">
        <v>1791</v>
      </c>
      <c r="B11" s="2065" t="s">
        <v>3053</v>
      </c>
      <c r="C11" s="2066" t="str">
        <f>B7</f>
        <v>济南三盛房地产开发有限公司</v>
      </c>
      <c r="D11" s="2067"/>
      <c r="E11" s="2041"/>
      <c r="F11" s="2041"/>
      <c r="G11" s="2041"/>
      <c r="H11" s="2041"/>
      <c r="I11" s="2041"/>
      <c r="J11" s="2041"/>
      <c r="K11" s="2050"/>
      <c r="L11" s="2027"/>
      <c r="M11" s="2027"/>
      <c r="N11" s="2028"/>
      <c r="O11" s="2029"/>
      <c r="P11" s="2028"/>
      <c r="Q11" s="2028"/>
      <c r="R11" s="2028"/>
    </row>
    <row r="12" spans="1:19" ht="18" customHeight="1">
      <c r="A12" s="2068" t="s">
        <v>1792</v>
      </c>
      <c r="B12" s="2065" t="s">
        <v>3054</v>
      </c>
      <c r="C12" s="2069" t="s">
        <v>1793</v>
      </c>
      <c r="D12" s="2070" t="s">
        <v>1794</v>
      </c>
      <c r="E12" s="2070" t="s">
        <v>1795</v>
      </c>
      <c r="F12" s="2070" t="s">
        <v>1796</v>
      </c>
      <c r="G12" s="2070" t="s">
        <v>1797</v>
      </c>
      <c r="H12" s="2070" t="s">
        <v>1798</v>
      </c>
      <c r="I12" s="2070" t="s">
        <v>1799</v>
      </c>
      <c r="J12" s="2041"/>
      <c r="K12" s="2050"/>
      <c r="L12" s="2027"/>
      <c r="M12" s="2027"/>
      <c r="N12" s="2028"/>
      <c r="O12" s="2029"/>
      <c r="P12" s="2028"/>
      <c r="Q12" s="2028"/>
      <c r="R12" s="2028"/>
    </row>
    <row r="13" spans="1:19" ht="18" customHeight="1">
      <c r="A13" s="2071"/>
      <c r="B13" s="2072"/>
      <c r="C13" s="2073" t="s">
        <v>1800</v>
      </c>
      <c r="D13" s="2074">
        <v>67818</v>
      </c>
      <c r="E13" s="2074">
        <v>56860</v>
      </c>
      <c r="F13" s="2074"/>
      <c r="G13" s="2074">
        <v>56860</v>
      </c>
      <c r="H13" s="2969">
        <v>56860</v>
      </c>
      <c r="I13" s="1047"/>
      <c r="J13" s="2041"/>
      <c r="K13" s="2050"/>
      <c r="L13" s="2027"/>
      <c r="M13" s="2027"/>
      <c r="N13" s="2028"/>
      <c r="O13" s="2029"/>
      <c r="P13" s="2028"/>
      <c r="Q13" s="2028"/>
      <c r="R13" s="2028"/>
    </row>
    <row r="14" spans="1:19" ht="18" customHeight="1">
      <c r="A14" s="2071"/>
      <c r="B14" s="2072"/>
      <c r="C14" s="2073" t="s">
        <v>1801</v>
      </c>
      <c r="D14" s="1050">
        <v>70</v>
      </c>
      <c r="E14" s="1050">
        <v>40</v>
      </c>
      <c r="F14" s="1050"/>
      <c r="G14" s="2968">
        <v>40</v>
      </c>
      <c r="H14" s="2970">
        <v>40</v>
      </c>
      <c r="I14" s="1050"/>
      <c r="J14" s="2041"/>
      <c r="K14" s="2075"/>
      <c r="L14" s="2027"/>
      <c r="M14" s="2027"/>
      <c r="N14" s="2028"/>
      <c r="O14" s="2029"/>
      <c r="P14" s="2028"/>
      <c r="Q14" s="2028"/>
      <c r="R14" s="2028"/>
    </row>
    <row r="15" spans="1:19" ht="18" customHeight="1">
      <c r="A15" s="2059"/>
      <c r="B15" s="2076"/>
      <c r="C15" s="2073" t="s">
        <v>1802</v>
      </c>
      <c r="D15" s="1049">
        <f>IF(B12="出让",IF(D13="","",ROUNDDOWN(MIN((D13-$D$3)/365,D14),2)),D14)</f>
        <v>67.84</v>
      </c>
      <c r="E15" s="1049">
        <f>IF(B12="出让",IF(E13="","",ROUNDDOWN(MIN((E13-$D$3)/365,E14),2)),E14)</f>
        <v>37.81</v>
      </c>
      <c r="F15" s="1049" t="str">
        <f>IF(B12="出让",IF(F13="","",ROUNDDOWN(MIN((F13-$D$3)/365,F14),2)),F14)</f>
        <v/>
      </c>
      <c r="G15" s="1049">
        <f>IF(B12="出让",IF(G13="","",ROUNDDOWN(MIN((G13-$D$3)/365,G14),2)),G14)</f>
        <v>37.81</v>
      </c>
      <c r="H15" s="1049">
        <f>IF(B12="出让",IF(H13="","",ROUNDDOWN(MIN((H13-$D$3)/365,H14),2)),H14)</f>
        <v>37.81</v>
      </c>
      <c r="I15" s="1049" t="str">
        <f>IF(B12="出让",IF(I13="","",ROUNDDOWN(MIN((I13-$D$3)/365,I14),2)),I14)</f>
        <v/>
      </c>
      <c r="J15" s="2041"/>
      <c r="K15" s="2077"/>
      <c r="L15" s="2078"/>
      <c r="M15" s="2078"/>
      <c r="N15" s="2079"/>
      <c r="O15" s="2078"/>
      <c r="P15" s="2079"/>
      <c r="Q15" s="2028"/>
      <c r="R15" s="2028"/>
    </row>
    <row r="16" spans="1:19" ht="30.75" customHeight="1">
      <c r="A16" s="2061" t="s">
        <v>1803</v>
      </c>
      <c r="B16" s="3042"/>
      <c r="C16" s="3043"/>
      <c r="D16" s="3044"/>
      <c r="E16" s="2080" t="s">
        <v>1804</v>
      </c>
      <c r="F16" s="3045"/>
      <c r="G16" s="3046"/>
      <c r="H16" s="3046"/>
      <c r="I16" s="3047"/>
      <c r="J16" s="2028"/>
      <c r="K16" s="2077"/>
      <c r="L16" s="2078"/>
      <c r="M16" s="2078"/>
      <c r="N16" s="2079"/>
      <c r="O16" s="2078"/>
      <c r="P16" s="2079"/>
      <c r="Q16" s="2028"/>
      <c r="R16" s="2028"/>
    </row>
    <row r="17" spans="1:22" ht="18" customHeight="1">
      <c r="A17" s="2081" t="s">
        <v>1805</v>
      </c>
      <c r="B17" s="2034" t="s">
        <v>1806</v>
      </c>
      <c r="C17" s="1054">
        <f>'数据-汇总表'!E3</f>
        <v>64569.140000000007</v>
      </c>
      <c r="D17" s="2082" t="s">
        <v>1807</v>
      </c>
      <c r="E17" s="3048" t="s">
        <v>1808</v>
      </c>
      <c r="F17" s="3049"/>
      <c r="G17" s="3049"/>
      <c r="H17" s="3049"/>
      <c r="I17" s="3050"/>
      <c r="J17" s="2028"/>
      <c r="K17" s="2083"/>
      <c r="L17" s="2078"/>
      <c r="M17" s="2078"/>
      <c r="N17" s="2079"/>
      <c r="O17" s="2078"/>
      <c r="P17" s="2079"/>
      <c r="Q17" s="2028"/>
      <c r="R17" s="2028"/>
      <c r="S17" s="2028"/>
      <c r="T17" s="2028"/>
      <c r="U17" s="2028"/>
      <c r="V17" s="2028"/>
    </row>
    <row r="18" spans="1:22" ht="36" customHeight="1" thickBot="1">
      <c r="A18" s="2084" t="s">
        <v>1809</v>
      </c>
      <c r="B18" s="2037" t="s">
        <v>1810</v>
      </c>
      <c r="C18" s="1443">
        <f>'数据-汇总表'!D3</f>
        <v>20327.75</v>
      </c>
      <c r="D18" s="2085" t="s">
        <v>1807</v>
      </c>
      <c r="E18" s="3051" t="s">
        <v>1811</v>
      </c>
      <c r="F18" s="3052"/>
      <c r="G18" s="3052"/>
      <c r="H18" s="3052"/>
      <c r="I18" s="3053"/>
      <c r="J18" s="2028"/>
      <c r="K18" s="2083"/>
      <c r="L18" s="2078"/>
      <c r="M18" s="2078"/>
      <c r="N18" s="2079"/>
      <c r="O18" s="2078"/>
      <c r="P18" s="2079"/>
      <c r="Q18" s="2028"/>
      <c r="R18" s="2028"/>
      <c r="S18" s="2028"/>
      <c r="T18" s="2028"/>
      <c r="U18" s="2028"/>
      <c r="V18" s="2028"/>
    </row>
    <row r="19" spans="1:22" ht="37.5" customHeight="1" thickTop="1" thickBot="1">
      <c r="A19" s="372" t="s">
        <v>1812</v>
      </c>
      <c r="B19" s="351" t="s">
        <v>1813</v>
      </c>
      <c r="C19" s="2086"/>
      <c r="D19" s="2087" t="s">
        <v>1814</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1815</v>
      </c>
      <c r="B20" s="3038" t="s">
        <v>1816</v>
      </c>
      <c r="C20" s="3039"/>
      <c r="D20" s="3040" t="s">
        <v>1817</v>
      </c>
      <c r="E20" s="3041"/>
      <c r="F20" s="2092" t="s">
        <v>1818</v>
      </c>
      <c r="G20" s="2041"/>
      <c r="H20" s="2041"/>
      <c r="I20" s="2041"/>
      <c r="J20" s="2041"/>
      <c r="K20" s="3037" t="s">
        <v>1819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1820</v>
      </c>
      <c r="C21" s="2094" t="s">
        <v>1821</v>
      </c>
      <c r="D21" s="2095" t="s">
        <v>1822</v>
      </c>
      <c r="E21" s="2096" t="s">
        <v>1821</v>
      </c>
      <c r="F21" s="2097"/>
      <c r="G21" s="2041"/>
      <c r="H21" s="2041"/>
      <c r="I21" s="2041"/>
      <c r="J21" s="2041"/>
      <c r="K21" s="303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1823</v>
      </c>
      <c r="C22" s="2094" t="s">
        <v>1824</v>
      </c>
      <c r="D22" s="2025"/>
      <c r="E22" s="2025"/>
      <c r="F22" s="2099"/>
      <c r="G22" s="2041"/>
      <c r="H22" s="2041"/>
      <c r="I22" s="2041"/>
      <c r="J22" s="2041"/>
      <c r="K22" s="303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1825</v>
      </c>
      <c r="B23" s="182" t="s">
        <v>1826</v>
      </c>
      <c r="C23" s="2101"/>
      <c r="D23" s="2102" t="s">
        <v>1826</v>
      </c>
      <c r="E23" s="2103"/>
      <c r="F23" s="2099"/>
      <c r="G23" s="2041"/>
      <c r="H23" s="2041"/>
      <c r="I23" s="2041"/>
      <c r="J23" s="2041"/>
      <c r="K23" s="2104"/>
      <c r="L23" s="746"/>
      <c r="M23" s="2027"/>
      <c r="N23" s="2079"/>
      <c r="O23" s="2078"/>
      <c r="P23" s="2079"/>
      <c r="Q23" s="2028"/>
      <c r="R23" s="2028"/>
      <c r="S23" s="2028"/>
      <c r="T23" s="2028"/>
      <c r="U23" s="2028"/>
      <c r="V23" s="2028"/>
    </row>
    <row r="24" spans="1:22" ht="18" customHeight="1">
      <c r="A24" s="2105"/>
      <c r="B24" s="182" t="s">
        <v>1827</v>
      </c>
      <c r="C24" s="2106"/>
      <c r="D24" s="2100" t="s">
        <v>1827</v>
      </c>
      <c r="E24" s="2107"/>
      <c r="F24" s="2099"/>
      <c r="G24" s="2041"/>
      <c r="H24" s="2041"/>
      <c r="I24" s="2041"/>
      <c r="J24" s="2041"/>
      <c r="K24" s="2104"/>
      <c r="L24" s="746"/>
      <c r="M24" s="2027"/>
      <c r="N24" s="2079"/>
      <c r="O24" s="2078"/>
      <c r="P24" s="2079"/>
      <c r="Q24" s="2028"/>
      <c r="R24" s="2028"/>
      <c r="S24" s="2028"/>
      <c r="T24" s="2028"/>
      <c r="U24" s="2028"/>
      <c r="V24" s="2028"/>
    </row>
    <row r="25" spans="1:22" ht="18" customHeight="1">
      <c r="A25" s="2105"/>
      <c r="B25" s="182" t="s">
        <v>1828</v>
      </c>
      <c r="C25" s="2106"/>
      <c r="D25" s="2100" t="s">
        <v>1828</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1829</v>
      </c>
      <c r="C26" s="2110"/>
      <c r="D26" s="2111" t="s">
        <v>1830</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25" t="s">
        <v>1831</v>
      </c>
      <c r="B27" s="2059" t="s">
        <v>1832</v>
      </c>
      <c r="C27" s="2114"/>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25"/>
      <c r="B28" s="2034" t="s">
        <v>1833</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25"/>
      <c r="B29" s="2034" t="s">
        <v>1834</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26"/>
      <c r="B30" s="2034" t="s">
        <v>1835</v>
      </c>
      <c r="C30" s="3027"/>
      <c r="D30" s="3028"/>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29" t="s">
        <v>1836</v>
      </c>
      <c r="B31" s="2121"/>
      <c r="C31" s="2122" t="str">
        <f>IF(B31="现房","成新及维护状况正常否",IF(B31="在建","工程状态是否正常",IF(B31="土地","是否闲置","-")))</f>
        <v>-</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30"/>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30"/>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1837</v>
      </c>
      <c r="B34" s="2128"/>
      <c r="C34" s="2128"/>
      <c r="D34" s="2128"/>
      <c r="E34" s="2128"/>
      <c r="F34" s="2128"/>
      <c r="G34" s="2128"/>
      <c r="H34" s="2128"/>
      <c r="I34" s="2041"/>
      <c r="J34" s="2041"/>
      <c r="K34" s="1794">
        <f>COUNTIF(B34:H34,"——")</f>
        <v>0</v>
      </c>
      <c r="L34" s="2069" t="s">
        <v>1838</v>
      </c>
      <c r="M34" s="2069" t="s">
        <v>1839</v>
      </c>
      <c r="N34" s="2069" t="s">
        <v>1840</v>
      </c>
      <c r="O34" s="2069" t="s">
        <v>1841</v>
      </c>
      <c r="P34" s="2069" t="s">
        <v>1842</v>
      </c>
      <c r="Q34" s="2069" t="s">
        <v>1843</v>
      </c>
      <c r="R34" s="2069" t="s">
        <v>1844</v>
      </c>
      <c r="S34" s="3024" t="s">
        <v>1845</v>
      </c>
      <c r="T34" s="2129" t="str">
        <f>NUMBERSTRING(7-K34,1)&amp;"通"</f>
        <v>七通</v>
      </c>
      <c r="U34" s="2028"/>
      <c r="V34" s="2028"/>
    </row>
    <row r="35" spans="1:22" ht="18" customHeight="1">
      <c r="A35" s="2130"/>
      <c r="B35" s="3031" t="s">
        <v>1846</v>
      </c>
      <c r="C35" s="3031"/>
      <c r="D35" s="3031"/>
      <c r="E35" s="3031"/>
      <c r="F35" s="2131" t="str">
        <f>C10</f>
        <v>山东省济南市</v>
      </c>
      <c r="G35" s="2041"/>
      <c r="H35" s="2041"/>
      <c r="I35" s="2041"/>
      <c r="J35" s="2041"/>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4"/>
      <c r="T35" s="48" t="str">
        <f>IF(T34="一通",L35,IF(T34="二通",M35,IF(T34="三通",N35,IF(T34="四通",O35,IF(T34="五通",P35,IF(T34="六通",Q35,R35))))))</f>
        <v>、、、、、、</v>
      </c>
      <c r="U35" s="2028"/>
      <c r="V35" s="2028"/>
    </row>
    <row r="36" spans="1:22" ht="18" customHeight="1">
      <c r="A36" s="2132"/>
      <c r="B36" s="2131" t="s">
        <v>1847</v>
      </c>
      <c r="C36" s="2131" t="s">
        <v>1848</v>
      </c>
      <c r="D36" s="2131" t="s">
        <v>1849</v>
      </c>
      <c r="E36" s="2131" t="s">
        <v>1850</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1851</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1852</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1853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5"/>
      <c r="L40" s="2078"/>
      <c r="M40" s="2078"/>
      <c r="N40" s="2079"/>
      <c r="O40" s="2078"/>
      <c r="P40" s="2028"/>
      <c r="Q40" s="2028"/>
      <c r="R40" s="2028"/>
      <c r="S40" s="2028"/>
      <c r="T40" s="2028"/>
      <c r="U40" s="2028"/>
      <c r="V40" s="2028"/>
    </row>
    <row r="41" spans="1:22" ht="18" customHeight="1">
      <c r="A41" s="8" t="s">
        <v>1854</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1855</v>
      </c>
      <c r="B42" s="1794" t="s">
        <v>1856</v>
      </c>
      <c r="C42" s="1794" t="s">
        <v>1857</v>
      </c>
      <c r="D42" s="1794" t="s">
        <v>1858</v>
      </c>
      <c r="E42" s="1794" t="s">
        <v>1859</v>
      </c>
      <c r="F42" s="1794" t="s">
        <v>1860</v>
      </c>
      <c r="G42" s="1794" t="s">
        <v>1861</v>
      </c>
      <c r="H42" s="1794" t="s">
        <v>1862</v>
      </c>
      <c r="I42" s="1794" t="s">
        <v>1863</v>
      </c>
      <c r="J42" s="2147" t="s">
        <v>1864</v>
      </c>
      <c r="K42" s="2070" t="s">
        <v>1865</v>
      </c>
      <c r="L42" s="2070" t="s">
        <v>1866</v>
      </c>
      <c r="M42" s="2070" t="s">
        <v>1867</v>
      </c>
      <c r="N42" s="1794" t="s">
        <v>1868</v>
      </c>
      <c r="O42" s="1794" t="s">
        <v>1869</v>
      </c>
      <c r="P42" s="1794" t="s">
        <v>1870</v>
      </c>
      <c r="Q42" s="2069" t="s">
        <v>1871</v>
      </c>
      <c r="R42" s="2069" t="s">
        <v>1872</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FFFF00"/>
  </sheetPr>
  <dimension ref="A1:N20"/>
  <sheetViews>
    <sheetView workbookViewId="0">
      <selection activeCell="C21" sqref="C21"/>
    </sheetView>
  </sheetViews>
  <sheetFormatPr defaultRowHeight="13.5"/>
  <cols>
    <col min="4" max="5" width="7" customWidth="1"/>
    <col min="6" max="6" width="6.75" customWidth="1"/>
    <col min="7" max="7" width="13" customWidth="1"/>
  </cols>
  <sheetData>
    <row r="1" spans="1:14">
      <c r="A1" s="2924" t="s">
        <v>3057</v>
      </c>
    </row>
    <row r="2" spans="1:14">
      <c r="A2">
        <v>41398.199999999997</v>
      </c>
      <c r="D2" s="2924" t="s">
        <v>3072</v>
      </c>
      <c r="H2" s="2924" t="s">
        <v>3078</v>
      </c>
    </row>
    <row r="4" spans="1:14">
      <c r="A4" s="2924" t="s">
        <v>3058</v>
      </c>
      <c r="B4" s="2924" t="s">
        <v>3069</v>
      </c>
      <c r="C4" s="2924" t="s">
        <v>3071</v>
      </c>
      <c r="G4" s="2924" t="s">
        <v>3059</v>
      </c>
      <c r="H4" s="2924" t="s">
        <v>3171</v>
      </c>
      <c r="I4" s="2924" t="s">
        <v>3071</v>
      </c>
      <c r="J4" s="2924" t="s">
        <v>3172</v>
      </c>
      <c r="L4" s="2924" t="s">
        <v>3069</v>
      </c>
      <c r="M4" s="2924" t="s">
        <v>3186</v>
      </c>
      <c r="N4" s="2924" t="s">
        <v>3185</v>
      </c>
    </row>
    <row r="5" spans="1:14">
      <c r="A5" s="2924" t="s">
        <v>3060</v>
      </c>
      <c r="B5">
        <v>9962.08</v>
      </c>
      <c r="C5" s="2964">
        <f>308.89+45.52</f>
        <v>354.40999999999997</v>
      </c>
      <c r="G5" s="2924" t="s">
        <v>3074</v>
      </c>
      <c r="H5" s="2926">
        <f>12537.1-J5-89.96</f>
        <v>10971.45</v>
      </c>
      <c r="I5" s="2926">
        <v>803.71</v>
      </c>
      <c r="J5" s="2926">
        <v>1475.69</v>
      </c>
      <c r="K5" s="2924" t="s">
        <v>3085</v>
      </c>
      <c r="L5">
        <f>H5+H6+H7+B5+B6+B7+B8+B9+H8</f>
        <v>95489.510000000009</v>
      </c>
      <c r="M5">
        <f>I5+I6+I7+C5+C6+C7+C8+C9-N5</f>
        <v>5946.12</v>
      </c>
      <c r="N5">
        <f>45.52+32.87+30.82+22.71+16.67</f>
        <v>148.59000000000003</v>
      </c>
    </row>
    <row r="6" spans="1:14">
      <c r="A6" s="2924" t="s">
        <v>3061</v>
      </c>
      <c r="B6">
        <v>13266.26</v>
      </c>
      <c r="C6" s="2964">
        <f>592.95+32.87</f>
        <v>625.82000000000005</v>
      </c>
      <c r="G6" s="2924" t="s">
        <v>3075</v>
      </c>
      <c r="H6" s="2926">
        <f>12272.1-J6-89.96</f>
        <v>10971.45</v>
      </c>
      <c r="I6" s="2926">
        <v>827.98</v>
      </c>
      <c r="J6" s="2926">
        <v>1210.69</v>
      </c>
      <c r="K6" s="2924" t="s">
        <v>3086</v>
      </c>
      <c r="L6">
        <f>H9+B10</f>
        <v>220.41000000000008</v>
      </c>
      <c r="M6">
        <f>I9+C10+C11</f>
        <v>19374.22</v>
      </c>
    </row>
    <row r="7" spans="1:14">
      <c r="A7" s="2924" t="s">
        <v>3062</v>
      </c>
      <c r="B7">
        <v>13265.38</v>
      </c>
      <c r="C7" s="2964">
        <f>636.2+30.82</f>
        <v>667.0200000000001</v>
      </c>
      <c r="G7" s="2924" t="s">
        <v>3076</v>
      </c>
      <c r="H7" s="2926">
        <f>12504.11-J7</f>
        <v>10971.44</v>
      </c>
      <c r="I7" s="2926">
        <v>695.01</v>
      </c>
      <c r="J7" s="2926">
        <v>1532.67</v>
      </c>
      <c r="K7" s="2924"/>
    </row>
    <row r="8" spans="1:14">
      <c r="A8" s="2924" t="s">
        <v>3063</v>
      </c>
      <c r="B8" s="2949">
        <v>13243.63</v>
      </c>
      <c r="C8" s="2964">
        <f>644.3+22.71</f>
        <v>667.01</v>
      </c>
      <c r="G8" s="2924" t="s">
        <v>3087</v>
      </c>
      <c r="H8" s="2926"/>
      <c r="I8" s="2926"/>
      <c r="J8" s="2959">
        <v>2761.03</v>
      </c>
    </row>
    <row r="9" spans="1:14">
      <c r="A9" s="2924" t="s">
        <v>3064</v>
      </c>
      <c r="B9">
        <v>12837.82</v>
      </c>
      <c r="C9" s="2964">
        <f>1437.08+16.67</f>
        <v>1453.75</v>
      </c>
      <c r="G9" s="2924" t="s">
        <v>3077</v>
      </c>
      <c r="H9" s="2926">
        <f>1791.2-608.26-60.48-103.05-959.61</f>
        <v>59.800000000000068</v>
      </c>
      <c r="I9" s="2926">
        <f>8377.91-I10</f>
        <v>7513.65</v>
      </c>
      <c r="J9" s="2964">
        <v>959.61</v>
      </c>
    </row>
    <row r="10" spans="1:14">
      <c r="A10" s="2924" t="s">
        <v>3065</v>
      </c>
      <c r="B10" s="2925">
        <v>160.61000000000001</v>
      </c>
      <c r="C10" s="2925">
        <f>5618.21-121.22-39.39</f>
        <v>5457.5999999999995</v>
      </c>
      <c r="D10">
        <f>121.22+39.39</f>
        <v>160.61000000000001</v>
      </c>
      <c r="G10" s="2924" t="s">
        <v>3170</v>
      </c>
      <c r="H10" s="2964">
        <f>89.96+89.96+70+608.26+60.48+103.05</f>
        <v>1021.7099999999999</v>
      </c>
      <c r="I10" s="2926">
        <f>608.26+60.48+103.05+92.47</f>
        <v>864.26</v>
      </c>
      <c r="J10" s="2926"/>
    </row>
    <row r="11" spans="1:14">
      <c r="A11" s="2924" t="s">
        <v>3066</v>
      </c>
      <c r="B11" s="2925"/>
      <c r="C11" s="2925">
        <v>6402.97</v>
      </c>
      <c r="G11" s="2924" t="s">
        <v>3073</v>
      </c>
      <c r="H11">
        <f>SUM(H5:H10)</f>
        <v>33995.850000000006</v>
      </c>
      <c r="I11">
        <f>SUM(I5:I10)</f>
        <v>10704.609999999999</v>
      </c>
      <c r="J11">
        <f>SUM(J5:J10)</f>
        <v>7939.69</v>
      </c>
    </row>
    <row r="12" spans="1:14">
      <c r="A12" s="2924" t="s">
        <v>3067</v>
      </c>
      <c r="B12" s="2925">
        <v>212.16</v>
      </c>
      <c r="C12" s="2925"/>
    </row>
    <row r="14" spans="1:14">
      <c r="A14" s="2924" t="s">
        <v>3073</v>
      </c>
      <c r="B14">
        <f>SUM(B5:B12)</f>
        <v>62947.94</v>
      </c>
      <c r="C14">
        <f>SUM(C5:C12)</f>
        <v>15628.580000000002</v>
      </c>
    </row>
    <row r="17" spans="3:4">
      <c r="C17" s="2924" t="s">
        <v>3129</v>
      </c>
    </row>
    <row r="18" spans="3:4">
      <c r="C18" s="2963">
        <v>693</v>
      </c>
      <c r="D18" s="2924" t="s">
        <v>3130</v>
      </c>
    </row>
    <row r="19" spans="3:4">
      <c r="C19" s="2924" t="s">
        <v>3131</v>
      </c>
    </row>
    <row r="20" spans="3:4">
      <c r="C20">
        <f>I9/(I9+C10+C11)*C18</f>
        <v>268.75711383477631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1875</v>
      </c>
      <c r="B2" s="11" t="s">
        <v>1876</v>
      </c>
      <c r="C2" s="11" t="s">
        <v>1877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1878</v>
      </c>
      <c r="AZ2" s="1270" t="s">
        <v>1879</v>
      </c>
      <c r="BA2" s="11" t="s">
        <v>1880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面积表!A2</f>
        <v>41398.199999999997</v>
      </c>
      <c r="B3" s="14">
        <f>IF(C3="否",G5-AT5,G5)</f>
        <v>131497.4</v>
      </c>
      <c r="C3" s="2163" t="s">
        <v>1881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1882</v>
      </c>
      <c r="B5" s="1802"/>
      <c r="C5" s="1802"/>
      <c r="D5" s="1805"/>
      <c r="E5" s="16" t="s">
        <v>1</v>
      </c>
      <c r="F5" s="16">
        <f>SUM(F13:F587)</f>
        <v>0</v>
      </c>
      <c r="G5" s="16">
        <f>SUM(G13:G587)</f>
        <v>131497.4</v>
      </c>
      <c r="H5" s="16">
        <f t="shared" ref="H5:AT5" si="0">SUM(H13:H656)</f>
        <v>128749.53999999998</v>
      </c>
      <c r="I5" s="16">
        <f t="shared" si="0"/>
        <v>95489.510000000009</v>
      </c>
      <c r="J5" s="16">
        <f t="shared" si="0"/>
        <v>49331.54</v>
      </c>
      <c r="K5" s="16">
        <f t="shared" si="0"/>
        <v>5946.12</v>
      </c>
      <c r="L5" s="16">
        <f t="shared" si="0"/>
        <v>2975.12</v>
      </c>
      <c r="M5" s="16">
        <f t="shared" si="0"/>
        <v>19374.22</v>
      </c>
      <c r="N5" s="16">
        <f t="shared" si="0"/>
        <v>0</v>
      </c>
      <c r="O5" s="16">
        <f t="shared" si="0"/>
        <v>7939.69</v>
      </c>
      <c r="P5" s="16">
        <f t="shared" si="0"/>
        <v>2761.03</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2747.8599999999997</v>
      </c>
      <c r="AD5" s="16">
        <f t="shared" si="0"/>
        <v>1182.32</v>
      </c>
      <c r="AE5" s="16">
        <f t="shared" si="0"/>
        <v>0</v>
      </c>
      <c r="AF5" s="16">
        <f t="shared" si="0"/>
        <v>903.64999999999986</v>
      </c>
      <c r="AG5" s="16">
        <f t="shared" si="0"/>
        <v>0</v>
      </c>
      <c r="AH5" s="16">
        <f t="shared" si="0"/>
        <v>179.92</v>
      </c>
      <c r="AI5" s="16">
        <f t="shared" si="0"/>
        <v>0</v>
      </c>
      <c r="AJ5" s="16">
        <f t="shared" si="0"/>
        <v>121.22</v>
      </c>
      <c r="AK5" s="16">
        <f t="shared" si="0"/>
        <v>0</v>
      </c>
      <c r="AL5" s="16">
        <f t="shared" si="0"/>
        <v>212.16</v>
      </c>
      <c r="AM5" s="16">
        <f t="shared" si="0"/>
        <v>0</v>
      </c>
      <c r="AN5" s="16">
        <f t="shared" si="0"/>
        <v>148.59000000000003</v>
      </c>
      <c r="AO5" s="16">
        <f t="shared" si="0"/>
        <v>0</v>
      </c>
      <c r="AP5" s="16">
        <f t="shared" si="0"/>
        <v>0</v>
      </c>
      <c r="AQ5" s="16">
        <f t="shared" si="0"/>
        <v>0</v>
      </c>
      <c r="AR5" s="16">
        <f t="shared" si="0"/>
        <v>0</v>
      </c>
      <c r="AS5" s="16">
        <f t="shared" si="0"/>
        <v>0</v>
      </c>
      <c r="AT5" s="16">
        <f t="shared" si="0"/>
        <v>0</v>
      </c>
      <c r="AU5" s="1801"/>
      <c r="AV5" s="15" t="s">
        <v>1882</v>
      </c>
      <c r="AW5" s="1802"/>
      <c r="AX5" s="1802"/>
      <c r="AY5" s="17" t="s">
        <v>3</v>
      </c>
      <c r="AZ5" s="18">
        <f t="shared" ref="AZ5:BT5" si="1">SUM(AZ13:AZ656)</f>
        <v>64569.140000000007</v>
      </c>
      <c r="BA5" s="18">
        <f t="shared" si="1"/>
        <v>61821.280000000006</v>
      </c>
      <c r="BB5" s="18">
        <f t="shared" si="1"/>
        <v>46157.97</v>
      </c>
      <c r="BC5" s="18">
        <f t="shared" si="1"/>
        <v>2971</v>
      </c>
      <c r="BD5" s="18">
        <f t="shared" si="1"/>
        <v>7513.65</v>
      </c>
      <c r="BE5" s="18">
        <f t="shared" si="1"/>
        <v>5178.66</v>
      </c>
      <c r="BF5" s="18">
        <f t="shared" si="1"/>
        <v>0</v>
      </c>
      <c r="BG5" s="18">
        <f t="shared" si="1"/>
        <v>0</v>
      </c>
      <c r="BH5" s="18">
        <f t="shared" si="1"/>
        <v>0</v>
      </c>
      <c r="BI5" s="18">
        <f t="shared" si="1"/>
        <v>0</v>
      </c>
      <c r="BJ5" s="18">
        <f t="shared" si="1"/>
        <v>0</v>
      </c>
      <c r="BK5" s="18">
        <f t="shared" si="1"/>
        <v>0</v>
      </c>
      <c r="BL5" s="18">
        <f t="shared" si="1"/>
        <v>2747.8599999999997</v>
      </c>
      <c r="BM5" s="18">
        <f t="shared" si="1"/>
        <v>1182.32</v>
      </c>
      <c r="BN5" s="18">
        <f t="shared" si="1"/>
        <v>903.64999999999986</v>
      </c>
      <c r="BO5" s="18">
        <f t="shared" si="1"/>
        <v>179.92</v>
      </c>
      <c r="BP5" s="18">
        <f t="shared" si="1"/>
        <v>121.22</v>
      </c>
      <c r="BQ5" s="18">
        <f t="shared" si="1"/>
        <v>212.16</v>
      </c>
      <c r="BR5" s="18">
        <f t="shared" si="1"/>
        <v>148.59000000000003</v>
      </c>
      <c r="BS5" s="18">
        <f t="shared" si="1"/>
        <v>0</v>
      </c>
      <c r="BT5" s="19">
        <f t="shared" si="1"/>
        <v>0</v>
      </c>
    </row>
    <row r="6" spans="1:72" s="2172" customFormat="1" ht="12.75">
      <c r="A6" s="15" t="s">
        <v>1883</v>
      </c>
      <c r="B6" s="2169"/>
      <c r="C6" s="2169"/>
      <c r="D6" s="2170"/>
      <c r="E6" s="16">
        <f>H6+AC6+AT6</f>
        <v>41398.19</v>
      </c>
      <c r="F6" s="16" t="s">
        <v>1</v>
      </c>
      <c r="G6" s="16" t="s">
        <v>2</v>
      </c>
      <c r="H6" s="20">
        <f>SUMIF(I$12:AB$12,"总值",I6:AB6)</f>
        <v>40533.11</v>
      </c>
      <c r="I6" s="16">
        <f t="shared" ref="I6:AB6" si="2">ROUND($A$3*I5/$B$3,2)</f>
        <v>30062.14</v>
      </c>
      <c r="J6" s="16">
        <f t="shared" si="2"/>
        <v>15530.63</v>
      </c>
      <c r="K6" s="16">
        <f t="shared" si="2"/>
        <v>1871.97</v>
      </c>
      <c r="L6" s="16">
        <f t="shared" si="2"/>
        <v>936.63</v>
      </c>
      <c r="M6" s="16">
        <f t="shared" si="2"/>
        <v>6099.42</v>
      </c>
      <c r="N6" s="16">
        <f t="shared" si="2"/>
        <v>0</v>
      </c>
      <c r="O6" s="16">
        <f t="shared" si="2"/>
        <v>2499.58</v>
      </c>
      <c r="P6" s="16">
        <f t="shared" si="2"/>
        <v>869.23</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865.07999999999993</v>
      </c>
      <c r="AD6" s="16">
        <f t="shared" ref="AD6:AS6" si="3">ROUND($A$3*AD5/$B$3,2)</f>
        <v>372.22</v>
      </c>
      <c r="AE6" s="16">
        <f t="shared" si="3"/>
        <v>0</v>
      </c>
      <c r="AF6" s="16">
        <f t="shared" si="3"/>
        <v>284.49</v>
      </c>
      <c r="AG6" s="16">
        <f t="shared" si="3"/>
        <v>0</v>
      </c>
      <c r="AH6" s="16">
        <f t="shared" si="3"/>
        <v>56.64</v>
      </c>
      <c r="AI6" s="16">
        <f t="shared" si="3"/>
        <v>0</v>
      </c>
      <c r="AJ6" s="16">
        <f t="shared" si="3"/>
        <v>38.159999999999997</v>
      </c>
      <c r="AK6" s="16">
        <f t="shared" si="3"/>
        <v>0</v>
      </c>
      <c r="AL6" s="16">
        <f t="shared" si="3"/>
        <v>66.790000000000006</v>
      </c>
      <c r="AM6" s="16">
        <f t="shared" si="3"/>
        <v>0</v>
      </c>
      <c r="AN6" s="16">
        <f t="shared" si="3"/>
        <v>46.78</v>
      </c>
      <c r="AO6" s="16">
        <f t="shared" si="3"/>
        <v>0</v>
      </c>
      <c r="AP6" s="16">
        <f t="shared" si="3"/>
        <v>0</v>
      </c>
      <c r="AQ6" s="16">
        <f t="shared" si="3"/>
        <v>0</v>
      </c>
      <c r="AR6" s="16">
        <f t="shared" si="3"/>
        <v>0</v>
      </c>
      <c r="AS6" s="16">
        <f t="shared" si="3"/>
        <v>0</v>
      </c>
      <c r="AT6" s="20">
        <f>IF(C3="是",ROUND($A$3*AT5/$B$3,2),0)</f>
        <v>0</v>
      </c>
      <c r="AU6" s="2171"/>
      <c r="AV6" s="15" t="s">
        <v>1883</v>
      </c>
      <c r="AW6" s="2169"/>
      <c r="AX6" s="2169"/>
      <c r="AY6" s="21">
        <f>IF(AY3&gt;0,AY3,ROUND($A$3*AZ5/$B$3,2))</f>
        <v>20327.75</v>
      </c>
      <c r="AZ6" s="16" t="s">
        <v>3</v>
      </c>
      <c r="BA6" s="16">
        <f>ROUND($AY$6*BA5/$AZ$5,2)</f>
        <v>19462.66</v>
      </c>
      <c r="BB6" s="16">
        <f>ROUND($AY$6*BB5/$AZ$5,2)</f>
        <v>14531.52</v>
      </c>
      <c r="BC6" s="16">
        <f t="shared" ref="BC6:BH6" si="4">ROUND($AY$6*BC5/$AZ$5,2)</f>
        <v>935.33</v>
      </c>
      <c r="BD6" s="16">
        <f t="shared" si="4"/>
        <v>2365.46</v>
      </c>
      <c r="BE6" s="16">
        <f t="shared" si="4"/>
        <v>1630.35</v>
      </c>
      <c r="BF6" s="16">
        <f t="shared" si="4"/>
        <v>0</v>
      </c>
      <c r="BG6" s="16">
        <f t="shared" si="4"/>
        <v>0</v>
      </c>
      <c r="BH6" s="16">
        <f t="shared" si="4"/>
        <v>0</v>
      </c>
      <c r="BI6" s="16">
        <f t="shared" ref="BI6:BT6" si="5">ROUND($AY$6*BI5/$AZ$5,2)</f>
        <v>0</v>
      </c>
      <c r="BJ6" s="16">
        <f t="shared" si="5"/>
        <v>0</v>
      </c>
      <c r="BK6" s="16">
        <f t="shared" si="5"/>
        <v>0</v>
      </c>
      <c r="BL6" s="16">
        <f t="shared" si="5"/>
        <v>865.09</v>
      </c>
      <c r="BM6" s="16">
        <f t="shared" si="5"/>
        <v>372.22</v>
      </c>
      <c r="BN6" s="16">
        <f t="shared" si="5"/>
        <v>284.49</v>
      </c>
      <c r="BO6" s="16">
        <f t="shared" si="5"/>
        <v>56.64</v>
      </c>
      <c r="BP6" s="16">
        <f t="shared" si="5"/>
        <v>38.159999999999997</v>
      </c>
      <c r="BQ6" s="16">
        <f t="shared" si="5"/>
        <v>66.790000000000006</v>
      </c>
      <c r="BR6" s="16">
        <f t="shared" si="5"/>
        <v>46.78</v>
      </c>
      <c r="BS6" s="16">
        <f t="shared" si="5"/>
        <v>0</v>
      </c>
      <c r="BT6" s="22">
        <f t="shared" si="5"/>
        <v>0</v>
      </c>
    </row>
    <row r="7" spans="1:72" s="2162" customFormat="1" ht="24.75">
      <c r="A7" s="2104" t="s">
        <v>1884</v>
      </c>
      <c r="B7" s="2104" t="s">
        <v>1885</v>
      </c>
      <c r="C7" s="2104" t="s">
        <v>1886</v>
      </c>
      <c r="D7" s="2104" t="s">
        <v>1887</v>
      </c>
      <c r="E7" s="2104" t="s">
        <v>1888</v>
      </c>
      <c r="F7" s="2104" t="s">
        <v>1889</v>
      </c>
      <c r="G7" s="2173" t="s">
        <v>1890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1891</v>
      </c>
      <c r="AV7" s="23" t="s">
        <v>1892</v>
      </c>
      <c r="AW7" s="2161" t="s">
        <v>1893</v>
      </c>
      <c r="AX7" s="23" t="s">
        <v>1886</v>
      </c>
      <c r="AY7" s="1802" t="s">
        <v>1894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1895</v>
      </c>
      <c r="H8" s="2179" t="s">
        <v>1896</v>
      </c>
      <c r="I8" s="2180"/>
      <c r="J8" s="1817"/>
      <c r="K8" s="1817"/>
      <c r="L8" s="1817"/>
      <c r="M8" s="1817"/>
      <c r="N8" s="1817"/>
      <c r="O8" s="1817"/>
      <c r="P8" s="1817"/>
      <c r="Q8" s="1817"/>
      <c r="R8" s="1817"/>
      <c r="S8" s="1817"/>
      <c r="T8" s="1817"/>
      <c r="U8" s="1817"/>
      <c r="V8" s="2181"/>
      <c r="W8" s="1817"/>
      <c r="X8" s="1817"/>
      <c r="Y8" s="1817"/>
      <c r="Z8" s="1817"/>
      <c r="AA8" s="2181"/>
      <c r="AB8" s="2182"/>
      <c r="AC8" s="981" t="s">
        <v>1897</v>
      </c>
      <c r="AD8" s="2183"/>
      <c r="AE8" s="2175"/>
      <c r="AF8" s="1817"/>
      <c r="AG8" s="1817"/>
      <c r="AH8" s="1817"/>
      <c r="AI8" s="1817"/>
      <c r="AJ8" s="1817"/>
      <c r="AK8" s="1817"/>
      <c r="AL8" s="1817"/>
      <c r="AM8" s="1817"/>
      <c r="AN8" s="1817"/>
      <c r="AO8" s="1817"/>
      <c r="AP8" s="1817"/>
      <c r="AQ8" s="1817"/>
      <c r="AR8" s="1817"/>
      <c r="AS8" s="1817"/>
      <c r="AT8" s="1292" t="s">
        <v>1898</v>
      </c>
      <c r="AU8" s="2177" t="s">
        <v>1899</v>
      </c>
      <c r="AV8" s="1292"/>
      <c r="AW8" s="2160"/>
      <c r="AX8" s="1292"/>
      <c r="AY8" s="2161"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1902</v>
      </c>
      <c r="I9" s="2186" t="s">
        <v>3068</v>
      </c>
      <c r="J9" s="981"/>
      <c r="K9" s="2186" t="s">
        <v>3070</v>
      </c>
      <c r="L9" s="981"/>
      <c r="M9" s="2186" t="s">
        <v>3070</v>
      </c>
      <c r="N9" s="981"/>
      <c r="O9" s="2186" t="s">
        <v>3068</v>
      </c>
      <c r="P9" s="981"/>
      <c r="Q9" s="2186"/>
      <c r="R9" s="981"/>
      <c r="S9" s="2186"/>
      <c r="T9" s="981"/>
      <c r="U9" s="2186"/>
      <c r="V9" s="981"/>
      <c r="W9" s="2186"/>
      <c r="X9" s="2187"/>
      <c r="Y9" s="2186"/>
      <c r="Z9" s="981"/>
      <c r="AA9" s="2186"/>
      <c r="AB9" s="981"/>
      <c r="AC9" s="2178"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88"/>
      <c r="AT9" s="2177"/>
      <c r="AU9" s="2177" t="s">
        <v>1905</v>
      </c>
      <c r="AV9" s="1292"/>
      <c r="AW9" s="2160"/>
      <c r="AX9" s="1292"/>
      <c r="AY9" s="28"/>
      <c r="AZ9" s="28" t="s">
        <v>1895</v>
      </c>
      <c r="BA9" s="2189" t="s">
        <v>1906</v>
      </c>
      <c r="BB9" s="2190"/>
      <c r="BC9" s="1338"/>
      <c r="BD9" s="1338"/>
      <c r="BE9" s="1338"/>
      <c r="BF9" s="1338"/>
      <c r="BG9" s="1338"/>
      <c r="BH9" s="1338"/>
      <c r="BI9" s="1338"/>
      <c r="BJ9" s="1338"/>
      <c r="BK9" s="2191"/>
      <c r="BL9" s="15" t="s">
        <v>1907</v>
      </c>
      <c r="BM9" s="1817"/>
      <c r="BN9" s="2180"/>
      <c r="BO9" s="1817"/>
      <c r="BP9" s="1817"/>
      <c r="BQ9" s="1817"/>
      <c r="BR9" s="1817"/>
      <c r="BS9" s="1817"/>
      <c r="BT9" s="26"/>
    </row>
    <row r="10" spans="1:72" s="2184" customFormat="1" ht="12.75">
      <c r="A10" s="2177"/>
      <c r="B10" s="2177"/>
      <c r="C10" s="2177"/>
      <c r="D10" s="2177"/>
      <c r="E10" s="2177"/>
      <c r="F10" s="2177"/>
      <c r="G10" s="1292"/>
      <c r="H10" s="28"/>
      <c r="I10" s="2186" t="s">
        <v>3079</v>
      </c>
      <c r="J10" s="981"/>
      <c r="K10" s="2192" t="s">
        <v>3081</v>
      </c>
      <c r="L10" s="981"/>
      <c r="M10" s="2192" t="s">
        <v>3081</v>
      </c>
      <c r="N10" s="981"/>
      <c r="O10" s="2192" t="s">
        <v>1378</v>
      </c>
      <c r="P10" s="981"/>
      <c r="Q10" s="2192"/>
      <c r="R10" s="981"/>
      <c r="S10" s="2192"/>
      <c r="T10" s="981"/>
      <c r="U10" s="2192"/>
      <c r="V10" s="981"/>
      <c r="W10" s="2192"/>
      <c r="X10" s="981"/>
      <c r="Y10" s="2192"/>
      <c r="Z10" s="981"/>
      <c r="AA10" s="2192"/>
      <c r="AB10" s="981"/>
      <c r="AC10" s="1292"/>
      <c r="AD10" s="15" t="s">
        <v>1908</v>
      </c>
      <c r="AE10" s="2193"/>
      <c r="AF10" s="15" t="s">
        <v>1908</v>
      </c>
      <c r="AG10" s="2193"/>
      <c r="AH10" s="15" t="s">
        <v>1909</v>
      </c>
      <c r="AI10" s="2193"/>
      <c r="AJ10" s="15" t="s">
        <v>1909</v>
      </c>
      <c r="AK10" s="2193"/>
      <c r="AL10" s="15" t="s">
        <v>1910</v>
      </c>
      <c r="AM10" s="1298"/>
      <c r="AN10" s="15" t="s">
        <v>1910</v>
      </c>
      <c r="AO10" s="1298"/>
      <c r="AP10" s="15" t="s">
        <v>1911</v>
      </c>
      <c r="AQ10" s="1298"/>
      <c r="AR10" s="15" t="s">
        <v>1911</v>
      </c>
      <c r="AS10" s="1298"/>
      <c r="AT10" s="2177"/>
      <c r="AU10" s="2177"/>
      <c r="AV10" s="1292"/>
      <c r="AW10" s="2160"/>
      <c r="AX10" s="1292"/>
      <c r="AY10" s="28"/>
      <c r="AZ10" s="28"/>
      <c r="BA10" s="2194" t="s">
        <v>1902</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1902</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3084</v>
      </c>
      <c r="J11" s="2198"/>
      <c r="K11" s="2197" t="s">
        <v>3089</v>
      </c>
      <c r="L11" s="2198"/>
      <c r="M11" s="2197" t="s">
        <v>3081</v>
      </c>
      <c r="N11" s="2198"/>
      <c r="O11" s="2197" t="s">
        <v>3175</v>
      </c>
      <c r="P11" s="2198"/>
      <c r="Q11" s="2197"/>
      <c r="R11" s="2198"/>
      <c r="S11" s="2197"/>
      <c r="T11" s="2198"/>
      <c r="U11" s="2197"/>
      <c r="V11" s="2198"/>
      <c r="W11" s="2197"/>
      <c r="X11" s="2198"/>
      <c r="Y11" s="2197"/>
      <c r="Z11" s="2198"/>
      <c r="AA11" s="2197"/>
      <c r="AB11" s="2198"/>
      <c r="AC11" s="1292"/>
      <c r="AD11" s="2199" t="s">
        <v>1912</v>
      </c>
      <c r="AE11" s="1818"/>
      <c r="AF11" s="2199" t="s">
        <v>1912</v>
      </c>
      <c r="AG11" s="1818"/>
      <c r="AH11" s="2199" t="s">
        <v>1913</v>
      </c>
      <c r="AI11" s="2200"/>
      <c r="AJ11" s="2199" t="s">
        <v>1913</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车库</v>
      </c>
      <c r="BD11" s="2182" t="str">
        <f>M10</f>
        <v>车库</v>
      </c>
      <c r="BE11" s="2182" t="str">
        <f>O10</f>
        <v>商业</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4"/>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2" t="s">
        <v>1915</v>
      </c>
      <c r="AT12" s="2205"/>
      <c r="AU12" s="2202"/>
      <c r="AV12" s="31"/>
      <c r="AW12" s="2161"/>
      <c r="AX12" s="31"/>
      <c r="AY12" s="2206"/>
      <c r="AZ12" s="28"/>
      <c r="BA12" s="2194"/>
      <c r="BB12" s="24" t="str">
        <f>I11</f>
        <v>平层住宅</v>
      </c>
      <c r="BC12" s="2207" t="str">
        <f>K11</f>
        <v>戊类库房</v>
      </c>
      <c r="BD12" s="2207" t="str">
        <f>M11</f>
        <v>车库</v>
      </c>
      <c r="BE12" s="2182" t="str">
        <f>O11</f>
        <v>底商</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27" t="s">
        <v>3091</v>
      </c>
      <c r="D13" s="2208" t="s">
        <v>3082</v>
      </c>
      <c r="E13" s="16">
        <f>IF($C$3="是",ROUND($A$3*G13/$B$3,2),ROUND($A$3*(G13-AT13)/$B$3,2))</f>
        <v>19700</v>
      </c>
      <c r="F13" s="32"/>
      <c r="G13" s="33">
        <f>H13+AC13+AT13</f>
        <v>62575.17</v>
      </c>
      <c r="H13" s="20">
        <f>SUMIF(I$12:AB$12,"总值",I13:AB13)</f>
        <v>62575.17</v>
      </c>
      <c r="I13" s="2209">
        <f>面积表!B5+面积表!B6+面积表!B7+面积表!B8+面积表!B9</f>
        <v>62575.17</v>
      </c>
      <c r="J13" s="2209">
        <f>面积表!B5+面积表!B6+面积表!B7+面积表!B9</f>
        <v>49331.54</v>
      </c>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已建住宅</v>
      </c>
      <c r="AY13" s="1805">
        <f>ROUND($AY$6*AZ13/$AZ$5,2)</f>
        <v>4169.38</v>
      </c>
      <c r="AZ13" s="16">
        <f>BA13+BL13</f>
        <v>13243.629999999997</v>
      </c>
      <c r="BA13" s="16">
        <f>SUM(BB13:BK13)</f>
        <v>13243.629999999997</v>
      </c>
      <c r="BB13" s="16">
        <f>IF($D13="是",I13-J13,0)</f>
        <v>13243.629999999997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928" t="s">
        <v>3088</v>
      </c>
      <c r="D14" s="2208" t="s">
        <v>3082</v>
      </c>
      <c r="E14" s="16">
        <f>IF($C$3="是",ROUND($A$3*G14/$B$3,2),ROUND($A$3*(G14-AT14)/$B$3,2))</f>
        <v>1871.97</v>
      </c>
      <c r="F14" s="32"/>
      <c r="G14" s="33">
        <f>H14+AC14+AT14</f>
        <v>5946.12</v>
      </c>
      <c r="H14" s="20">
        <f>SUMIF(I$12:AB$12,"总值",I14:AB14)</f>
        <v>5946.12</v>
      </c>
      <c r="I14" s="2209"/>
      <c r="J14" s="2209"/>
      <c r="K14" s="2965">
        <f>面积表!M5</f>
        <v>5946.12</v>
      </c>
      <c r="L14" s="2965">
        <f>面积表!C5+面积表!C6+面积表!C7+面积表!C9-45.52-32.87-30.82-16.67</f>
        <v>2975.12</v>
      </c>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储藏</v>
      </c>
      <c r="AY14" s="1805">
        <f>ROUND($AY$6*AZ14/$AZ$5,2)</f>
        <v>935.33</v>
      </c>
      <c r="AZ14" s="16">
        <f>BA14+BL14</f>
        <v>2971</v>
      </c>
      <c r="BA14" s="16">
        <f>SUM(BB14:BK14)</f>
        <v>2971</v>
      </c>
      <c r="BB14" s="16">
        <f>IF($D14="是",I14-J14,0)</f>
        <v>0</v>
      </c>
      <c r="BC14" s="16">
        <f>IF($D14="是",K14-L14,0)</f>
        <v>2971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928" t="s">
        <v>3095</v>
      </c>
      <c r="D15" s="2208" t="s">
        <v>3083</v>
      </c>
      <c r="E15" s="16">
        <f>IF($C$3="是",ROUND($A$3*G15/$B$3,2),ROUND($A$3*(G15-AT15)/$B$3,2))</f>
        <v>3733.96</v>
      </c>
      <c r="F15" s="32"/>
      <c r="G15" s="33">
        <f>H15+AC15+AT15</f>
        <v>11860.57</v>
      </c>
      <c r="H15" s="20">
        <f>SUMIF(I$12:AB$12,"总值",I15:AB15)</f>
        <v>11860.57</v>
      </c>
      <c r="I15" s="2209"/>
      <c r="J15" s="2209"/>
      <c r="K15" s="2209"/>
      <c r="L15" s="2209"/>
      <c r="M15" s="2209">
        <f>面积表!C10+面积表!C11</f>
        <v>11860.57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已建车库</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928" t="s">
        <v>3080</v>
      </c>
      <c r="D16" s="2208" t="s">
        <v>3082</v>
      </c>
      <c r="E16" s="16">
        <f>IF($C$3="是",ROUND($A$3*G16/$B$3,2),ROUND($A$3*(G16-AT16)/$B$3,2))</f>
        <v>798.29</v>
      </c>
      <c r="F16" s="32"/>
      <c r="G16" s="33">
        <f>H16+AC16+AT16</f>
        <v>2535.6999999999998</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2535.6999999999998</v>
      </c>
      <c r="AD16" s="2210">
        <f>面积表!B10+面积表!H10</f>
        <v>1182.32</v>
      </c>
      <c r="AE16" s="2210"/>
      <c r="AF16" s="2210">
        <f>面积表!D10+面积表!I10-121.22</f>
        <v>903.64999999999986</v>
      </c>
      <c r="AG16" s="2210"/>
      <c r="AH16" s="2966">
        <f>89.96+89.96</f>
        <v>179.92</v>
      </c>
      <c r="AI16" s="2210"/>
      <c r="AJ16" s="2210">
        <f>121.22</f>
        <v>121.22</v>
      </c>
      <c r="AK16" s="2210"/>
      <c r="AL16" s="2210"/>
      <c r="AM16" s="2210"/>
      <c r="AN16" s="2966">
        <f>面积表!N5</f>
        <v>148.59000000000003</v>
      </c>
      <c r="AO16" s="2210"/>
      <c r="AP16" s="2210"/>
      <c r="AQ16" s="2210"/>
      <c r="AR16" s="2210"/>
      <c r="AS16" s="2210"/>
      <c r="AT16" s="2211"/>
      <c r="AU16" s="2212"/>
      <c r="AV16" s="11">
        <f t="shared" si="6"/>
        <v>0</v>
      </c>
      <c r="AW16" s="11">
        <f t="shared" si="6"/>
        <v>0</v>
      </c>
      <c r="AX16" s="11" t="str">
        <f t="shared" si="6"/>
        <v>配套</v>
      </c>
      <c r="AY16" s="1805">
        <f>ROUND($AY$6*AZ16/$AZ$5,2)</f>
        <v>798.29</v>
      </c>
      <c r="AZ16" s="16">
        <f>BA16+BL16</f>
        <v>2535.6999999999998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2535.6999999999998</v>
      </c>
      <c r="BM16" s="16">
        <f>IF($D16="是",AD16-AE16,0)</f>
        <v>1182.32</v>
      </c>
      <c r="BN16" s="16">
        <f>IF($D16="是",AF16-AG16,0)</f>
        <v>903.64999999999986</v>
      </c>
      <c r="BO16" s="16">
        <f>IF($D16="是",AH16-AI16,0)</f>
        <v>179.92</v>
      </c>
      <c r="BP16" s="16">
        <f>IF($D16="是",AJ16-AK16,0)</f>
        <v>121.22</v>
      </c>
      <c r="BQ16" s="16">
        <f>IF($D16="是",AL16-AM16,0)</f>
        <v>0</v>
      </c>
      <c r="BR16" s="16">
        <f>IF($D16="是",AN16-AO16,0)</f>
        <v>148.59000000000003</v>
      </c>
      <c r="BS16" s="16">
        <f>IF($D16="是",AP16-AQ16,0)</f>
        <v>0</v>
      </c>
      <c r="BT16" s="22">
        <f>IF($D16="是",AR16-AS16,0)</f>
        <v>0</v>
      </c>
    </row>
    <row r="17" spans="1:72" s="2162" customFormat="1" ht="12.75">
      <c r="A17" s="1272"/>
      <c r="B17" s="1272"/>
      <c r="C17" s="2928" t="s">
        <v>3174</v>
      </c>
      <c r="D17" s="2208" t="s">
        <v>3082</v>
      </c>
      <c r="E17" s="16">
        <f>IF($C$3="是",ROUND($A$3*G17/$B$3,2),ROUND($A$3*(G17-AT17)/$B$3,2))</f>
        <v>2499.58</v>
      </c>
      <c r="F17" s="32"/>
      <c r="G17" s="33">
        <f>H17+AC17+AT17</f>
        <v>7939.69</v>
      </c>
      <c r="H17" s="20">
        <f>SUMIF(I$12:AB$12,"总值",I17:AB17)</f>
        <v>7939.69</v>
      </c>
      <c r="I17" s="2209"/>
      <c r="J17" s="2209"/>
      <c r="K17" s="2209"/>
      <c r="L17" s="2209"/>
      <c r="M17" s="2209"/>
      <c r="N17" s="2209"/>
      <c r="O17" s="2209">
        <f>面积表!J11</f>
        <v>7939.69</v>
      </c>
      <c r="P17" s="2209">
        <f>面积表!J8</f>
        <v>2761.03</v>
      </c>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未建商业</v>
      </c>
      <c r="AY17" s="1805">
        <f>ROUND($AY$6*AZ17/$AZ$5,2)</f>
        <v>1630.35</v>
      </c>
      <c r="AZ17" s="16">
        <f>BA17+BL17</f>
        <v>5178.66</v>
      </c>
      <c r="BA17" s="16">
        <f>SUM(BB17:BK17)</f>
        <v>5178.66</v>
      </c>
      <c r="BB17" s="16">
        <f>IF($D17="是",I17-J17,0)</f>
        <v>0</v>
      </c>
      <c r="BC17" s="16">
        <f>IF($D17="是",K17-L17,0)</f>
        <v>0</v>
      </c>
      <c r="BD17" s="16">
        <f>IF($D17="是",M17-N17,0)</f>
        <v>0</v>
      </c>
      <c r="BE17" s="16">
        <f>IF($D17="是",O17-P17,0)</f>
        <v>5178.66</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29" t="s">
        <v>3090</v>
      </c>
      <c r="D18" s="2213" t="s">
        <v>3082</v>
      </c>
      <c r="E18" s="35">
        <f t="shared" ref="E18:E112" si="7">IF($C$3="是",ROUND($A$3*G18/$B$3,2),ROUND($A$3*(G18-AT18)/$B$3,2))</f>
        <v>66.790000000000006</v>
      </c>
      <c r="F18" s="36"/>
      <c r="G18" s="37">
        <f t="shared" ref="G18:G109" si="8">H18+AC18+AT18</f>
        <v>212.16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212.16</v>
      </c>
      <c r="AD18" s="40"/>
      <c r="AE18" s="40"/>
      <c r="AF18" s="40"/>
      <c r="AG18" s="40"/>
      <c r="AH18" s="40"/>
      <c r="AI18" s="40"/>
      <c r="AJ18" s="40"/>
      <c r="AK18" s="40"/>
      <c r="AL18" s="40">
        <f>面积表!B12</f>
        <v>212.16</v>
      </c>
      <c r="AM18" s="40"/>
      <c r="AN18" s="40"/>
      <c r="AO18" s="40"/>
      <c r="AP18" s="40"/>
      <c r="AQ18" s="40"/>
      <c r="AR18" s="40"/>
      <c r="AS18" s="40"/>
      <c r="AT18" s="41"/>
      <c r="AU18" s="2214"/>
      <c r="AV18" s="1794">
        <f t="shared" ref="AV18:AV112" si="11">A18</f>
        <v>0</v>
      </c>
      <c r="AW18" s="1794">
        <f t="shared" ref="AW18:AW112" si="12">B18</f>
        <v>0</v>
      </c>
      <c r="AX18" s="1794" t="str">
        <f t="shared" ref="AX18:AX112" si="13">C18</f>
        <v>交换站</v>
      </c>
      <c r="AY18" s="42">
        <f t="shared" ref="AY18:AY109" si="14">ROUND($AY$6*AZ18/$AZ$5,2)</f>
        <v>66.790000000000006</v>
      </c>
      <c r="AZ18" s="35">
        <f t="shared" ref="AZ18:AZ109" si="15">BA18+BL18</f>
        <v>212.16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212.16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212.16</v>
      </c>
      <c r="BR18" s="35">
        <f t="shared" ref="BR18:BR109" si="33">IF($D18="是",AN18-AO18,0)</f>
        <v>0</v>
      </c>
      <c r="BS18" s="35">
        <f t="shared" ref="BS18:BS109" si="34">IF($D18="是",AP18-AQ18,0)</f>
        <v>0</v>
      </c>
      <c r="BT18" s="43">
        <f t="shared" ref="BT18:BT109" si="35">IF($D18="是",AR18-AS18,0)</f>
        <v>0</v>
      </c>
    </row>
    <row r="19" spans="1:72">
      <c r="A19" s="9"/>
      <c r="B19" s="34"/>
      <c r="C19" s="2929" t="s">
        <v>3092</v>
      </c>
      <c r="D19" s="2213" t="s">
        <v>3082</v>
      </c>
      <c r="E19" s="35">
        <f t="shared" si="7"/>
        <v>10362.14</v>
      </c>
      <c r="F19" s="36"/>
      <c r="G19" s="37">
        <f t="shared" si="8"/>
        <v>32914.340000000004</v>
      </c>
      <c r="H19" s="38">
        <f t="shared" si="9"/>
        <v>32914.340000000004</v>
      </c>
      <c r="I19" s="39">
        <f>面积表!H5+面积表!H6+面积表!H7</f>
        <v>32914.340000000004</v>
      </c>
      <c r="J19" s="39">
        <f>面积表!H8</f>
        <v>0</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t="str">
        <f t="shared" si="13"/>
        <v>未建住宅</v>
      </c>
      <c r="AY19" s="42">
        <f t="shared" si="14"/>
        <v>10362.14</v>
      </c>
      <c r="AZ19" s="35">
        <f t="shared" si="15"/>
        <v>32914.340000000004</v>
      </c>
      <c r="BA19" s="35">
        <f t="shared" si="16"/>
        <v>32914.340000000004</v>
      </c>
      <c r="BB19" s="35">
        <f t="shared" si="17"/>
        <v>32914.340000000004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29" t="s">
        <v>3096</v>
      </c>
      <c r="D20" s="2213" t="s">
        <v>3082</v>
      </c>
      <c r="E20" s="35">
        <f t="shared" si="7"/>
        <v>2365.46</v>
      </c>
      <c r="F20" s="36"/>
      <c r="G20" s="37">
        <f t="shared" si="8"/>
        <v>7513.65</v>
      </c>
      <c r="H20" s="38">
        <f t="shared" si="9"/>
        <v>7513.65</v>
      </c>
      <c r="I20" s="39"/>
      <c r="J20" s="39"/>
      <c r="K20" s="39"/>
      <c r="L20" s="39"/>
      <c r="M20" s="39">
        <f>面积表!I9</f>
        <v>7513.65</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t="str">
        <f t="shared" si="13"/>
        <v>未建车库</v>
      </c>
      <c r="AY20" s="42">
        <f t="shared" si="14"/>
        <v>2365.46</v>
      </c>
      <c r="AZ20" s="35">
        <f t="shared" si="15"/>
        <v>7513.65</v>
      </c>
      <c r="BA20" s="35">
        <f t="shared" si="16"/>
        <v>7513.65</v>
      </c>
      <c r="BB20" s="35">
        <f t="shared" si="17"/>
        <v>0</v>
      </c>
      <c r="BC20" s="35">
        <f t="shared" si="18"/>
        <v>0</v>
      </c>
      <c r="BD20" s="35">
        <f t="shared" si="19"/>
        <v>7513.65</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3" sqref="G2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1941</v>
      </c>
      <c r="B1" s="1391"/>
      <c r="C1" s="1391"/>
      <c r="D1" s="1391"/>
      <c r="E1" s="1391"/>
      <c r="F1" s="1391"/>
      <c r="G1" s="1391"/>
      <c r="H1" s="1391"/>
      <c r="I1" s="1391"/>
      <c r="J1" s="1391"/>
      <c r="K1" s="1391"/>
      <c r="L1" s="1391"/>
      <c r="M1" s="1391"/>
      <c r="N1" s="1391"/>
      <c r="O1" s="1391"/>
      <c r="P1" s="1391"/>
    </row>
    <row r="2" spans="1:16" ht="15">
      <c r="A2" s="3065" t="s">
        <v>1942</v>
      </c>
      <c r="B2" s="3065"/>
      <c r="C2" s="3065"/>
      <c r="D2" s="967" t="s">
        <v>1918</v>
      </c>
      <c r="E2" s="2222" t="s">
        <v>1919</v>
      </c>
      <c r="F2" s="1391"/>
      <c r="G2" s="2223"/>
      <c r="H2" s="2224"/>
      <c r="I2" s="2225" t="s">
        <v>1943</v>
      </c>
      <c r="J2" s="1391"/>
      <c r="K2" s="1391"/>
      <c r="L2" s="1391"/>
      <c r="M2" s="1391"/>
      <c r="N2" s="1426"/>
      <c r="O2" s="1391"/>
      <c r="P2" s="1391"/>
    </row>
    <row r="3" spans="1:16" ht="15.75" thickBot="1">
      <c r="A3" s="3066" t="s">
        <v>1916</v>
      </c>
      <c r="B3" s="3066"/>
      <c r="C3" s="3066"/>
      <c r="D3" s="46">
        <f>'数据-基础表'!AY6</f>
        <v>20327.75</v>
      </c>
      <c r="E3" s="46">
        <f>'数据-基础表'!AZ5</f>
        <v>64569.140000000007</v>
      </c>
      <c r="F3" s="1391"/>
      <c r="G3" s="1398"/>
      <c r="H3" s="1247" t="s">
        <v>1917</v>
      </c>
      <c r="I3" s="54">
        <f>ROUND('数据-基础表'!B3/'数据-基础表'!A3,2)</f>
        <v>3.18</v>
      </c>
      <c r="J3" s="1391"/>
      <c r="K3" s="1391"/>
      <c r="L3" s="1391"/>
      <c r="M3" s="1391"/>
      <c r="N3" s="1426"/>
      <c r="O3" s="1391"/>
      <c r="P3" s="1391"/>
    </row>
    <row r="4" spans="1:16" ht="15">
      <c r="A4" s="3067"/>
      <c r="B4" s="3068"/>
      <c r="C4" s="3069"/>
      <c r="D4" s="2226" t="s">
        <v>1918</v>
      </c>
      <c r="E4" s="2227" t="s">
        <v>1919</v>
      </c>
      <c r="F4" s="1391"/>
      <c r="G4" s="2228" t="s">
        <v>1944</v>
      </c>
      <c r="H4" s="1247" t="s">
        <v>1924</v>
      </c>
      <c r="I4" s="54">
        <f>ROUND(SUMIF('数据-基础表'!I9:AS9,"地上",'数据-基础表'!I5:AS5)/'数据-基础表'!A3,2)</f>
        <v>2.54</v>
      </c>
      <c r="J4" s="1391"/>
      <c r="K4" s="1391"/>
      <c r="L4" s="1391"/>
      <c r="M4" s="1391"/>
      <c r="N4" s="1426"/>
      <c r="O4" s="1391"/>
      <c r="P4" s="1391"/>
    </row>
    <row r="5" spans="1:16">
      <c r="A5" s="47" t="s">
        <v>1920</v>
      </c>
      <c r="B5" s="3070" t="s">
        <v>1921</v>
      </c>
      <c r="C5" s="3070"/>
      <c r="D5" s="48">
        <f>ROUND($D$3*E5/$E$3,2)</f>
        <v>14531.52</v>
      </c>
      <c r="E5" s="49">
        <f>SUMIF('数据-基础表'!$11:$11,"住宅",'数据-基础表'!$5:$5)</f>
        <v>46157.97</v>
      </c>
      <c r="F5" s="1391"/>
      <c r="G5" s="1398"/>
      <c r="H5" s="1247" t="s">
        <v>1917</v>
      </c>
      <c r="I5" s="54">
        <f>ROUND(E31/D31,2)</f>
        <v>3.18</v>
      </c>
      <c r="J5" s="1391"/>
      <c r="K5" s="1391"/>
      <c r="L5" s="1391"/>
      <c r="M5" s="1391"/>
      <c r="N5" s="1391"/>
      <c r="O5" s="1391"/>
      <c r="P5" s="1391"/>
    </row>
    <row r="6" spans="1:16" ht="15" thickBot="1">
      <c r="A6" s="2229"/>
      <c r="B6" s="3070" t="s">
        <v>1922</v>
      </c>
      <c r="C6" s="3070"/>
      <c r="D6" s="48">
        <f>ROUND($D$3*E6/$E$3,2)</f>
        <v>5796.23</v>
      </c>
      <c r="E6" s="49">
        <f>E3-E5</f>
        <v>18411.170000000006</v>
      </c>
      <c r="F6" s="1391"/>
      <c r="G6" s="2230" t="s">
        <v>1923</v>
      </c>
      <c r="H6" s="1398" t="s">
        <v>1924</v>
      </c>
      <c r="I6" s="939">
        <f>ROUND(F31/D31,2)</f>
        <v>2.6</v>
      </c>
      <c r="J6" s="1391"/>
      <c r="K6" s="1391"/>
      <c r="L6" s="1391"/>
      <c r="M6" s="1391"/>
      <c r="N6" s="1391"/>
      <c r="O6" s="1391"/>
      <c r="P6" s="1391"/>
    </row>
    <row r="7" spans="1:16" ht="15">
      <c r="A7" s="3062"/>
      <c r="B7" s="3063"/>
      <c r="C7" s="3064"/>
      <c r="D7" s="2226" t="s">
        <v>1918</v>
      </c>
      <c r="E7" s="2231" t="s">
        <v>1925</v>
      </c>
      <c r="F7" s="1391"/>
      <c r="G7" s="2223" t="s">
        <v>1926</v>
      </c>
      <c r="H7" s="63"/>
      <c r="I7" s="419">
        <f>I6</f>
        <v>2.6</v>
      </c>
      <c r="J7" s="1391"/>
      <c r="K7" s="1391"/>
      <c r="L7" s="1391"/>
      <c r="M7" s="1391"/>
      <c r="N7" s="1391"/>
      <c r="O7" s="1391"/>
      <c r="P7" s="1391"/>
    </row>
    <row r="8" spans="1:16">
      <c r="A8" s="47" t="s">
        <v>1927</v>
      </c>
      <c r="B8" s="50" t="s">
        <v>1928</v>
      </c>
      <c r="C8" s="48" t="s">
        <v>1929</v>
      </c>
      <c r="D8" s="48">
        <f t="shared" ref="D8:D15" si="0">ROUND($D$3*E8/$E$3,2)</f>
        <v>16161.87</v>
      </c>
      <c r="E8" s="51">
        <f>SUMIF('数据-基础表'!BB10:BK10,"地上",'数据-基础表'!BB5:BK5)</f>
        <v>51336.630000000005</v>
      </c>
      <c r="F8" s="1391"/>
      <c r="G8" s="2232"/>
      <c r="H8" s="2232"/>
      <c r="I8" s="1391"/>
      <c r="J8" s="1391"/>
      <c r="K8" s="1391"/>
      <c r="L8" s="1391"/>
      <c r="M8" s="1391"/>
      <c r="N8" s="1391"/>
      <c r="O8" s="1391"/>
      <c r="P8" s="1391"/>
    </row>
    <row r="9" spans="1:16" ht="15">
      <c r="A9" s="2233"/>
      <c r="B9" s="2234"/>
      <c r="C9" s="48" t="s">
        <v>1930</v>
      </c>
      <c r="D9" s="48">
        <f t="shared" si="0"/>
        <v>56.64</v>
      </c>
      <c r="E9" s="2967">
        <f>'数据-基础表'!AH16</f>
        <v>179.92</v>
      </c>
      <c r="F9" s="1391"/>
      <c r="G9" s="2232"/>
      <c r="H9" s="2232"/>
      <c r="I9" s="1391"/>
      <c r="J9" s="1391"/>
      <c r="K9" s="1391"/>
      <c r="L9" s="1391"/>
      <c r="M9" s="1391"/>
      <c r="N9" s="1391"/>
      <c r="O9" s="1391"/>
      <c r="P9" s="1391"/>
    </row>
    <row r="10" spans="1:16">
      <c r="A10" s="2233"/>
      <c r="B10" s="2234"/>
      <c r="C10" s="48" t="s">
        <v>1939</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1931</v>
      </c>
      <c r="D11" s="48">
        <f t="shared" si="0"/>
        <v>38.159999999999997</v>
      </c>
      <c r="E11" s="51">
        <f>SUMPRODUCT(('数据-基础表'!BB10:BK10="地下")*('数据-基础表'!BB11:BK11="办公")*('数据-基础表'!BB5:BK5))+'数据-基础表'!BP5</f>
        <v>121.22</v>
      </c>
      <c r="F11" s="1391"/>
      <c r="G11" s="2232"/>
      <c r="H11" s="2232"/>
      <c r="I11" s="1391"/>
      <c r="J11" s="1391"/>
      <c r="K11" s="1391"/>
      <c r="L11" s="1391"/>
      <c r="M11" s="1391"/>
      <c r="N11" s="1391"/>
      <c r="O11" s="1391"/>
      <c r="P11" s="1391"/>
    </row>
    <row r="12" spans="1:16">
      <c r="A12" s="2233"/>
      <c r="B12" s="2234"/>
      <c r="C12" s="48" t="s">
        <v>1932</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1933</v>
      </c>
      <c r="D13" s="48">
        <f t="shared" si="0"/>
        <v>3300.79</v>
      </c>
      <c r="E13" s="51">
        <f>SUMPRODUCT(('数据-基础表'!BB10:BK10="地下")*('数据-基础表'!BB11:BK11="车库")*('数据-基础表'!BB5:BK5))</f>
        <v>10484.65</v>
      </c>
      <c r="F13" s="1391"/>
      <c r="G13" s="2232"/>
      <c r="H13" s="2232"/>
      <c r="I13" s="1391"/>
      <c r="J13" s="1391"/>
      <c r="K13" s="1391"/>
      <c r="L13" s="1391"/>
      <c r="M13" s="1391"/>
      <c r="N13" s="1391"/>
      <c r="O13" s="1391"/>
      <c r="P13" s="1391"/>
    </row>
    <row r="14" spans="1:16">
      <c r="A14" s="2233"/>
      <c r="B14" s="2234"/>
      <c r="C14" s="48" t="s">
        <v>1945</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1940</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1934</v>
      </c>
      <c r="D16" s="50">
        <f>SUM(D8:D15)</f>
        <v>19557.46</v>
      </c>
      <c r="E16" s="52">
        <f>SUM(E8:E15)</f>
        <v>62122.420000000006</v>
      </c>
      <c r="F16" s="1391"/>
      <c r="G16" s="2232"/>
      <c r="H16" s="2235" t="s">
        <v>1946</v>
      </c>
      <c r="I16" s="2236"/>
      <c r="J16" s="1391"/>
      <c r="K16" s="3059" t="s">
        <v>1946</v>
      </c>
      <c r="L16" s="3060"/>
      <c r="M16" s="3060"/>
      <c r="N16" s="3060"/>
      <c r="O16" s="3060"/>
      <c r="P16" s="3061"/>
    </row>
    <row r="17" spans="1:19" ht="15">
      <c r="A17" s="2237" t="s">
        <v>1947</v>
      </c>
      <c r="B17" s="2238" t="s">
        <v>1948</v>
      </c>
      <c r="C17" s="2239" t="s">
        <v>1949</v>
      </c>
      <c r="D17" s="2240" t="s">
        <v>1937</v>
      </c>
      <c r="E17" s="2241" t="s">
        <v>1938</v>
      </c>
      <c r="F17" s="2242"/>
      <c r="G17" s="2243"/>
      <c r="H17" s="2244" t="s">
        <v>1950</v>
      </c>
      <c r="I17" s="2245" t="s">
        <v>1935</v>
      </c>
      <c r="J17" s="1391"/>
      <c r="K17" s="3056" t="s">
        <v>1951</v>
      </c>
      <c r="L17" s="3057"/>
      <c r="M17" s="3058"/>
      <c r="N17" s="3056" t="s">
        <v>1952</v>
      </c>
      <c r="O17" s="3057"/>
      <c r="P17" s="3058"/>
      <c r="R17" s="2223" t="s">
        <v>1953</v>
      </c>
      <c r="S17" s="63"/>
    </row>
    <row r="18" spans="1:19" ht="15">
      <c r="A18" s="2233"/>
      <c r="B18" s="2246"/>
      <c r="C18" s="2247"/>
      <c r="D18" s="2248"/>
      <c r="E18" s="2249" t="s">
        <v>1954</v>
      </c>
      <c r="F18" s="2250" t="s">
        <v>1955</v>
      </c>
      <c r="G18" s="2251" t="s">
        <v>1956</v>
      </c>
      <c r="H18" s="1262" t="s">
        <v>1957</v>
      </c>
      <c r="I18" s="2252" t="s">
        <v>1958</v>
      </c>
      <c r="J18" s="1391"/>
      <c r="K18" s="1262" t="s">
        <v>1959</v>
      </c>
      <c r="L18" s="2253" t="s">
        <v>1960</v>
      </c>
      <c r="M18" s="1046" t="s">
        <v>1961</v>
      </c>
      <c r="N18" s="1262" t="s">
        <v>1959</v>
      </c>
      <c r="O18" s="2253" t="s">
        <v>1960</v>
      </c>
      <c r="P18" s="1046" t="s">
        <v>1961</v>
      </c>
      <c r="R18" s="1247" t="s">
        <v>1962</v>
      </c>
      <c r="S18" s="1247" t="s">
        <v>1963</v>
      </c>
    </row>
    <row r="19" spans="1:19">
      <c r="A19" s="2254"/>
      <c r="B19" s="50" t="s">
        <v>1936</v>
      </c>
      <c r="C19" s="2930" t="s">
        <v>3093</v>
      </c>
      <c r="D19" s="48">
        <f>ROUND($D$3*E19/$E$3,2)</f>
        <v>4169.38</v>
      </c>
      <c r="E19" s="55">
        <f t="shared" ref="E19:E26" si="1">SUM(F19:G19)</f>
        <v>13243.629999999997</v>
      </c>
      <c r="F19" s="56">
        <f>'数据-基础表'!I13-'数据-基础表'!J13</f>
        <v>13243.629999999997</v>
      </c>
      <c r="G19" s="57"/>
      <c r="H19" s="722">
        <f>ROUND($D$3*I19/$E$3,2)</f>
        <v>239.95</v>
      </c>
      <c r="I19" s="51">
        <f t="shared" ref="I19:I26" si="2">IF($I$17="自定义",P19,M19)</f>
        <v>762.18999999999994</v>
      </c>
      <c r="J19" s="1391"/>
      <c r="K19" s="1390">
        <f t="shared" ref="K19:K26" si="3">ROUND(E$28*E19/E$27,2)</f>
        <v>77.28</v>
      </c>
      <c r="L19" s="1247">
        <f t="shared" ref="L19:L26" si="4">ROUND(IF(COUNTIF(C19,"*住宅*")&gt;0,E$29*E19/E$32,0),2)</f>
        <v>684.91</v>
      </c>
      <c r="M19" s="1402">
        <f>K19+L19</f>
        <v>762.18999999999994</v>
      </c>
      <c r="N19" s="2255"/>
      <c r="O19" s="2256"/>
      <c r="P19" s="1402">
        <f>N19+O19</f>
        <v>0</v>
      </c>
      <c r="R19" s="1247">
        <f t="shared" ref="R19:S26" si="5">D19+H19</f>
        <v>4409.33</v>
      </c>
      <c r="S19" s="1248">
        <f t="shared" si="5"/>
        <v>14005.819999999998</v>
      </c>
    </row>
    <row r="20" spans="1:19">
      <c r="A20" s="2257"/>
      <c r="B20" s="50" t="s">
        <v>1964</v>
      </c>
      <c r="C20" s="2930" t="s">
        <v>3094</v>
      </c>
      <c r="D20" s="48">
        <f t="shared" ref="D20:D26" si="6">ROUND($D$3*E20/$E$3,2)</f>
        <v>10362.14</v>
      </c>
      <c r="E20" s="55">
        <f t="shared" si="1"/>
        <v>32914.340000000004</v>
      </c>
      <c r="F20" s="56">
        <f>'数据-基础表'!I19-'数据-基础表'!J19</f>
        <v>32914.340000000004</v>
      </c>
      <c r="G20" s="57"/>
      <c r="H20" s="722">
        <f t="shared" ref="H20:H26" si="7">ROUND($D$3*I20/$E$3,2)</f>
        <v>596.36</v>
      </c>
      <c r="I20" s="51">
        <f t="shared" si="2"/>
        <v>1894.27</v>
      </c>
      <c r="J20" s="1391"/>
      <c r="K20" s="1390">
        <f t="shared" si="3"/>
        <v>192.07</v>
      </c>
      <c r="L20" s="1247">
        <f t="shared" si="4"/>
        <v>1702.2</v>
      </c>
      <c r="M20" s="1402">
        <f t="shared" ref="M20:M26" si="8">K20+L20</f>
        <v>1894.27</v>
      </c>
      <c r="N20" s="2255"/>
      <c r="O20" s="2256"/>
      <c r="P20" s="1402">
        <f t="shared" ref="P20:P26" si="9">N20+O20</f>
        <v>0</v>
      </c>
      <c r="R20" s="1247">
        <f t="shared" si="5"/>
        <v>10958.5</v>
      </c>
      <c r="S20" s="1248">
        <f t="shared" si="5"/>
        <v>34808.61</v>
      </c>
    </row>
    <row r="21" spans="1:19">
      <c r="A21" s="2257"/>
      <c r="B21" s="50" t="s">
        <v>1964</v>
      </c>
      <c r="C21" s="2930" t="s">
        <v>3097</v>
      </c>
      <c r="D21" s="48">
        <f t="shared" si="6"/>
        <v>2365.46</v>
      </c>
      <c r="E21" s="55">
        <f t="shared" si="1"/>
        <v>7513.65</v>
      </c>
      <c r="F21" s="56"/>
      <c r="G21" s="57">
        <f>'数据-基础表'!M20</f>
        <v>7513.65</v>
      </c>
      <c r="H21" s="722">
        <f t="shared" si="7"/>
        <v>13.8</v>
      </c>
      <c r="I21" s="51">
        <f t="shared" si="2"/>
        <v>43.84</v>
      </c>
      <c r="J21" s="1391"/>
      <c r="K21" s="1390">
        <f t="shared" si="3"/>
        <v>43.84</v>
      </c>
      <c r="L21" s="1247">
        <f t="shared" si="4"/>
        <v>0</v>
      </c>
      <c r="M21" s="1402">
        <f t="shared" si="8"/>
        <v>43.84</v>
      </c>
      <c r="N21" s="2255"/>
      <c r="O21" s="2256"/>
      <c r="P21" s="1402">
        <f t="shared" si="9"/>
        <v>0</v>
      </c>
      <c r="R21" s="1247">
        <f t="shared" si="5"/>
        <v>2379.2600000000002</v>
      </c>
      <c r="S21" s="1248">
        <f t="shared" si="5"/>
        <v>7557.49</v>
      </c>
    </row>
    <row r="22" spans="1:19">
      <c r="A22" s="2257"/>
      <c r="B22" s="50" t="s">
        <v>1964</v>
      </c>
      <c r="C22" s="2931" t="s">
        <v>3098</v>
      </c>
      <c r="D22" s="48">
        <f t="shared" si="6"/>
        <v>935.33</v>
      </c>
      <c r="E22" s="55">
        <f t="shared" si="1"/>
        <v>2971</v>
      </c>
      <c r="F22" s="60"/>
      <c r="G22" s="61">
        <f>'数据-基础表'!K14-'数据-基础表'!L14</f>
        <v>2971</v>
      </c>
      <c r="H22" s="722">
        <f t="shared" si="7"/>
        <v>5.46</v>
      </c>
      <c r="I22" s="51">
        <f t="shared" si="2"/>
        <v>17.34</v>
      </c>
      <c r="J22" s="1391"/>
      <c r="K22" s="1390">
        <f t="shared" si="3"/>
        <v>17.34</v>
      </c>
      <c r="L22" s="1247">
        <f t="shared" si="4"/>
        <v>0</v>
      </c>
      <c r="M22" s="1402">
        <f t="shared" si="8"/>
        <v>17.34</v>
      </c>
      <c r="N22" s="2255"/>
      <c r="O22" s="2256"/>
      <c r="P22" s="1402">
        <f t="shared" si="9"/>
        <v>0</v>
      </c>
      <c r="R22" s="1247">
        <f t="shared" si="5"/>
        <v>940.79000000000008</v>
      </c>
      <c r="S22" s="1248">
        <f t="shared" si="5"/>
        <v>2988.34</v>
      </c>
    </row>
    <row r="23" spans="1:19">
      <c r="A23" s="2257"/>
      <c r="B23" s="50" t="s">
        <v>1964</v>
      </c>
      <c r="C23" s="2931" t="s">
        <v>3176</v>
      </c>
      <c r="D23" s="48">
        <f>ROUND($D$3*E23/$E$3,2)</f>
        <v>1630.35</v>
      </c>
      <c r="E23" s="55">
        <f>SUM(F23:G23)</f>
        <v>5178.66</v>
      </c>
      <c r="F23" s="60">
        <f>'数据-基础表'!O17-'数据-基础表'!P17</f>
        <v>5178.66</v>
      </c>
      <c r="G23" s="61"/>
      <c r="H23" s="722">
        <f>ROUND($D$3*I23/$E$3,2)</f>
        <v>9.51</v>
      </c>
      <c r="I23" s="51">
        <f t="shared" si="2"/>
        <v>30.22</v>
      </c>
      <c r="J23" s="1391"/>
      <c r="K23" s="1390">
        <f t="shared" si="3"/>
        <v>30.22</v>
      </c>
      <c r="L23" s="1247">
        <f t="shared" si="4"/>
        <v>0</v>
      </c>
      <c r="M23" s="1402">
        <f t="shared" si="8"/>
        <v>30.22</v>
      </c>
      <c r="N23" s="2255"/>
      <c r="O23" s="2256"/>
      <c r="P23" s="1402">
        <f t="shared" si="9"/>
        <v>0</v>
      </c>
      <c r="R23" s="1247">
        <f t="shared" si="5"/>
        <v>1639.86</v>
      </c>
      <c r="S23" s="1248">
        <f t="shared" si="5"/>
        <v>5208.88</v>
      </c>
    </row>
    <row r="24" spans="1:19" hidden="1">
      <c r="A24" s="2257"/>
      <c r="B24" s="50" t="s">
        <v>1964</v>
      </c>
      <c r="C24" s="59"/>
      <c r="D24" s="48">
        <f>ROUND($D$3*E24/$E$3,2)</f>
        <v>0</v>
      </c>
      <c r="E24" s="55">
        <f>SUM(F24:G24)</f>
        <v>0</v>
      </c>
      <c r="F24" s="60"/>
      <c r="G24" s="61"/>
      <c r="H24" s="722">
        <f>ROUND($D$3*I24/$E$3,2)</f>
        <v>0</v>
      </c>
      <c r="I24" s="51">
        <f t="shared" si="2"/>
        <v>0</v>
      </c>
      <c r="J24" s="1391"/>
      <c r="K24" s="1390">
        <f t="shared" si="3"/>
        <v>0</v>
      </c>
      <c r="L24" s="1247">
        <f t="shared" si="4"/>
        <v>0</v>
      </c>
      <c r="M24" s="1402">
        <f t="shared" si="8"/>
        <v>0</v>
      </c>
      <c r="N24" s="2255"/>
      <c r="O24" s="2256"/>
      <c r="P24" s="1402">
        <f t="shared" si="9"/>
        <v>0</v>
      </c>
      <c r="R24" s="1247">
        <f t="shared" si="5"/>
        <v>0</v>
      </c>
      <c r="S24" s="1248">
        <f t="shared" si="5"/>
        <v>0</v>
      </c>
    </row>
    <row r="25" spans="1:19" hidden="1">
      <c r="A25" s="2257"/>
      <c r="B25" s="50" t="s">
        <v>1964</v>
      </c>
      <c r="C25" s="59"/>
      <c r="D25" s="48">
        <f t="shared" si="6"/>
        <v>0</v>
      </c>
      <c r="E25" s="55">
        <f t="shared" si="1"/>
        <v>0</v>
      </c>
      <c r="F25" s="60"/>
      <c r="G25" s="61"/>
      <c r="H25" s="47">
        <f t="shared" si="7"/>
        <v>0</v>
      </c>
      <c r="I25" s="51">
        <f t="shared" si="2"/>
        <v>0</v>
      </c>
      <c r="J25" s="1391"/>
      <c r="K25" s="1390">
        <f t="shared" si="3"/>
        <v>0</v>
      </c>
      <c r="L25" s="1247">
        <f t="shared" si="4"/>
        <v>0</v>
      </c>
      <c r="M25" s="1402">
        <f t="shared" si="8"/>
        <v>0</v>
      </c>
      <c r="N25" s="2255"/>
      <c r="O25" s="2256"/>
      <c r="P25" s="1402">
        <f t="shared" si="9"/>
        <v>0</v>
      </c>
      <c r="R25" s="1247">
        <f t="shared" si="5"/>
        <v>0</v>
      </c>
      <c r="S25" s="1248">
        <f t="shared" si="5"/>
        <v>0</v>
      </c>
    </row>
    <row r="26" spans="1:19" hidden="1">
      <c r="A26" s="2257"/>
      <c r="B26" s="50" t="s">
        <v>1964</v>
      </c>
      <c r="C26" s="62"/>
      <c r="D26" s="48">
        <f t="shared" si="6"/>
        <v>0</v>
      </c>
      <c r="E26" s="55">
        <f t="shared" si="1"/>
        <v>0</v>
      </c>
      <c r="F26" s="60"/>
      <c r="G26" s="61"/>
      <c r="H26" s="47">
        <f t="shared" si="7"/>
        <v>0</v>
      </c>
      <c r="I26" s="51">
        <f t="shared" si="2"/>
        <v>0</v>
      </c>
      <c r="J26" s="1391"/>
      <c r="K26" s="1397">
        <f t="shared" si="3"/>
        <v>0</v>
      </c>
      <c r="L26" s="1398">
        <f t="shared" si="4"/>
        <v>0</v>
      </c>
      <c r="M26" s="66">
        <f t="shared" si="8"/>
        <v>0</v>
      </c>
      <c r="N26" s="2258"/>
      <c r="O26" s="2259"/>
      <c r="P26" s="66">
        <f t="shared" si="9"/>
        <v>0</v>
      </c>
      <c r="R26" s="1247">
        <f t="shared" si="5"/>
        <v>0</v>
      </c>
      <c r="S26" s="1248">
        <f t="shared" si="5"/>
        <v>0</v>
      </c>
    </row>
    <row r="27" spans="1:19" ht="29.25" thickBot="1">
      <c r="A27" s="2257"/>
      <c r="B27" s="48"/>
      <c r="C27" s="2260" t="s">
        <v>1965</v>
      </c>
      <c r="D27" s="1392">
        <f>SUM(D19:D26)</f>
        <v>19462.66</v>
      </c>
      <c r="E27" s="1393">
        <f>IF(SUM(E19:E26)='数据-基础表'!BA5,SUM(E19:E26),IF(F27="地上面积有误","面积有误","地下面积有误"))</f>
        <v>61821.279999999999</v>
      </c>
      <c r="F27" s="1392">
        <f>IF(SUM(F19:F26)=E8,SUM(F19:F26),"地上面积有误")</f>
        <v>51336.630000000005</v>
      </c>
      <c r="G27" s="1394">
        <f>SUM(G19:G26)</f>
        <v>10484.65</v>
      </c>
      <c r="H27" s="1395">
        <f>SUM(H19:H26)</f>
        <v>865.07999999999993</v>
      </c>
      <c r="I27" s="1396">
        <f>SUM(I19:I26)</f>
        <v>2747.86</v>
      </c>
      <c r="J27" s="1391"/>
      <c r="K27" s="1399">
        <f>SUM(K19:K26)</f>
        <v>360.75</v>
      </c>
      <c r="L27" s="1400">
        <f>SUM(L19:L26)</f>
        <v>2387.11</v>
      </c>
      <c r="M27" s="1403">
        <f>SUM(M19:M26)</f>
        <v>2747.86</v>
      </c>
      <c r="N27" s="1399">
        <f t="shared" ref="N27:O27" si="10">SUM(N19:N26)</f>
        <v>0</v>
      </c>
      <c r="O27" s="1400">
        <f t="shared" si="10"/>
        <v>0</v>
      </c>
      <c r="P27" s="1401">
        <f>SUM(P19:P26)</f>
        <v>0</v>
      </c>
      <c r="R27" s="1249" t="str">
        <f>IF(SUM(R19:R26)=$D$3,SUM(R19:R26),SUM(R19:R26)&amp;"误差"&amp;ROUND(SUM(R19:R26)-$D$3,2))</f>
        <v>20327.74误差-0.01</v>
      </c>
      <c r="S27" s="1247">
        <f>IF(SUM(S19:S26)=$E$3,SUM(S19:S26),SUM(S19:S26)&amp;"误差"&amp;ROUND(SUM(S19:S26)-E3,2))</f>
        <v>64569.139999999992</v>
      </c>
    </row>
    <row r="28" spans="1:19">
      <c r="A28" s="2257"/>
      <c r="B28" s="50" t="s">
        <v>1966</v>
      </c>
      <c r="C28" s="1259" t="s">
        <v>1967</v>
      </c>
      <c r="D28" s="48">
        <f>ROUND($D$3*E28/$E$3,2)</f>
        <v>113.57</v>
      </c>
      <c r="E28" s="55">
        <f>SUM(F28:G28)</f>
        <v>360.75</v>
      </c>
      <c r="F28" s="63">
        <f>'数据-基础表'!BQ5+'数据-基础表'!BS5</f>
        <v>212.16</v>
      </c>
      <c r="G28" s="64">
        <f>'数据-基础表'!BR5+'数据-基础表'!BT5</f>
        <v>148.59000000000003</v>
      </c>
      <c r="H28" s="1391"/>
      <c r="I28" s="1391"/>
      <c r="J28" s="1391"/>
      <c r="K28" s="1391"/>
      <c r="L28" s="1391"/>
      <c r="M28" s="1391"/>
      <c r="N28" s="1391"/>
      <c r="O28" s="1391"/>
      <c r="P28" s="1391"/>
    </row>
    <row r="29" spans="1:19">
      <c r="A29" s="2257"/>
      <c r="B29" s="50" t="s">
        <v>1966</v>
      </c>
      <c r="C29" s="2261" t="s">
        <v>1968</v>
      </c>
      <c r="D29" s="48">
        <f>ROUND($D$3*E29/$E$3,2)</f>
        <v>751.51</v>
      </c>
      <c r="E29" s="55">
        <f>SUM(F29:G29)</f>
        <v>2387.1099999999997</v>
      </c>
      <c r="F29" s="65">
        <f>'数据-基础表'!BM5+'数据-基础表'!BO5</f>
        <v>1362.24</v>
      </c>
      <c r="G29" s="66">
        <f>'数据-基础表'!BN5+'数据-基础表'!BP5</f>
        <v>1024.8699999999999</v>
      </c>
      <c r="H29" s="1391"/>
      <c r="I29" s="1391"/>
      <c r="J29" s="1391"/>
      <c r="K29" s="1391"/>
      <c r="L29" s="1391"/>
      <c r="M29" s="1391"/>
      <c r="N29" s="1391"/>
      <c r="O29" s="1391"/>
      <c r="P29" s="1391"/>
    </row>
    <row r="30" spans="1:19" ht="15">
      <c r="A30" s="2257"/>
      <c r="B30" s="50"/>
      <c r="C30" s="2262" t="s">
        <v>1965</v>
      </c>
      <c r="D30" s="1392">
        <f>SUM(D28:D29)</f>
        <v>865.07999999999993</v>
      </c>
      <c r="E30" s="1392">
        <f>SUM(E28:E29)</f>
        <v>2747.8599999999997</v>
      </c>
      <c r="F30" s="1392">
        <f>SUM(F28:F29)</f>
        <v>1574.4</v>
      </c>
      <c r="G30" s="1394">
        <f>SUM(G28:G29)</f>
        <v>1173.46</v>
      </c>
      <c r="H30" s="1391"/>
      <c r="I30" s="1391"/>
      <c r="J30" s="1391"/>
      <c r="K30" s="1391"/>
      <c r="L30" s="1391"/>
      <c r="M30" s="1391"/>
      <c r="N30" s="1391"/>
      <c r="O30" s="1391"/>
      <c r="P30" s="1391"/>
    </row>
    <row r="31" spans="1:19" ht="15.75" thickBot="1">
      <c r="A31" s="2263"/>
      <c r="B31" s="2264"/>
      <c r="C31" s="1007" t="s">
        <v>1969</v>
      </c>
      <c r="D31" s="727">
        <f>D27+D30</f>
        <v>20327.739999999998</v>
      </c>
      <c r="E31" s="727">
        <f>E27+E30</f>
        <v>64569.14</v>
      </c>
      <c r="F31" s="728">
        <f>F27+F30</f>
        <v>52911.030000000006</v>
      </c>
      <c r="G31" s="729">
        <f>G27+G30</f>
        <v>11658.11</v>
      </c>
      <c r="H31" s="1391"/>
      <c r="I31" s="1391"/>
      <c r="J31" s="1391"/>
      <c r="K31" s="1391"/>
      <c r="L31" s="1391"/>
      <c r="M31" s="1391"/>
      <c r="N31" s="1391"/>
      <c r="O31" s="1391"/>
      <c r="P31" s="1391"/>
    </row>
    <row r="32" spans="1:19">
      <c r="A32" s="2228"/>
      <c r="B32" s="2228" t="s">
        <v>1970</v>
      </c>
      <c r="C32" s="2228"/>
      <c r="D32" s="2228"/>
      <c r="E32" s="1274">
        <f>SUMIF(C19:C26,"*住宅*",E19:E26)</f>
        <v>46157.97</v>
      </c>
      <c r="F32" s="2228"/>
      <c r="G32" s="2228"/>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35" sqref="I3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1971</v>
      </c>
      <c r="B1" s="730"/>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0" t="s">
        <v>1972</v>
      </c>
      <c r="B2" s="1266">
        <f>项目基本情况!D3</f>
        <v>43056</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5" thickBot="1">
      <c r="A3" s="2028"/>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1973</v>
      </c>
      <c r="B4" s="2275"/>
      <c r="C4" s="2276"/>
      <c r="D4" s="2277"/>
      <c r="E4" s="2276" t="s">
        <v>1974</v>
      </c>
      <c r="F4" s="2276"/>
      <c r="G4" s="2276"/>
      <c r="H4" s="2276"/>
      <c r="I4" s="2276"/>
      <c r="J4" s="2278"/>
      <c r="K4" s="2279"/>
      <c r="L4" s="2280"/>
      <c r="M4" s="2276"/>
      <c r="N4" s="2276" t="s">
        <v>1975</v>
      </c>
      <c r="O4" s="2276"/>
      <c r="P4" s="2276"/>
      <c r="Q4" s="2276"/>
      <c r="R4" s="2276"/>
      <c r="S4" s="2278"/>
      <c r="T4" s="2281" t="str">
        <f>'数据-汇总表'!I17</f>
        <v>按面积比例</v>
      </c>
      <c r="U4" s="2275" t="s">
        <v>1976</v>
      </c>
      <c r="V4" s="2276"/>
      <c r="W4" s="2276"/>
      <c r="X4" s="2276"/>
      <c r="Y4" s="2278"/>
      <c r="Z4" s="2239" t="s">
        <v>1977</v>
      </c>
      <c r="AA4" s="2239"/>
      <c r="AB4" s="2239"/>
      <c r="AC4" s="2239"/>
      <c r="AD4" s="2239"/>
      <c r="AE4" s="2237" t="s">
        <v>1978</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42">
      <c r="A5" s="2283" t="s">
        <v>1979</v>
      </c>
      <c r="B5" s="2284" t="s">
        <v>1980</v>
      </c>
      <c r="C5" s="2285" t="s">
        <v>1981</v>
      </c>
      <c r="D5" s="2286" t="s">
        <v>1982</v>
      </c>
      <c r="E5" s="1268" t="s">
        <v>1983</v>
      </c>
      <c r="F5" s="2287" t="s">
        <v>1984</v>
      </c>
      <c r="G5" s="1268" t="s">
        <v>1985</v>
      </c>
      <c r="H5" s="1268" t="s">
        <v>1986</v>
      </c>
      <c r="I5" s="1268" t="s">
        <v>1987</v>
      </c>
      <c r="J5" s="2288" t="s">
        <v>1988</v>
      </c>
      <c r="K5" s="2289" t="s">
        <v>1989</v>
      </c>
      <c r="L5" s="2290" t="s">
        <v>1990</v>
      </c>
      <c r="M5" s="2291" t="s">
        <v>1991</v>
      </c>
      <c r="N5" s="2292" t="s">
        <v>1992</v>
      </c>
      <c r="O5" s="2290" t="s">
        <v>1993</v>
      </c>
      <c r="P5" s="2293" t="s">
        <v>1994</v>
      </c>
      <c r="Q5" s="68" t="s">
        <v>1995</v>
      </c>
      <c r="R5" s="2294" t="s">
        <v>1996</v>
      </c>
      <c r="S5" s="2295" t="s">
        <v>1997</v>
      </c>
      <c r="T5" s="2296" t="s">
        <v>1998</v>
      </c>
      <c r="U5" s="1267" t="s">
        <v>1999</v>
      </c>
      <c r="V5" s="1268" t="s">
        <v>2000</v>
      </c>
      <c r="W5" s="1268" t="s">
        <v>2001</v>
      </c>
      <c r="X5" s="70"/>
      <c r="Y5" s="69" t="s">
        <v>2002</v>
      </c>
      <c r="Z5" s="2297" t="s">
        <v>1999</v>
      </c>
      <c r="AA5" s="1268" t="s">
        <v>2000</v>
      </c>
      <c r="AB5" s="1268" t="s">
        <v>2001</v>
      </c>
      <c r="AC5" s="70"/>
      <c r="AD5" s="70" t="s">
        <v>2002</v>
      </c>
      <c r="AE5" s="1267" t="s">
        <v>2003</v>
      </c>
      <c r="AF5" s="1268" t="s">
        <v>2004</v>
      </c>
      <c r="AG5" s="69" t="s">
        <v>2005</v>
      </c>
      <c r="AH5" s="1267" t="s">
        <v>2006</v>
      </c>
      <c r="AI5" s="2297" t="s">
        <v>2007</v>
      </c>
      <c r="AJ5" s="2297" t="s">
        <v>2008</v>
      </c>
      <c r="AK5" s="1268" t="s">
        <v>2009</v>
      </c>
      <c r="AL5" s="1268" t="s">
        <v>2010</v>
      </c>
      <c r="AM5" s="69" t="s">
        <v>2011</v>
      </c>
      <c r="AN5" s="2298" t="s">
        <v>2012</v>
      </c>
      <c r="AO5" s="2069" t="s">
        <v>2013</v>
      </c>
      <c r="AP5" s="1249" t="s">
        <v>2014</v>
      </c>
      <c r="AQ5" s="2299" t="s">
        <v>2015</v>
      </c>
      <c r="AR5" s="2299" t="s">
        <v>2016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0" t="str">
        <f>'数据-汇总表'!C19</f>
        <v>已建住宅</v>
      </c>
      <c r="B6" s="2301" t="str">
        <f>IF(A6=0,"","经营性")</f>
        <v>经营性</v>
      </c>
      <c r="C6" s="2302" t="s">
        <v>3079</v>
      </c>
      <c r="D6" s="1051">
        <f>SUMIF(项目基本情况!D$12:I$12,C6,项目基本情况!D$14:I$14)</f>
        <v>70</v>
      </c>
      <c r="E6" s="1048">
        <f>IF(B6="","",SUMIF(项目基本情况!D$12:I$12,C6,项目基本情况!D$13:I$13))</f>
        <v>67818</v>
      </c>
      <c r="F6" s="71">
        <f>SUMIF(项目基本情况!D$12:I$12,C6,项目基本情况!D$15:I$15)</f>
        <v>67.84</v>
      </c>
      <c r="G6" s="72">
        <f>IF(ISERROR(ROUND(POWER(1+H6,D6-F6)*(POWER(1+H6,F6)-1)/(POWER(1+H6,D6)-1),3)),0,ROUND(POWER(1+H6,D6-F6)*(POWER(1+H6,F6)-1)/(POWER(1+H6,D6)-1),3))</f>
        <v>0.99399999999999999</v>
      </c>
      <c r="H6" s="800">
        <v>0.04</v>
      </c>
      <c r="I6" s="800">
        <v>0.05</v>
      </c>
      <c r="J6" s="73">
        <v>8.5000000000000006E-2</v>
      </c>
      <c r="K6" s="1251">
        <f>SUMIF('数据-汇总表'!C$19:C$33,A6,'数据-汇总表'!E$19:E$33)</f>
        <v>13243.629999999997</v>
      </c>
      <c r="L6" s="801">
        <v>2200</v>
      </c>
      <c r="M6" s="74">
        <f t="shared" ref="M6:M14" si="0">ROUND(K6*L6/10000,0)</f>
        <v>2914</v>
      </c>
      <c r="N6" s="799">
        <v>0.4</v>
      </c>
      <c r="O6" s="74">
        <f>IF($N$5="成新度","——",ROUND(M6*N6,0))</f>
        <v>1166</v>
      </c>
      <c r="P6" s="75">
        <f>IF($N$5="成新度","——",M6-O6)</f>
        <v>1748</v>
      </c>
      <c r="Q6" s="802">
        <v>0.2</v>
      </c>
      <c r="R6" s="76">
        <f ca="1">SUMIF('数据-汇总表'!C$19:C$33,A6,'数据-汇总表'!R$19:R$27)</f>
        <v>4409.33</v>
      </c>
      <c r="S6" s="53">
        <f>IF('数据-汇总表'!$I$17="按面积比例",SUMIF('数据-汇总表'!C$19:C$33,A6,'数据-汇总表'!K$19:K$33),SUMIF('数据-汇总表'!C$19:C$33,A6,'数据-汇总表'!N$19:N$33))</f>
        <v>77.28</v>
      </c>
      <c r="T6" s="1442">
        <f>ROUND($L$14*S6/10000,0)</f>
        <v>15</v>
      </c>
      <c r="U6" s="77"/>
      <c r="V6" s="78"/>
      <c r="W6" s="78"/>
      <c r="X6" s="1261"/>
      <c r="Y6" s="79"/>
      <c r="Z6" s="80"/>
      <c r="AA6" s="73"/>
      <c r="AB6" s="73"/>
      <c r="AC6" s="1261"/>
      <c r="AD6" s="81"/>
      <c r="AE6" s="1262">
        <f ca="1">IF(AN6="",0,SUMIF(INDIRECT("'"&amp;AN6&amp;"'"&amp;"!E:E"),$AE$5,INDIRECT("'"&amp;AN6&amp;"'"&amp;"!F:F")))</f>
        <v>0</v>
      </c>
      <c r="AF6" s="1803"/>
      <c r="AG6" s="145">
        <f>IF(AF6="",0,AE6-AF6)</f>
        <v>0</v>
      </c>
      <c r="AH6" s="82"/>
      <c r="AI6" s="84"/>
      <c r="AJ6" s="85"/>
      <c r="AK6" s="86"/>
      <c r="AL6" s="87"/>
      <c r="AM6" s="88"/>
      <c r="AN6" s="2303"/>
      <c r="AO6" s="54" t="e">
        <f ca="1">SUMIF(INDIRECT("'"&amp;AN6&amp;"'"&amp;"!A:A"),"总价",INDIRECT("'"&amp;AN6&amp;"'"&amp;"!B:B"))</f>
        <v>#REF!</v>
      </c>
      <c r="AP6" s="2304">
        <f>IF(C6="住宅",K6*L6,0)</f>
        <v>29135985.999999993</v>
      </c>
      <c r="AQ6" s="54">
        <f>ROUND($L$14*$N$14*S6/10000,0)</f>
        <v>0</v>
      </c>
      <c r="AR6" s="54">
        <f>ROUND($L$14*(1-$N$14)*S6/10000,0)</f>
        <v>15</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4.25">
      <c r="A7" s="2300" t="str">
        <f>'数据-汇总表'!C20</f>
        <v>未建住宅</v>
      </c>
      <c r="B7" s="2301" t="str">
        <f t="shared" ref="B7:B13" si="1">IF(A7=0,"","经营性")</f>
        <v>经营性</v>
      </c>
      <c r="C7" s="2302" t="s">
        <v>3079</v>
      </c>
      <c r="D7" s="1051">
        <f>SUMIF(项目基本情况!D$12:I$12,C7,项目基本情况!D$14:I$14)</f>
        <v>70</v>
      </c>
      <c r="E7" s="1048">
        <f>IF(B7="","",SUMIF(项目基本情况!D$12:I$12,C7,项目基本情况!D$13:I$13))</f>
        <v>67818</v>
      </c>
      <c r="F7" s="71">
        <f>SUMIF(项目基本情况!D$12:I$12,C7,项目基本情况!D$15:I$15)</f>
        <v>67.84</v>
      </c>
      <c r="G7" s="72">
        <f t="shared" ref="G7:G11" si="2">IF(ISERROR(ROUND(POWER(1+H7,D7-F7)*(POWER(1+H7,F7)-1)/(POWER(1+H7,D7)-1),3)),0,ROUND(POWER(1+H7,D7-F7)*(POWER(1+H7,F7)-1)/(POWER(1+H7,D7)-1),3))</f>
        <v>0.99399999999999999</v>
      </c>
      <c r="H7" s="800">
        <v>0.04</v>
      </c>
      <c r="I7" s="800">
        <v>0.05</v>
      </c>
      <c r="J7" s="73">
        <v>8.5000000000000006E-2</v>
      </c>
      <c r="K7" s="1251">
        <f>SUMIF('数据-汇总表'!C$19:C$33,A7,'数据-汇总表'!E$19:E$33)</f>
        <v>32914.340000000004</v>
      </c>
      <c r="L7" s="801">
        <v>3000</v>
      </c>
      <c r="M7" s="74">
        <f t="shared" si="0"/>
        <v>9874</v>
      </c>
      <c r="N7" s="799">
        <v>0</v>
      </c>
      <c r="O7" s="74">
        <f t="shared" ref="O7:O14" si="3">IF($N$5="成新度","——",ROUND(M7*N7,0))</f>
        <v>0</v>
      </c>
      <c r="P7" s="75">
        <f t="shared" ref="P7:P14" si="4">IF($N$5="成新度","——",M7-O7)</f>
        <v>9874</v>
      </c>
      <c r="Q7" s="802">
        <v>0.2</v>
      </c>
      <c r="R7" s="76">
        <f ca="1">SUMIF('数据-汇总表'!C$19:C$33,A7,'数据-汇总表'!R$19:R$27)</f>
        <v>10958.5</v>
      </c>
      <c r="S7" s="53">
        <f>IF('数据-汇总表'!$I$17="按面积比例",SUMIF('数据-汇总表'!C$19:C$33,A7,'数据-汇总表'!K$19:K$33),SUMIF('数据-汇总表'!C$19:C$33,A7,'数据-汇总表'!N$19:N$33))</f>
        <v>192.07</v>
      </c>
      <c r="T7" s="1442">
        <f t="shared" ref="T7:T13" si="5">ROUND($L$14*S7/10000,0)</f>
        <v>38</v>
      </c>
      <c r="U7" s="77"/>
      <c r="V7" s="78"/>
      <c r="W7" s="78"/>
      <c r="X7" s="1261"/>
      <c r="Y7" s="79"/>
      <c r="Z7" s="80"/>
      <c r="AA7" s="73"/>
      <c r="AB7" s="73"/>
      <c r="AC7" s="1261"/>
      <c r="AD7" s="81"/>
      <c r="AE7" s="1262">
        <f t="shared" ref="AE7:AE13" ca="1" si="6">IF(AN7="",0,SUMIF(INDIRECT("'"&amp;AN7&amp;"'"&amp;"!E:E"),$AE$5,INDIRECT("'"&amp;AN7&amp;"'"&amp;"!F:F")))</f>
        <v>0</v>
      </c>
      <c r="AF7" s="1803"/>
      <c r="AG7" s="145">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98743020.000000015</v>
      </c>
      <c r="AQ7" s="54">
        <f t="shared" ref="AQ7:AQ13" si="10">ROUND($L$14*$N$14*S7/10000,0)</f>
        <v>0</v>
      </c>
      <c r="AR7" s="54">
        <f t="shared" ref="AR7:AR13" si="11">ROUND($L$14*(1-$N$14)*S7/10000,0)</f>
        <v>38</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4.25">
      <c r="A8" s="2300" t="str">
        <f>'数据-汇总表'!C21</f>
        <v>未建车库</v>
      </c>
      <c r="B8" s="2301" t="str">
        <f t="shared" si="1"/>
        <v>经营性</v>
      </c>
      <c r="C8" s="2302" t="s">
        <v>3081</v>
      </c>
      <c r="D8" s="1051">
        <f>SUMIF(项目基本情况!D$12:I$12,C8,项目基本情况!D$14:I$14)</f>
        <v>40</v>
      </c>
      <c r="E8" s="1048">
        <f>IF(B8="","",SUMIF(项目基本情况!D$12:I$12,C8,项目基本情况!D$13:I$13))</f>
        <v>56860</v>
      </c>
      <c r="F8" s="71">
        <f>SUMIF(项目基本情况!D$12:I$12,C8,项目基本情况!D$15:I$15)</f>
        <v>37.81</v>
      </c>
      <c r="G8" s="72">
        <f t="shared" si="2"/>
        <v>0.97599999999999998</v>
      </c>
      <c r="H8" s="2972">
        <v>0.04</v>
      </c>
      <c r="I8" s="2972">
        <v>4.4999999999999998E-2</v>
      </c>
      <c r="J8" s="73">
        <v>8.5000000000000006E-2</v>
      </c>
      <c r="K8" s="1251">
        <f>SUMIF('数据-汇总表'!C$19:C$33,A8,'数据-汇总表'!E$19:E$33)</f>
        <v>7513.65</v>
      </c>
      <c r="L8" s="801">
        <v>2200</v>
      </c>
      <c r="M8" s="74">
        <f>ROUND(K8*L8/10000,0)</f>
        <v>1653</v>
      </c>
      <c r="N8" s="799">
        <v>0</v>
      </c>
      <c r="O8" s="74">
        <f t="shared" si="3"/>
        <v>0</v>
      </c>
      <c r="P8" s="75">
        <f t="shared" si="4"/>
        <v>1653</v>
      </c>
      <c r="Q8" s="802">
        <v>0.03</v>
      </c>
      <c r="R8" s="76">
        <f ca="1">SUMIF('数据-汇总表'!C$19:C$33,A8,'数据-汇总表'!R$19:R$27)</f>
        <v>2379.2600000000002</v>
      </c>
      <c r="S8" s="53">
        <f>IF('数据-汇总表'!$I$17="按面积比例",SUMIF('数据-汇总表'!C$19:C$33,A8,'数据-汇总表'!K$19:K$33),SUMIF('数据-汇总表'!C$19:C$33,A8,'数据-汇总表'!N$19:N$33))</f>
        <v>43.84</v>
      </c>
      <c r="T8" s="1442">
        <f t="shared" si="5"/>
        <v>9</v>
      </c>
      <c r="U8" s="803">
        <v>600</v>
      </c>
      <c r="V8" s="804">
        <v>0.02</v>
      </c>
      <c r="W8" s="804">
        <v>0.1</v>
      </c>
      <c r="X8" s="1261"/>
      <c r="Y8" s="805">
        <v>1</v>
      </c>
      <c r="Z8" s="80"/>
      <c r="AA8" s="73"/>
      <c r="AB8" s="73"/>
      <c r="AC8" s="1261"/>
      <c r="AD8" s="81"/>
      <c r="AE8" s="1262">
        <f t="shared" ca="1" si="6"/>
        <v>36.31</v>
      </c>
      <c r="AF8" s="1803"/>
      <c r="AG8" s="145">
        <f t="shared" si="7"/>
        <v>0</v>
      </c>
      <c r="AH8" s="2973">
        <v>268</v>
      </c>
      <c r="AI8" s="84">
        <v>12</v>
      </c>
      <c r="AJ8" s="85"/>
      <c r="AK8" s="806">
        <v>0.02</v>
      </c>
      <c r="AL8" s="807">
        <v>2E-3</v>
      </c>
      <c r="AM8" s="808">
        <v>0.02</v>
      </c>
      <c r="AN8" s="2303" t="s">
        <v>3132</v>
      </c>
      <c r="AO8" s="54">
        <f t="shared" ca="1" si="8"/>
        <v>2059</v>
      </c>
      <c r="AP8" s="2304">
        <f t="shared" si="9"/>
        <v>0</v>
      </c>
      <c r="AQ8" s="54">
        <f t="shared" si="10"/>
        <v>0</v>
      </c>
      <c r="AR8" s="54">
        <f t="shared" si="11"/>
        <v>9</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5">
      <c r="A9" s="2300" t="str">
        <f>'数据-汇总表'!C22</f>
        <v>储藏室</v>
      </c>
      <c r="B9" s="2301" t="str">
        <f t="shared" si="1"/>
        <v>经营性</v>
      </c>
      <c r="C9" s="2971" t="s">
        <v>3187</v>
      </c>
      <c r="D9" s="1051">
        <f>SUMIF(项目基本情况!D$12:I$12,C9,项目基本情况!D$14:I$14)</f>
        <v>40</v>
      </c>
      <c r="E9" s="1048">
        <f>IF(B9="","",SUMIF(项目基本情况!D$12:I$12,C9,项目基本情况!D$13:I$13))</f>
        <v>56860</v>
      </c>
      <c r="F9" s="71">
        <f>SUMIF(项目基本情况!D$12:I$12,C9,项目基本情况!D$15:I$15)</f>
        <v>37.81</v>
      </c>
      <c r="G9" s="72">
        <f t="shared" si="2"/>
        <v>0.97599999999999998</v>
      </c>
      <c r="H9" s="2972">
        <v>0.04</v>
      </c>
      <c r="I9" s="2972">
        <v>4.4999999999999998E-2</v>
      </c>
      <c r="J9" s="73">
        <v>8.5000000000000006E-2</v>
      </c>
      <c r="K9" s="1251">
        <f>SUMIF('数据-汇总表'!C$19:C$33,A9,'数据-汇总表'!E$19:E$33)</f>
        <v>2971</v>
      </c>
      <c r="L9" s="801">
        <v>1800</v>
      </c>
      <c r="M9" s="74">
        <f t="shared" si="0"/>
        <v>535</v>
      </c>
      <c r="N9" s="799">
        <v>0.7</v>
      </c>
      <c r="O9" s="74">
        <f t="shared" si="3"/>
        <v>375</v>
      </c>
      <c r="P9" s="75">
        <f t="shared" si="4"/>
        <v>160</v>
      </c>
      <c r="Q9" s="89">
        <v>0.05</v>
      </c>
      <c r="R9" s="76">
        <f ca="1">SUMIF('数据-汇总表'!C$19:C$33,A9,'数据-汇总表'!R$19:R$27)</f>
        <v>940.79000000000008</v>
      </c>
      <c r="S9" s="53">
        <f>IF('数据-汇总表'!$I$17="按面积比例",SUMIF('数据-汇总表'!C$19:C$33,A9,'数据-汇总表'!K$19:K$33),SUMIF('数据-汇总表'!C$19:C$33,A9,'数据-汇总表'!N$19:N$33))</f>
        <v>17.34</v>
      </c>
      <c r="T9" s="1442">
        <f t="shared" si="5"/>
        <v>3</v>
      </c>
      <c r="U9" s="77"/>
      <c r="V9" s="78"/>
      <c r="W9" s="78"/>
      <c r="X9" s="1261"/>
      <c r="Y9" s="79"/>
      <c r="Z9" s="80"/>
      <c r="AA9" s="73"/>
      <c r="AB9" s="73"/>
      <c r="AC9" s="1261"/>
      <c r="AD9" s="81"/>
      <c r="AE9" s="1262">
        <f t="shared" ca="1" si="6"/>
        <v>0</v>
      </c>
      <c r="AF9" s="1803"/>
      <c r="AG9" s="145">
        <f t="shared" si="7"/>
        <v>0</v>
      </c>
      <c r="AH9" s="82"/>
      <c r="AI9" s="84"/>
      <c r="AJ9" s="85"/>
      <c r="AK9" s="86"/>
      <c r="AL9" s="87"/>
      <c r="AM9" s="88"/>
      <c r="AN9" s="2303"/>
      <c r="AO9" s="54" t="e">
        <f t="shared" ca="1" si="8"/>
        <v>#REF!</v>
      </c>
      <c r="AP9" s="2304">
        <f t="shared" si="9"/>
        <v>0</v>
      </c>
      <c r="AQ9" s="54">
        <f t="shared" si="10"/>
        <v>0</v>
      </c>
      <c r="AR9" s="54">
        <f t="shared" si="11"/>
        <v>3</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4.25">
      <c r="A10" s="2300" t="str">
        <f>'数据-汇总表'!C23</f>
        <v>未建商业</v>
      </c>
      <c r="B10" s="2301" t="str">
        <f t="shared" si="1"/>
        <v>经营性</v>
      </c>
      <c r="C10" s="2302" t="s">
        <v>1378</v>
      </c>
      <c r="D10" s="1051">
        <f>SUMIF(项目基本情况!D$12:I$12,C10,项目基本情况!D$14:I$14)</f>
        <v>40</v>
      </c>
      <c r="E10" s="1048">
        <f>IF(B10="","",SUMIF(项目基本情况!D$12:I$12,C10,项目基本情况!D$13:I$13))</f>
        <v>56860</v>
      </c>
      <c r="F10" s="71">
        <f>SUMIF(项目基本情况!D$12:I$12,C10,项目基本情况!D$15:I$15)</f>
        <v>37.81</v>
      </c>
      <c r="G10" s="72">
        <f t="shared" si="2"/>
        <v>0.97899999999999998</v>
      </c>
      <c r="H10" s="800">
        <v>4.4999999999999998E-2</v>
      </c>
      <c r="I10" s="800">
        <v>5.5E-2</v>
      </c>
      <c r="J10" s="73">
        <v>8.5000000000000006E-2</v>
      </c>
      <c r="K10" s="1251">
        <f>SUMIF('数据-汇总表'!C$19:C$33,A10,'数据-汇总表'!E$19:E$33)</f>
        <v>5178.66</v>
      </c>
      <c r="L10" s="801">
        <v>2400</v>
      </c>
      <c r="M10" s="74">
        <f t="shared" si="0"/>
        <v>1243</v>
      </c>
      <c r="N10" s="799">
        <v>0</v>
      </c>
      <c r="O10" s="74">
        <f t="shared" si="3"/>
        <v>0</v>
      </c>
      <c r="P10" s="75">
        <f t="shared" si="4"/>
        <v>1243</v>
      </c>
      <c r="Q10" s="89">
        <v>0.15</v>
      </c>
      <c r="R10" s="76">
        <f ca="1">SUMIF('数据-汇总表'!C$19:C$33,A10,'数据-汇总表'!R$19:R$27)</f>
        <v>1639.86</v>
      </c>
      <c r="S10" s="53">
        <f>IF('数据-汇总表'!$I$17="按面积比例",SUMIF('数据-汇总表'!C$19:C$33,A10,'数据-汇总表'!K$19:K$33),SUMIF('数据-汇总表'!C$19:C$33,A10,'数据-汇总表'!N$19:N$33))</f>
        <v>30.22</v>
      </c>
      <c r="T10" s="1442">
        <f t="shared" si="5"/>
        <v>6</v>
      </c>
      <c r="U10" s="77">
        <v>3.5</v>
      </c>
      <c r="V10" s="78">
        <v>0.03</v>
      </c>
      <c r="W10" s="78">
        <v>0.15</v>
      </c>
      <c r="X10" s="1261"/>
      <c r="Y10" s="79">
        <v>1</v>
      </c>
      <c r="Z10" s="80"/>
      <c r="AA10" s="73"/>
      <c r="AB10" s="73"/>
      <c r="AC10" s="1261"/>
      <c r="AD10" s="81"/>
      <c r="AE10" s="1262">
        <f t="shared" ca="1" si="6"/>
        <v>36.31</v>
      </c>
      <c r="AF10" s="1803"/>
      <c r="AG10" s="145">
        <f t="shared" si="7"/>
        <v>0</v>
      </c>
      <c r="AH10" s="82"/>
      <c r="AI10" s="84">
        <v>365</v>
      </c>
      <c r="AJ10" s="85"/>
      <c r="AK10" s="806">
        <v>0.02</v>
      </c>
      <c r="AL10" s="807">
        <v>2E-3</v>
      </c>
      <c r="AM10" s="808">
        <v>0.02</v>
      </c>
      <c r="AN10" s="2303" t="s">
        <v>3177</v>
      </c>
      <c r="AO10" s="54">
        <f t="shared" ca="1" si="8"/>
        <v>10744</v>
      </c>
      <c r="AP10" s="2304">
        <f t="shared" si="9"/>
        <v>0</v>
      </c>
      <c r="AQ10" s="54">
        <f t="shared" si="10"/>
        <v>0</v>
      </c>
      <c r="AR10" s="54">
        <f t="shared" si="11"/>
        <v>6</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4.25" hidden="1">
      <c r="A11" s="2300">
        <f>'数据-汇总表'!C24</f>
        <v>0</v>
      </c>
      <c r="B11" s="2301" t="str">
        <f t="shared" si="1"/>
        <v/>
      </c>
      <c r="C11" s="2302"/>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1"/>
      <c r="Y11" s="79"/>
      <c r="Z11" s="92"/>
      <c r="AA11" s="73"/>
      <c r="AB11" s="73"/>
      <c r="AC11" s="1261"/>
      <c r="AD11" s="81"/>
      <c r="AE11" s="1262">
        <f t="shared" ca="1" si="6"/>
        <v>0</v>
      </c>
      <c r="AF11" s="1803"/>
      <c r="AG11" s="145">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4.25" hidden="1">
      <c r="A12" s="2300">
        <f>'数据-汇总表'!C25</f>
        <v>0</v>
      </c>
      <c r="B12" s="2301" t="str">
        <f t="shared" si="1"/>
        <v/>
      </c>
      <c r="C12" s="2302"/>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1"/>
      <c r="Y12" s="79"/>
      <c r="Z12" s="92"/>
      <c r="AA12" s="73"/>
      <c r="AB12" s="73"/>
      <c r="AC12" s="1261"/>
      <c r="AD12" s="81"/>
      <c r="AE12" s="1262">
        <f t="shared" ca="1" si="6"/>
        <v>0</v>
      </c>
      <c r="AF12" s="1803"/>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4.25" hidden="1">
      <c r="A13" s="2300">
        <f>'数据-汇总表'!C26</f>
        <v>0</v>
      </c>
      <c r="B13" s="2301" t="str">
        <f t="shared" si="1"/>
        <v/>
      </c>
      <c r="C13" s="2302"/>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1"/>
      <c r="Y13" s="79"/>
      <c r="Z13" s="80"/>
      <c r="AA13" s="73"/>
      <c r="AB13" s="73"/>
      <c r="AC13" s="1261"/>
      <c r="AD13" s="81"/>
      <c r="AE13" s="1262">
        <f t="shared" ca="1" si="6"/>
        <v>0</v>
      </c>
      <c r="AF13" s="1803"/>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25">
      <c r="A14" s="2305" t="s">
        <v>2017</v>
      </c>
      <c r="B14" s="2301" t="s">
        <v>2018</v>
      </c>
      <c r="C14" s="2306" t="s">
        <v>2017</v>
      </c>
      <c r="D14" s="1051"/>
      <c r="E14" s="1048"/>
      <c r="F14" s="71"/>
      <c r="G14" s="72"/>
      <c r="H14" s="1250"/>
      <c r="I14" s="1250"/>
      <c r="J14" s="1250"/>
      <c r="K14" s="1251">
        <f>SUMIF('数据-汇总表'!C$19:C$33,A14,'数据-汇总表'!E$19:E$33)</f>
        <v>360.75</v>
      </c>
      <c r="L14" s="90">
        <v>2000</v>
      </c>
      <c r="M14" s="74">
        <f t="shared" si="0"/>
        <v>72</v>
      </c>
      <c r="N14" s="91">
        <v>0</v>
      </c>
      <c r="O14" s="74">
        <f t="shared" si="3"/>
        <v>0</v>
      </c>
      <c r="P14" s="75">
        <f t="shared" si="4"/>
        <v>72</v>
      </c>
      <c r="Q14" s="1254"/>
      <c r="R14" s="76"/>
      <c r="S14" s="53"/>
      <c r="T14" s="1442"/>
      <c r="U14" s="722"/>
      <c r="V14" s="1256"/>
      <c r="W14" s="1256"/>
      <c r="X14" s="1257"/>
      <c r="Y14" s="1258"/>
      <c r="Z14" s="1259"/>
      <c r="AA14" s="1260"/>
      <c r="AB14" s="1260"/>
      <c r="AC14" s="1261"/>
      <c r="AD14" s="1257"/>
      <c r="AE14" s="1262"/>
      <c r="AF14" s="54"/>
      <c r="AG14" s="145"/>
      <c r="AH14" s="1262"/>
      <c r="AI14" s="1814"/>
      <c r="AJ14" s="771"/>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7">
      <c r="A15" s="2305" t="s">
        <v>2019</v>
      </c>
      <c r="B15" s="2301" t="s">
        <v>2018</v>
      </c>
      <c r="C15" s="2306" t="s">
        <v>2020</v>
      </c>
      <c r="D15" s="1051"/>
      <c r="E15" s="1048"/>
      <c r="F15" s="71"/>
      <c r="G15" s="72"/>
      <c r="H15" s="1250"/>
      <c r="I15" s="1250"/>
      <c r="J15" s="1250"/>
      <c r="K15" s="1251">
        <f>SUMIF('数据-汇总表'!C$19:C$33,A15,'数据-汇总表'!E$19:E$33)</f>
        <v>2387.1099999999997</v>
      </c>
      <c r="L15" s="1252"/>
      <c r="M15" s="74"/>
      <c r="N15" s="1253"/>
      <c r="O15" s="74"/>
      <c r="P15" s="75"/>
      <c r="Q15" s="1254"/>
      <c r="R15" s="76"/>
      <c r="S15" s="53"/>
      <c r="T15" s="1442"/>
      <c r="U15" s="722"/>
      <c r="V15" s="1256"/>
      <c r="W15" s="1256"/>
      <c r="X15" s="1257"/>
      <c r="Y15" s="1258"/>
      <c r="Z15" s="1259"/>
      <c r="AA15" s="1260"/>
      <c r="AB15" s="1260"/>
      <c r="AC15" s="1261"/>
      <c r="AD15" s="1257"/>
      <c r="AE15" s="1262"/>
      <c r="AF15" s="54"/>
      <c r="AG15" s="145"/>
      <c r="AH15" s="1262"/>
      <c r="AI15" s="1814"/>
      <c r="AJ15" s="771"/>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75" thickBot="1">
      <c r="A16" s="2307" t="s">
        <v>2021</v>
      </c>
      <c r="B16" s="96"/>
      <c r="C16" s="1005"/>
      <c r="D16" s="2308"/>
      <c r="E16" s="96"/>
      <c r="F16" s="96"/>
      <c r="G16" s="97">
        <f>ROUND(SUMPRODUCT(G6:G13,K6:K13)/SUMPRODUCT((G6:G13&gt;0)*(K6:K13)),3)</f>
        <v>0.99</v>
      </c>
      <c r="H16" s="98">
        <f>ROUND(SUMPRODUCT(H6:H13,K6:K13)/SUMPRODUCT((H6:H13&gt;0)*(K6:K13)),3)</f>
        <v>0.04</v>
      </c>
      <c r="I16" s="99"/>
      <c r="J16" s="99"/>
      <c r="K16" s="100">
        <f>SUM(K6:K15)</f>
        <v>64569.14</v>
      </c>
      <c r="L16" s="101">
        <f>ROUND(M16*10000/SUM(K6:K14),0)</f>
        <v>2620</v>
      </c>
      <c r="M16" s="101">
        <f>SUM(M6:M14)</f>
        <v>16291</v>
      </c>
      <c r="N16" s="102">
        <f>ROUND(SUMPRODUCT(M6:M14,N6:N14)/M16,3)</f>
        <v>9.5000000000000001E-2</v>
      </c>
      <c r="O16" s="101">
        <f>SUM(O6:O14)</f>
        <v>1541</v>
      </c>
      <c r="P16" s="101">
        <f>SUM(P6:P14)</f>
        <v>14750</v>
      </c>
      <c r="Q16" s="103">
        <f>ROUND(SUMPRODUCT(Q6:Q13,K6:K13)/SUMPRODUCT((Q6:Q13&gt;0)*(K6:K13)),2)</f>
        <v>0.17</v>
      </c>
      <c r="R16" s="1255">
        <f ca="1">SUM(R6:R13)</f>
        <v>20327.740000000002</v>
      </c>
      <c r="S16" s="104">
        <f>SUM(S6:S13)</f>
        <v>360.75</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2022</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2023</v>
      </c>
      <c r="B19" s="111">
        <v>0</v>
      </c>
      <c r="C19" s="2271" t="s">
        <v>2024</v>
      </c>
      <c r="D19" s="2272"/>
      <c r="E19" s="2271"/>
      <c r="F19" s="2271"/>
      <c r="G19" s="2271"/>
      <c r="H19" s="2271"/>
      <c r="I19" s="2271"/>
      <c r="J19" s="2271"/>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2025</v>
      </c>
      <c r="B20" s="112">
        <v>2.5</v>
      </c>
      <c r="C20" s="2271" t="s">
        <v>2026</v>
      </c>
      <c r="D20" s="2272"/>
      <c r="E20" s="2271"/>
      <c r="F20" s="2271"/>
      <c r="G20" s="2271"/>
      <c r="H20" s="2271"/>
      <c r="I20" s="2271"/>
      <c r="J20" s="2271"/>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2027</v>
      </c>
      <c r="B21" s="112">
        <v>1</v>
      </c>
      <c r="C21" s="2271"/>
      <c r="D21" s="2272"/>
      <c r="E21" s="2271"/>
      <c r="F21" s="2271"/>
      <c r="G21" s="2271"/>
      <c r="H21" s="2271"/>
      <c r="I21" s="2944" t="s">
        <v>3128</v>
      </c>
      <c r="J21" s="2945">
        <v>1280</v>
      </c>
      <c r="K21" s="2946">
        <v>1550</v>
      </c>
      <c r="L21" s="2947">
        <v>1910</v>
      </c>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2028</v>
      </c>
      <c r="B22" s="113">
        <f>B19+B20</f>
        <v>2.5</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2029</v>
      </c>
      <c r="B23" s="113">
        <f>B19+B21</f>
        <v>1</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2030</v>
      </c>
      <c r="B24" s="114">
        <f>B20-B21</f>
        <v>1.5</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2031</v>
      </c>
      <c r="B26" s="2314" t="s">
        <v>2032</v>
      </c>
      <c r="C26" s="2315" t="s">
        <v>2033</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2034</v>
      </c>
      <c r="B27" s="115">
        <v>246</v>
      </c>
      <c r="C27" s="1763" t="s">
        <v>2035</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2036</v>
      </c>
      <c r="B28" s="118">
        <v>246</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2037</v>
      </c>
      <c r="B29" s="2975">
        <f>ROUND(B27*(K6+644.3)/10000,0)</f>
        <v>342</v>
      </c>
      <c r="C29" s="1763" t="s">
        <v>2038</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2039</v>
      </c>
      <c r="B30" s="723">
        <v>200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2040</v>
      </c>
      <c r="B31" s="119">
        <f>B30-B32</f>
        <v>100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2041</v>
      </c>
      <c r="B32" s="2974">
        <v>100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2042</v>
      </c>
      <c r="B33" s="724">
        <v>0.03</v>
      </c>
      <c r="C33" s="1762" t="s">
        <v>2043</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2044</v>
      </c>
      <c r="B34" s="120">
        <v>0.05</v>
      </c>
      <c r="C34" s="1762" t="s">
        <v>2045</v>
      </c>
      <c r="D34" s="2272" t="s">
        <v>2046</v>
      </c>
      <c r="E34" s="730"/>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2047</v>
      </c>
      <c r="B35" s="118">
        <v>200</v>
      </c>
      <c r="C35" s="1762" t="s">
        <v>2048</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2049</v>
      </c>
      <c r="B36" s="121">
        <v>1.4999999999999999E-2</v>
      </c>
      <c r="C36" s="1762" t="s">
        <v>2050</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2051</v>
      </c>
      <c r="B37" s="122">
        <v>1.4999999999999999E-2</v>
      </c>
      <c r="C37" s="1762" t="s">
        <v>2052</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2053</v>
      </c>
      <c r="B38" s="120">
        <v>2.5000000000000001E-2</v>
      </c>
      <c r="C38" s="1762" t="s">
        <v>2052</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2054</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2055</v>
      </c>
      <c r="B40" s="1300">
        <f ca="1">存贷款利率!G1</f>
        <v>4.7500000000000001E-2</v>
      </c>
      <c r="C40" s="1762" t="s">
        <v>2056</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2057</v>
      </c>
      <c r="B41" s="123">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2058</v>
      </c>
      <c r="B42" s="124">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2059</v>
      </c>
      <c r="B43" s="125">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2060</v>
      </c>
      <c r="B44" s="126">
        <v>7.0000000000000007E-2</v>
      </c>
      <c r="C44" s="1762" t="s">
        <v>2061</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2062</v>
      </c>
      <c r="B45" s="124">
        <v>0.03</v>
      </c>
      <c r="C45" s="1763" t="s">
        <v>2063</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2064</v>
      </c>
      <c r="B46" s="124">
        <v>0.02</v>
      </c>
      <c r="C46" s="1763" t="s">
        <v>2065</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2066</v>
      </c>
      <c r="B47" s="127"/>
      <c r="C47" s="1763" t="s">
        <v>2067</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2068</v>
      </c>
      <c r="B48" s="128">
        <v>0.04</v>
      </c>
      <c r="C48" s="1770" t="s">
        <v>2069</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2070</v>
      </c>
      <c r="B49" s="124">
        <v>5.0000000000000001E-4</v>
      </c>
      <c r="C49" s="1770" t="s">
        <v>2071</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2072</v>
      </c>
      <c r="B50" s="129">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2073</v>
      </c>
      <c r="B51" s="130">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2074</v>
      </c>
      <c r="B52" s="131">
        <f>SUMIF(A54:A63,B53,B54:B63)</f>
        <v>16</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2075</v>
      </c>
      <c r="B53" s="2330" t="s">
        <v>3099</v>
      </c>
      <c r="C53" s="1426" t="s">
        <v>2076</v>
      </c>
      <c r="D53" s="2331" t="s">
        <v>2077</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2078</v>
      </c>
      <c r="B54" s="83"/>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939" t="s">
        <v>3100</v>
      </c>
      <c r="B55" s="83">
        <v>16</v>
      </c>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2079</v>
      </c>
      <c r="B56" s="83"/>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2080</v>
      </c>
      <c r="B57" s="83"/>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2081</v>
      </c>
      <c r="B58" s="83"/>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2082</v>
      </c>
      <c r="B59" s="83"/>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2083</v>
      </c>
      <c r="B60" s="83"/>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2084</v>
      </c>
      <c r="B61" s="83"/>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2085</v>
      </c>
      <c r="B62" s="83"/>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2086</v>
      </c>
      <c r="B63" s="132"/>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5"/>
      <c r="D64" s="2336"/>
      <c r="K64" s="796"/>
      <c r="L64" s="796"/>
    </row>
    <row r="65" spans="1:12" s="964" customFormat="1">
      <c r="A65" s="2335"/>
      <c r="D65" s="2336"/>
      <c r="K65" s="796"/>
      <c r="L65" s="796"/>
    </row>
    <row r="66" spans="1:12" s="964" customFormat="1">
      <c r="A66" s="2335"/>
      <c r="D66" s="2336"/>
      <c r="K66" s="796"/>
      <c r="L66" s="796"/>
    </row>
    <row r="67" spans="1:12" s="964" customFormat="1">
      <c r="A67" s="2335"/>
      <c r="D67" s="2336"/>
      <c r="K67" s="796"/>
      <c r="L67" s="796"/>
    </row>
    <row r="68" spans="1:12" s="964" customFormat="1">
      <c r="A68" s="2335"/>
      <c r="D68" s="2336"/>
      <c r="K68" s="796"/>
      <c r="L68" s="796"/>
    </row>
    <row r="69" spans="1:12" s="964" customFormat="1">
      <c r="A69" s="2335"/>
      <c r="D69" s="2336"/>
      <c r="K69" s="796"/>
      <c r="L69" s="796"/>
    </row>
    <row r="70" spans="1:12" s="964" customFormat="1">
      <c r="A70" s="2335"/>
      <c r="D70" s="2336"/>
      <c r="K70" s="796"/>
      <c r="L70" s="796"/>
    </row>
    <row r="71" spans="1:12" s="964" customFormat="1">
      <c r="A71" s="2335"/>
      <c r="D71" s="2336"/>
      <c r="K71" s="796"/>
      <c r="L71" s="796"/>
    </row>
    <row r="72" spans="1:12" s="964" customFormat="1">
      <c r="A72" s="2335"/>
      <c r="D72" s="2336"/>
      <c r="K72" s="796"/>
      <c r="L72" s="796"/>
    </row>
    <row r="73" spans="1:12" s="964" customFormat="1">
      <c r="A73" s="2335"/>
      <c r="D73" s="2336"/>
      <c r="K73" s="796"/>
      <c r="L73" s="796"/>
    </row>
    <row r="74" spans="1:12" s="964" customFormat="1">
      <c r="A74" s="2335"/>
      <c r="D74" s="2336"/>
      <c r="K74" s="796"/>
      <c r="L74" s="796"/>
    </row>
    <row r="75" spans="1:12" s="964" customFormat="1">
      <c r="A75" s="2335"/>
      <c r="D75" s="2336"/>
      <c r="K75" s="796"/>
      <c r="L75" s="796"/>
    </row>
    <row r="76" spans="1:12" s="964" customFormat="1">
      <c r="A76" s="2335"/>
      <c r="D76" s="2336"/>
      <c r="K76" s="796"/>
      <c r="L76" s="796"/>
    </row>
    <row r="77" spans="1:12" s="964" customFormat="1">
      <c r="A77" s="2335"/>
      <c r="D77" s="2336"/>
      <c r="K77" s="796"/>
      <c r="L77" s="796"/>
    </row>
    <row r="78" spans="1:12" s="964" customFormat="1">
      <c r="A78" s="2335"/>
      <c r="D78" s="2336"/>
      <c r="K78" s="796"/>
      <c r="L78" s="796"/>
    </row>
    <row r="79" spans="1:12" s="964" customFormat="1">
      <c r="A79" s="2335"/>
      <c r="D79" s="2336"/>
      <c r="K79" s="796"/>
      <c r="L79" s="796"/>
    </row>
    <row r="80" spans="1:12" s="964" customFormat="1">
      <c r="A80" s="2335"/>
      <c r="D80" s="2336"/>
      <c r="K80" s="796"/>
      <c r="L80" s="796"/>
    </row>
    <row r="81" spans="1:12" s="964" customFormat="1">
      <c r="A81" s="2335"/>
      <c r="D81" s="2336"/>
      <c r="K81" s="796"/>
      <c r="L81" s="796"/>
    </row>
    <row r="82" spans="1:12" s="964" customFormat="1">
      <c r="A82" s="2335"/>
      <c r="D82" s="2336"/>
      <c r="K82" s="796"/>
      <c r="L82" s="796"/>
    </row>
    <row r="83" spans="1:12" s="964" customFormat="1">
      <c r="A83" s="2335"/>
      <c r="D83" s="2336"/>
      <c r="K83" s="796"/>
      <c r="L83" s="796"/>
    </row>
    <row r="84" spans="1:12" s="964" customFormat="1">
      <c r="A84" s="2335"/>
      <c r="D84" s="2336"/>
      <c r="K84" s="796"/>
      <c r="L84" s="796"/>
    </row>
    <row r="85" spans="1:12" s="964" customFormat="1">
      <c r="A85" s="2335"/>
      <c r="D85" s="2336"/>
      <c r="K85" s="796"/>
      <c r="L85" s="796"/>
    </row>
    <row r="86" spans="1:12" s="964" customFormat="1">
      <c r="A86" s="2335"/>
      <c r="D86" s="2336"/>
      <c r="K86" s="796"/>
      <c r="L86" s="796"/>
    </row>
    <row r="87" spans="1:12" s="964" customFormat="1">
      <c r="A87" s="2335"/>
      <c r="D87" s="2336"/>
      <c r="K87" s="796"/>
      <c r="L87" s="796"/>
    </row>
    <row r="88" spans="1:12" s="964" customFormat="1">
      <c r="A88" s="2335"/>
      <c r="D88" s="2336"/>
      <c r="K88" s="796"/>
      <c r="L88" s="796"/>
    </row>
    <row r="89" spans="1:12" s="964" customFormat="1">
      <c r="A89" s="2335"/>
      <c r="D89" s="2336"/>
      <c r="K89" s="796"/>
      <c r="L89" s="796"/>
    </row>
    <row r="90" spans="1:12" s="964" customFormat="1">
      <c r="A90" s="2335"/>
      <c r="D90" s="2336"/>
      <c r="K90" s="796"/>
      <c r="L90" s="796"/>
    </row>
    <row r="91" spans="1:12" s="964" customFormat="1">
      <c r="A91" s="2335"/>
      <c r="D91" s="2336"/>
      <c r="K91" s="796"/>
      <c r="L91" s="796"/>
    </row>
    <row r="92" spans="1:12" s="964" customFormat="1">
      <c r="A92" s="2335"/>
      <c r="D92" s="2336"/>
      <c r="K92" s="796"/>
      <c r="L92" s="796"/>
    </row>
    <row r="93" spans="1:12" s="964" customFormat="1">
      <c r="A93" s="2335"/>
      <c r="D93" s="2336"/>
      <c r="K93" s="796"/>
      <c r="L93" s="796"/>
    </row>
    <row r="94" spans="1:12" s="964" customFormat="1">
      <c r="A94" s="2335"/>
      <c r="D94" s="2336"/>
      <c r="K94" s="796"/>
      <c r="L94" s="796"/>
    </row>
    <row r="95" spans="1:12" s="964" customFormat="1">
      <c r="A95" s="2335"/>
      <c r="D95" s="2336"/>
      <c r="K95" s="796"/>
      <c r="L95" s="796"/>
    </row>
    <row r="96" spans="1:12" s="964" customFormat="1">
      <c r="A96" s="2335"/>
      <c r="D96" s="2336"/>
      <c r="K96" s="796"/>
      <c r="L96" s="796"/>
    </row>
    <row r="97" spans="1:12" s="964" customFormat="1">
      <c r="A97" s="2335"/>
      <c r="D97" s="2336"/>
      <c r="K97" s="796"/>
      <c r="L97" s="796"/>
    </row>
    <row r="98" spans="1:12" s="964" customFormat="1">
      <c r="A98" s="2335"/>
      <c r="D98" s="2336"/>
      <c r="K98" s="796"/>
      <c r="L98" s="796"/>
    </row>
    <row r="99" spans="1:12" s="964" customFormat="1">
      <c r="A99" s="2335"/>
      <c r="D99" s="2336"/>
      <c r="K99" s="796"/>
      <c r="L99" s="796"/>
    </row>
    <row r="100" spans="1:12" s="964" customFormat="1">
      <c r="A100" s="2335"/>
      <c r="D100" s="2336"/>
      <c r="K100" s="796"/>
      <c r="L100" s="796"/>
    </row>
    <row r="101" spans="1:12" s="964" customFormat="1">
      <c r="A101" s="2335"/>
      <c r="D101" s="2336"/>
      <c r="K101" s="796"/>
      <c r="L101" s="796"/>
    </row>
    <row r="102" spans="1:12" s="964" customFormat="1">
      <c r="A102" s="2335"/>
      <c r="D102" s="2336"/>
      <c r="K102" s="796"/>
      <c r="L102" s="796"/>
    </row>
    <row r="103" spans="1:12" s="964" customFormat="1">
      <c r="A103" s="2335"/>
      <c r="D103" s="2336"/>
      <c r="K103" s="796"/>
      <c r="L103" s="796"/>
    </row>
    <row r="104" spans="1:12" s="964" customFormat="1">
      <c r="A104" s="2335"/>
      <c r="D104" s="2336"/>
      <c r="K104" s="796"/>
      <c r="L104" s="796"/>
    </row>
    <row r="105" spans="1:12" s="964" customFormat="1">
      <c r="A105" s="2335"/>
      <c r="D105" s="2336"/>
      <c r="K105" s="796"/>
      <c r="L105" s="796"/>
    </row>
    <row r="106" spans="1:12" s="964" customFormat="1">
      <c r="A106" s="2335"/>
      <c r="D106" s="2336"/>
      <c r="K106" s="796"/>
      <c r="L106" s="796"/>
    </row>
    <row r="107" spans="1:12" s="964" customFormat="1">
      <c r="A107" s="2335"/>
      <c r="D107" s="2336"/>
      <c r="K107" s="796"/>
      <c r="L107" s="796"/>
    </row>
    <row r="108" spans="1:12" s="964" customFormat="1">
      <c r="A108" s="2335"/>
      <c r="D108" s="2336"/>
      <c r="K108" s="796"/>
      <c r="L108" s="796"/>
    </row>
    <row r="109" spans="1:12" s="964" customFormat="1">
      <c r="A109" s="2335"/>
      <c r="D109" s="2336"/>
      <c r="K109" s="796"/>
      <c r="L109" s="796"/>
    </row>
    <row r="110" spans="1:12" s="964" customFormat="1">
      <c r="A110" s="2335"/>
      <c r="D110" s="2336"/>
      <c r="K110" s="796"/>
      <c r="L110" s="796"/>
    </row>
    <row r="111" spans="1:12" s="964" customFormat="1">
      <c r="A111" s="2335"/>
      <c r="D111" s="2336"/>
      <c r="K111" s="796"/>
      <c r="L111" s="796"/>
    </row>
    <row r="112" spans="1:12" s="964" customFormat="1">
      <c r="A112" s="2335"/>
      <c r="D112" s="2336"/>
      <c r="K112" s="796"/>
      <c r="L112" s="796"/>
    </row>
    <row r="113" spans="1:12" s="964" customFormat="1">
      <c r="A113" s="2335"/>
      <c r="D113" s="2336"/>
      <c r="K113" s="796"/>
      <c r="L113" s="796"/>
    </row>
    <row r="114" spans="1:12" s="964" customFormat="1">
      <c r="A114" s="2335"/>
      <c r="D114" s="2336"/>
      <c r="K114" s="796"/>
      <c r="L114" s="796"/>
    </row>
    <row r="115" spans="1:12" s="964" customFormat="1">
      <c r="A115" s="2335"/>
      <c r="D115" s="2336"/>
      <c r="K115" s="796"/>
      <c r="L115" s="796"/>
    </row>
    <row r="116" spans="1:12" s="964" customFormat="1">
      <c r="A116" s="2335"/>
      <c r="D116" s="2336"/>
      <c r="K116" s="796"/>
      <c r="L116" s="796"/>
    </row>
    <row r="117" spans="1:12" s="964" customFormat="1">
      <c r="A117" s="2335"/>
      <c r="D117" s="2336"/>
      <c r="K117" s="796"/>
      <c r="L117" s="796"/>
    </row>
    <row r="118" spans="1:12" s="964" customFormat="1">
      <c r="A118" s="2335"/>
      <c r="D118" s="2336"/>
      <c r="K118" s="796"/>
      <c r="L118" s="796"/>
    </row>
    <row r="119" spans="1:12" s="964" customFormat="1">
      <c r="A119" s="2335"/>
      <c r="D119" s="2336"/>
      <c r="K119" s="796"/>
      <c r="L119" s="796"/>
    </row>
    <row r="120" spans="1:12" s="964" customFormat="1">
      <c r="A120" s="2335"/>
      <c r="D120" s="2336"/>
      <c r="K120" s="796"/>
      <c r="L120" s="796"/>
    </row>
    <row r="121" spans="1:12" s="964" customFormat="1">
      <c r="A121" s="2335"/>
      <c r="D121" s="2336"/>
      <c r="K121" s="796"/>
      <c r="L121" s="796"/>
    </row>
    <row r="122" spans="1:12" s="964" customFormat="1">
      <c r="A122" s="2335"/>
      <c r="D122" s="2336"/>
      <c r="K122" s="796"/>
      <c r="L122" s="796"/>
    </row>
    <row r="123" spans="1:12" s="964" customFormat="1">
      <c r="A123" s="2335"/>
      <c r="D123" s="2336"/>
      <c r="K123" s="796"/>
      <c r="L123" s="796"/>
    </row>
    <row r="124" spans="1:12" s="964" customFormat="1">
      <c r="A124" s="2335"/>
      <c r="D124" s="2336"/>
      <c r="K124" s="796"/>
      <c r="L124" s="796"/>
    </row>
    <row r="125" spans="1:12" s="964" customFormat="1">
      <c r="A125" s="2335"/>
      <c r="D125" s="2336"/>
      <c r="K125" s="796"/>
      <c r="L125" s="796"/>
    </row>
    <row r="126" spans="1:12" s="964" customFormat="1">
      <c r="A126" s="2335"/>
      <c r="D126" s="2336"/>
      <c r="K126" s="796"/>
      <c r="L126" s="796"/>
    </row>
    <row r="127" spans="1:12" s="964" customFormat="1">
      <c r="A127" s="2335"/>
      <c r="D127" s="2336"/>
      <c r="K127" s="796"/>
      <c r="L127" s="796"/>
    </row>
    <row r="128" spans="1:12" s="964" customFormat="1">
      <c r="A128" s="2335"/>
      <c r="D128" s="2336"/>
      <c r="K128" s="796"/>
      <c r="L128" s="796"/>
    </row>
    <row r="129" spans="1:12" s="964" customFormat="1">
      <c r="A129" s="2335"/>
      <c r="D129" s="2336"/>
      <c r="K129" s="796"/>
      <c r="L129" s="796"/>
    </row>
    <row r="130" spans="1:12" s="964" customFormat="1">
      <c r="A130" s="2335"/>
      <c r="D130" s="2336"/>
      <c r="K130" s="796"/>
      <c r="L130" s="796"/>
    </row>
    <row r="131" spans="1:12" s="964" customFormat="1">
      <c r="A131" s="2335"/>
      <c r="D131" s="2336"/>
      <c r="K131" s="796"/>
      <c r="L131" s="796"/>
    </row>
    <row r="132" spans="1:12" s="964" customFormat="1">
      <c r="A132" s="2335"/>
      <c r="D132" s="2336"/>
      <c r="K132" s="796"/>
      <c r="L132" s="796"/>
    </row>
    <row r="133" spans="1:12" s="964"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I21" r:id="rId1" display="javascript:top.main.DataEdit('37',16);"/>
  </hyperlinks>
  <pageMargins left="0.7" right="0.7" top="0.75" bottom="0.75" header="0.3" footer="0.3"/>
  <pageSetup paperSize="9" scale="25"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71" t="s">
        <v>2087</v>
      </c>
      <c r="B1" s="3072"/>
      <c r="C1" s="3072"/>
      <c r="D1" s="3072"/>
      <c r="E1" s="3072"/>
      <c r="F1" s="3072"/>
      <c r="G1" s="307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2088</v>
      </c>
      <c r="D2" s="2360"/>
      <c r="E2" s="2361"/>
      <c r="F2" s="2280"/>
      <c r="G2" s="2359" t="s">
        <v>2089</v>
      </c>
      <c r="H2" s="2362"/>
      <c r="I2" s="2362"/>
      <c r="J2" s="2362"/>
      <c r="K2" s="2362"/>
      <c r="L2" s="2362"/>
      <c r="M2" s="2362"/>
      <c r="N2" s="2362"/>
      <c r="O2" s="2362"/>
      <c r="P2" s="2362"/>
      <c r="Q2" s="2362"/>
      <c r="R2" s="2362"/>
    </row>
    <row r="3" spans="1:29" ht="54">
      <c r="A3" s="414" t="s">
        <v>2090</v>
      </c>
      <c r="B3" s="1268" t="s">
        <v>2091</v>
      </c>
      <c r="C3" s="2364" t="s">
        <v>2092</v>
      </c>
      <c r="D3" s="2365"/>
      <c r="E3" s="430" t="s">
        <v>2090</v>
      </c>
      <c r="F3" s="2366" t="s">
        <v>2093</v>
      </c>
      <c r="G3" s="2367" t="s">
        <v>2094</v>
      </c>
      <c r="H3" s="2362"/>
      <c r="I3" s="2362"/>
      <c r="J3" s="2362"/>
      <c r="K3" s="2362"/>
      <c r="L3" s="2362"/>
      <c r="M3" s="2362"/>
      <c r="N3" s="2362"/>
      <c r="O3" s="2362"/>
      <c r="P3" s="2362"/>
      <c r="Q3" s="2362"/>
      <c r="R3" s="2362"/>
    </row>
    <row r="4" spans="1:29" ht="41.25">
      <c r="A4" s="430"/>
      <c r="B4" s="1794" t="s">
        <v>2095</v>
      </c>
      <c r="C4" s="2368" t="s">
        <v>2096</v>
      </c>
      <c r="D4" s="2365"/>
      <c r="E4" s="2369"/>
      <c r="F4" s="42" t="s">
        <v>2097</v>
      </c>
      <c r="G4" s="2370" t="s">
        <v>2098</v>
      </c>
      <c r="H4" s="2362"/>
      <c r="I4" s="2362"/>
      <c r="J4" s="2362"/>
      <c r="K4" s="2362"/>
      <c r="L4" s="2362"/>
      <c r="M4" s="2362"/>
      <c r="N4" s="2362"/>
      <c r="O4" s="2362"/>
      <c r="P4" s="2362"/>
      <c r="Q4" s="2362"/>
      <c r="R4" s="2362"/>
    </row>
    <row r="5" spans="1:29" ht="41.25">
      <c r="A5" s="430"/>
      <c r="B5" s="1794" t="s">
        <v>2099</v>
      </c>
      <c r="C5" s="2368" t="s">
        <v>2100</v>
      </c>
      <c r="D5" s="2365"/>
      <c r="E5" s="2369"/>
      <c r="F5" s="1794" t="s">
        <v>2101</v>
      </c>
      <c r="G5" s="2370" t="s">
        <v>2102</v>
      </c>
      <c r="H5" s="2362"/>
      <c r="I5" s="2362"/>
      <c r="J5" s="2362"/>
      <c r="K5" s="2362"/>
      <c r="L5" s="2362"/>
      <c r="M5" s="2362"/>
      <c r="N5" s="2362"/>
      <c r="O5" s="2362"/>
      <c r="P5" s="2362"/>
      <c r="Q5" s="2362"/>
      <c r="R5" s="2362"/>
    </row>
    <row r="6" spans="1:29" ht="54">
      <c r="A6" s="430"/>
      <c r="B6" s="1794" t="s">
        <v>2103</v>
      </c>
      <c r="C6" s="2370" t="s">
        <v>2098</v>
      </c>
      <c r="D6" s="2365"/>
      <c r="E6" s="2369"/>
      <c r="F6" s="1794" t="s">
        <v>2104</v>
      </c>
      <c r="G6" s="2370" t="s">
        <v>2105</v>
      </c>
      <c r="H6" s="2362"/>
      <c r="I6" s="2362"/>
      <c r="J6" s="2362"/>
      <c r="K6" s="2362"/>
      <c r="L6" s="2362"/>
      <c r="M6" s="2362"/>
      <c r="N6" s="2362"/>
      <c r="O6" s="2362"/>
      <c r="P6" s="2362"/>
      <c r="Q6" s="2362"/>
      <c r="R6" s="2362"/>
    </row>
    <row r="7" spans="1:29" ht="41.25" thickBot="1">
      <c r="A7" s="430"/>
      <c r="B7" s="1794" t="s">
        <v>2101</v>
      </c>
      <c r="C7" s="2370" t="s">
        <v>2102</v>
      </c>
      <c r="D7" s="2371"/>
      <c r="E7" s="2372"/>
      <c r="F7" s="2373" t="s">
        <v>2106</v>
      </c>
      <c r="G7" s="2374" t="s">
        <v>2107</v>
      </c>
      <c r="H7" s="2362"/>
      <c r="I7" s="2362"/>
      <c r="J7" s="2362"/>
      <c r="K7" s="2362"/>
      <c r="L7" s="2362"/>
      <c r="M7" s="2362"/>
      <c r="N7" s="2362"/>
      <c r="O7" s="2362"/>
      <c r="P7" s="2362"/>
      <c r="Q7" s="2362"/>
      <c r="R7" s="2362"/>
    </row>
    <row r="8" spans="1:29" ht="27">
      <c r="A8" s="430"/>
      <c r="B8" s="1794" t="s">
        <v>2104</v>
      </c>
      <c r="C8" s="2370" t="s">
        <v>2105</v>
      </c>
      <c r="D8" s="2371"/>
      <c r="E8" s="2371"/>
      <c r="F8" s="1133"/>
      <c r="G8" s="1133"/>
      <c r="H8" s="2362"/>
      <c r="I8" s="2362"/>
      <c r="J8" s="2362"/>
      <c r="K8" s="2362"/>
      <c r="L8" s="2362"/>
      <c r="M8" s="2362"/>
      <c r="N8" s="2362"/>
      <c r="O8" s="2362"/>
      <c r="P8" s="2362"/>
      <c r="Q8" s="2362"/>
      <c r="R8" s="2362"/>
    </row>
    <row r="9" spans="1:29" ht="27">
      <c r="A9" s="430"/>
      <c r="B9" s="1794" t="s">
        <v>2108</v>
      </c>
      <c r="C9" s="2368" t="s">
        <v>2109</v>
      </c>
      <c r="D9" s="2365"/>
      <c r="E9" s="2371"/>
      <c r="F9" s="1133"/>
      <c r="G9" s="1133"/>
      <c r="H9" s="2362"/>
      <c r="I9" s="2362"/>
      <c r="J9" s="2362"/>
      <c r="K9" s="2362"/>
      <c r="L9" s="2362"/>
      <c r="M9" s="2362"/>
      <c r="N9" s="2362"/>
      <c r="O9" s="2362"/>
      <c r="P9" s="2362"/>
      <c r="Q9" s="2362"/>
      <c r="R9" s="2362"/>
    </row>
    <row r="10" spans="1:29" s="116" customFormat="1" ht="15.75" thickBot="1">
      <c r="A10" s="2375"/>
      <c r="B10" s="2376" t="s">
        <v>2110</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2111</v>
      </c>
      <c r="B13" s="2382"/>
      <c r="C13" s="2382"/>
      <c r="D13" s="2389"/>
      <c r="E13" s="2382"/>
      <c r="F13" s="2382"/>
      <c r="G13" s="2382"/>
    </row>
    <row r="14" spans="1:29" ht="15.75" thickBot="1">
      <c r="A14" s="2393"/>
      <c r="B14" s="2394"/>
      <c r="C14" s="2395" t="s">
        <v>2112</v>
      </c>
      <c r="D14" s="2365"/>
      <c r="E14" s="2396"/>
      <c r="F14" s="2396"/>
      <c r="G14" s="2359" t="s">
        <v>2113</v>
      </c>
    </row>
    <row r="15" spans="1:29" ht="57">
      <c r="A15" s="67" t="s">
        <v>2114</v>
      </c>
      <c r="B15" s="1267" t="s">
        <v>2091</v>
      </c>
      <c r="C15" s="2397" t="str">
        <f>C3</f>
        <v>估价对象周边居住用地比例、居住小区规模和社区发展完善程度，综合评价居住社区成熟度一般</v>
      </c>
      <c r="D15" s="2365"/>
      <c r="E15" s="2398" t="s">
        <v>2115</v>
      </c>
      <c r="F15" s="1267" t="s">
        <v>2116</v>
      </c>
      <c r="G15" s="133" t="str">
        <f>G3</f>
        <v>估价对象位于XX开发区，园区建设成熟度XX，产业集聚程度XX</v>
      </c>
    </row>
    <row r="16" spans="1:29" ht="42.75">
      <c r="A16" s="644"/>
      <c r="B16" s="2399" t="s">
        <v>2095</v>
      </c>
      <c r="C16" s="2400" t="str">
        <f>C4</f>
        <v>估价对象位于XX商圈，周边商业氛围成熟，人流量大，商业繁华度好</v>
      </c>
      <c r="D16" s="2365"/>
      <c r="E16" s="2401"/>
      <c r="F16" s="2402" t="s">
        <v>2097</v>
      </c>
      <c r="G16" s="134" t="str">
        <f>G4</f>
        <v>估价对象周边道路状况、公共交通通达情况、停车便捷程度，综合评价交通便捷度较好</v>
      </c>
    </row>
    <row r="17" spans="1:18" ht="42.75">
      <c r="A17" s="644"/>
      <c r="B17" s="2399" t="s">
        <v>2099</v>
      </c>
      <c r="C17" s="2400" t="str">
        <f>C5</f>
        <v>估价对象位于XX商圈，周边办公楼项目较多，入驻率高，办公集聚程度较好</v>
      </c>
      <c r="D17" s="2371"/>
      <c r="E17" s="2401"/>
      <c r="F17" s="2402" t="s">
        <v>2117</v>
      </c>
      <c r="G17" s="1569"/>
    </row>
    <row r="18" spans="1:18" ht="57">
      <c r="A18" s="644"/>
      <c r="B18" s="2402" t="s">
        <v>2103</v>
      </c>
      <c r="C18" s="134" t="str">
        <f>C6</f>
        <v>估价对象周边道路状况、公共交通通达情况、停车便捷程度，综合评价交通便捷度较好</v>
      </c>
      <c r="D18" s="2371"/>
      <c r="E18" s="2401"/>
      <c r="F18" s="2402" t="s">
        <v>2106</v>
      </c>
      <c r="G18" s="134" t="str">
        <f>G7</f>
        <v>该园区内是否有污染型企业，绿化情况，卫生条件，整体环境状况判断</v>
      </c>
    </row>
    <row r="19" spans="1:18" ht="28.5">
      <c r="A19" s="644"/>
      <c r="B19" s="2402" t="s">
        <v>2118</v>
      </c>
      <c r="C19" s="1569"/>
      <c r="D19" s="2365"/>
      <c r="E19" s="2401"/>
      <c r="F19" s="1794" t="s">
        <v>2101</v>
      </c>
      <c r="G19" s="134" t="str">
        <f>G5</f>
        <v>估价对象所在区域公共配套设施齐备情况</v>
      </c>
    </row>
    <row r="20" spans="1:18" ht="28.5">
      <c r="A20" s="644"/>
      <c r="B20" s="2402" t="s">
        <v>2119</v>
      </c>
      <c r="C20" s="2400" t="str">
        <f>C9</f>
        <v>区域自然环境：；人文环境；综合评价环境状况一般</v>
      </c>
      <c r="D20" s="2371"/>
      <c r="E20" s="2401"/>
      <c r="F20" s="1794" t="s">
        <v>2120</v>
      </c>
      <c r="G20" s="134" t="str">
        <f>G6</f>
        <v>估价对象所在区域基础设施水平</v>
      </c>
    </row>
    <row r="21" spans="1:18" ht="28.5">
      <c r="A21" s="644"/>
      <c r="B21" s="1794" t="s">
        <v>2101</v>
      </c>
      <c r="C21" s="134" t="str">
        <f>C7</f>
        <v>估价对象所在区域公共配套设施齐备情况</v>
      </c>
      <c r="D21" s="2365"/>
      <c r="E21" s="2401"/>
      <c r="F21" s="2402" t="s">
        <v>2121</v>
      </c>
      <c r="G21" s="2403"/>
    </row>
    <row r="22" spans="1:18" ht="13.5" customHeight="1">
      <c r="A22" s="644"/>
      <c r="B22" s="1794" t="s">
        <v>2104</v>
      </c>
      <c r="C22" s="134" t="str">
        <f>C8</f>
        <v>估价对象所在区域基础设施水平</v>
      </c>
      <c r="D22" s="2365"/>
      <c r="E22" s="2401"/>
      <c r="F22" s="2402" t="s">
        <v>2110</v>
      </c>
      <c r="G22" s="1569"/>
    </row>
    <row r="23" spans="1:18" s="2362" customFormat="1" ht="15.75" thickBot="1">
      <c r="A23" s="644"/>
      <c r="B23" s="2402" t="s">
        <v>2121</v>
      </c>
      <c r="C23" s="2403"/>
      <c r="D23" s="2390"/>
      <c r="E23" s="2404"/>
      <c r="F23" s="2405" t="s">
        <v>2122</v>
      </c>
      <c r="G23" s="2406"/>
      <c r="H23" s="2390"/>
      <c r="I23" s="2391"/>
      <c r="J23" s="2390"/>
      <c r="K23" s="2390"/>
      <c r="L23" s="2391"/>
      <c r="M23" s="2390"/>
      <c r="N23" s="2390"/>
      <c r="O23" s="2391"/>
      <c r="P23" s="2390"/>
      <c r="Q23" s="2390"/>
      <c r="R23" s="2392"/>
    </row>
    <row r="24" spans="1:18" s="2362" customFormat="1" ht="15.75" thickBot="1">
      <c r="A24" s="2407"/>
      <c r="B24" s="2405" t="s">
        <v>2123</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64569.140000000007</v>
      </c>
      <c r="C1" s="1741"/>
      <c r="D1" s="1741"/>
      <c r="E1" s="1741"/>
      <c r="F1" s="1741"/>
      <c r="G1" s="1739"/>
    </row>
    <row r="2" spans="1:10" ht="16.5">
      <c r="A2" s="1742" t="s">
        <v>1354</v>
      </c>
      <c r="B2" s="1742">
        <f>SUM(C14:C23)</f>
        <v>20327.75</v>
      </c>
      <c r="C2" s="1741"/>
      <c r="D2" s="1741"/>
      <c r="E2" s="1741"/>
      <c r="F2" s="1741"/>
      <c r="G2" s="1739"/>
    </row>
    <row r="3" spans="1:10" ht="16.5">
      <c r="A3" s="1742" t="s">
        <v>1363</v>
      </c>
      <c r="B3" s="1743">
        <f>项目基本情况!D3</f>
        <v>43056</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83432</v>
      </c>
      <c r="C5" s="1742">
        <f ca="1">ROUND(B5*10000/$B$1,0)</f>
        <v>12921</v>
      </c>
      <c r="D5" s="1742">
        <f ca="1">ROUND(B5*10000/$B$2,0)</f>
        <v>41043</v>
      </c>
      <c r="E5" s="1741"/>
      <c r="F5" s="1739"/>
      <c r="G5" s="1739"/>
    </row>
    <row r="6" spans="1:10" ht="16.5">
      <c r="A6" s="1742" t="s">
        <v>1357</v>
      </c>
      <c r="B6" s="1742">
        <f>SUM(G14:G23)</f>
        <v>0</v>
      </c>
      <c r="C6" s="1742">
        <f>ROUND(B6*10000/$B$1,0)</f>
        <v>0</v>
      </c>
      <c r="D6" s="1742">
        <f>ROUND(B6*10000/$B$2,0)</f>
        <v>0</v>
      </c>
      <c r="E6" s="1741"/>
      <c r="F6" s="1739"/>
      <c r="G6" s="1739"/>
    </row>
    <row r="7" spans="1:10" ht="16.5">
      <c r="A7" s="1742" t="s">
        <v>1365</v>
      </c>
      <c r="B7" s="1742">
        <f ca="1">SUM(H14:H23)</f>
        <v>83432</v>
      </c>
      <c r="C7" s="1742">
        <f ca="1">ROUND(B7*10000/$B$1,0)</f>
        <v>12921</v>
      </c>
      <c r="D7" s="1742">
        <f ca="1">ROUND(B7*10000/$B$2,0)</f>
        <v>41043</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64569.140000000007</v>
      </c>
      <c r="C14" s="1740">
        <f>结果表!C118</f>
        <v>20327.75</v>
      </c>
      <c r="D14" s="1740">
        <f ca="1">结果表!H118</f>
        <v>83432</v>
      </c>
      <c r="E14" s="1740">
        <f ca="1">ROUND(D14*10000/B14,0)</f>
        <v>12921</v>
      </c>
      <c r="F14" s="1740">
        <f ca="1">ROUND(D14*10000/C14,0)</f>
        <v>41043</v>
      </c>
      <c r="G14" s="1740" t="str">
        <f>结果表!D122</f>
        <v>——</v>
      </c>
      <c r="H14" s="1740">
        <f ca="1">结果表!D124</f>
        <v>83432</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106" zoomScaleSheetLayoutView="100" zoomScalePageLayoutView="80" workbookViewId="0">
      <selection activeCell="H119" sqref="H119:I119"/>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2124</v>
      </c>
      <c r="B1" s="2413"/>
      <c r="C1" s="2414"/>
      <c r="D1" s="2413"/>
      <c r="E1" s="2413"/>
      <c r="F1" s="2415" t="s">
        <v>2125</v>
      </c>
      <c r="G1" s="2065" t="s">
        <v>2126</v>
      </c>
      <c r="H1" s="2416" t="str">
        <f>IF(G1="现房","——","估价对象范围")</f>
        <v>估价对象范围</v>
      </c>
      <c r="I1" s="2417"/>
    </row>
    <row r="2" spans="1:12" ht="21.75" customHeight="1" thickBot="1">
      <c r="A2" s="3106" t="str">
        <f>项目基本情况!S2</f>
        <v>山东省济南市高新区凤凰路以西、旅游路以南出让国有建设用地使用权及在建建筑物房地产</v>
      </c>
      <c r="B2" s="3107"/>
      <c r="C2" s="3107"/>
      <c r="D2" s="3107"/>
      <c r="E2" s="3107"/>
      <c r="F2" s="3107"/>
      <c r="G2" s="3107"/>
      <c r="H2" s="3107"/>
      <c r="I2" s="3108"/>
    </row>
    <row r="3" spans="1:12" ht="12.75">
      <c r="A3" s="3110" t="s">
        <v>2127</v>
      </c>
      <c r="B3" s="3111"/>
      <c r="C3" s="3111"/>
      <c r="D3" s="3111"/>
      <c r="E3" s="3111"/>
      <c r="F3" s="3111"/>
      <c r="G3" s="3111"/>
      <c r="H3" s="3111"/>
      <c r="I3" s="3111"/>
    </row>
    <row r="4" spans="1:12" ht="14.25">
      <c r="A4" s="2420" t="s">
        <v>2128</v>
      </c>
      <c r="B4" s="2421" t="s">
        <v>2129</v>
      </c>
      <c r="C4" s="2422" t="s">
        <v>3107</v>
      </c>
      <c r="D4" s="2422" t="s">
        <v>3108</v>
      </c>
      <c r="E4" s="3103" t="s">
        <v>2130</v>
      </c>
      <c r="F4" s="3104"/>
      <c r="G4" s="3104"/>
      <c r="H4" s="3104"/>
      <c r="I4" s="3112"/>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86" t="s">
        <v>2131</v>
      </c>
      <c r="B5" s="3024">
        <v>25</v>
      </c>
      <c r="C5" s="3089"/>
      <c r="D5" s="3109"/>
      <c r="E5" s="138" t="s">
        <v>2132</v>
      </c>
      <c r="F5" s="2424"/>
      <c r="G5" s="2424"/>
      <c r="H5" s="2424"/>
      <c r="I5" s="1830"/>
    </row>
    <row r="6" spans="1:12" ht="12.75">
      <c r="A6" s="3086"/>
      <c r="B6" s="3024"/>
      <c r="C6" s="3090"/>
      <c r="D6" s="3109"/>
      <c r="E6" s="138" t="s">
        <v>2133</v>
      </c>
      <c r="F6" s="2424"/>
      <c r="G6" s="2424"/>
      <c r="H6" s="2424"/>
      <c r="I6" s="1830"/>
    </row>
    <row r="7" spans="1:12" ht="12.75">
      <c r="A7" s="3086"/>
      <c r="B7" s="3024"/>
      <c r="C7" s="3091"/>
      <c r="D7" s="3109"/>
      <c r="E7" s="138" t="s">
        <v>2134</v>
      </c>
      <c r="F7" s="2424"/>
      <c r="G7" s="2424"/>
      <c r="H7" s="2424"/>
      <c r="I7" s="1830"/>
    </row>
    <row r="8" spans="1:12" ht="12.75">
      <c r="A8" s="3086" t="s">
        <v>2135</v>
      </c>
      <c r="B8" s="3024">
        <v>15</v>
      </c>
      <c r="C8" s="3089"/>
      <c r="D8" s="3109"/>
      <c r="E8" s="138" t="s">
        <v>2136</v>
      </c>
      <c r="F8" s="2424"/>
      <c r="G8" s="2424"/>
      <c r="H8" s="2424"/>
      <c r="I8" s="1830"/>
    </row>
    <row r="9" spans="1:12" ht="12.75">
      <c r="A9" s="3086"/>
      <c r="B9" s="3024"/>
      <c r="C9" s="3091"/>
      <c r="D9" s="3109"/>
      <c r="E9" s="138" t="s">
        <v>2137</v>
      </c>
      <c r="F9" s="2424"/>
      <c r="G9" s="2424"/>
      <c r="H9" s="2424"/>
      <c r="I9" s="1830"/>
    </row>
    <row r="10" spans="1:12" ht="12.75">
      <c r="A10" s="3086" t="s">
        <v>2138</v>
      </c>
      <c r="B10" s="3024">
        <v>15</v>
      </c>
      <c r="C10" s="3089"/>
      <c r="D10" s="3109"/>
      <c r="E10" s="138" t="s">
        <v>2139</v>
      </c>
      <c r="F10" s="2424"/>
      <c r="G10" s="2424"/>
      <c r="H10" s="2424"/>
      <c r="I10" s="1830"/>
    </row>
    <row r="11" spans="1:12" ht="12.75">
      <c r="A11" s="3086"/>
      <c r="B11" s="3024"/>
      <c r="C11" s="3091"/>
      <c r="D11" s="3109"/>
      <c r="E11" s="138" t="s">
        <v>2140</v>
      </c>
      <c r="F11" s="2424"/>
      <c r="G11" s="2424"/>
      <c r="H11" s="2424"/>
      <c r="I11" s="1830"/>
    </row>
    <row r="12" spans="1:12" ht="12.75">
      <c r="A12" s="3086" t="s">
        <v>2141</v>
      </c>
      <c r="B12" s="3024">
        <v>15</v>
      </c>
      <c r="C12" s="3089"/>
      <c r="D12" s="3109"/>
      <c r="E12" s="138" t="s">
        <v>2142</v>
      </c>
      <c r="F12" s="2424"/>
      <c r="G12" s="2424"/>
      <c r="H12" s="2424"/>
      <c r="I12" s="1830"/>
    </row>
    <row r="13" spans="1:12" ht="12.75">
      <c r="A13" s="3086"/>
      <c r="B13" s="3024"/>
      <c r="C13" s="3091"/>
      <c r="D13" s="3109"/>
      <c r="E13" s="138" t="s">
        <v>2143</v>
      </c>
      <c r="F13" s="2424"/>
      <c r="G13" s="2424"/>
      <c r="H13" s="2424"/>
      <c r="I13" s="1830"/>
    </row>
    <row r="14" spans="1:12" ht="12.75">
      <c r="A14" s="3086" t="s">
        <v>2144</v>
      </c>
      <c r="B14" s="3024">
        <v>30</v>
      </c>
      <c r="C14" s="3089">
        <v>5</v>
      </c>
      <c r="D14" s="3109">
        <v>5</v>
      </c>
      <c r="E14" s="138" t="s">
        <v>2145</v>
      </c>
      <c r="F14" s="2424"/>
      <c r="G14" s="2424"/>
      <c r="H14" s="2424"/>
      <c r="I14" s="1830"/>
    </row>
    <row r="15" spans="1:12" ht="12.75">
      <c r="A15" s="3086"/>
      <c r="B15" s="3024"/>
      <c r="C15" s="3090"/>
      <c r="D15" s="3109"/>
      <c r="E15" s="138" t="s">
        <v>2146</v>
      </c>
      <c r="F15" s="2424"/>
      <c r="G15" s="2424"/>
      <c r="H15" s="2424"/>
      <c r="I15" s="1830"/>
    </row>
    <row r="16" spans="1:12" ht="12.75">
      <c r="A16" s="3086"/>
      <c r="B16" s="3024"/>
      <c r="C16" s="3091"/>
      <c r="D16" s="3109"/>
      <c r="E16" s="138" t="s">
        <v>2147</v>
      </c>
      <c r="F16" s="2424"/>
      <c r="G16" s="2424"/>
      <c r="H16" s="2424"/>
      <c r="I16" s="1830"/>
    </row>
    <row r="17" spans="1:35" ht="15">
      <c r="A17" s="2425" t="s">
        <v>2148</v>
      </c>
      <c r="B17" s="63"/>
      <c r="C17" s="139">
        <f>SUM(C5:C16)</f>
        <v>5</v>
      </c>
      <c r="D17" s="139">
        <f>SUM(D5:D16)</f>
        <v>5</v>
      </c>
      <c r="E17" s="136"/>
      <c r="F17" s="136"/>
      <c r="G17" s="136"/>
      <c r="H17" s="136"/>
      <c r="I17" s="136"/>
      <c r="K17" s="2423"/>
      <c r="L17" s="2426" t="s">
        <v>2149</v>
      </c>
      <c r="M17" s="2426" t="s">
        <v>2150</v>
      </c>
    </row>
    <row r="18" spans="1:35" ht="15.75" thickBot="1">
      <c r="A18" s="2427" t="s">
        <v>2151</v>
      </c>
      <c r="B18" s="2428"/>
      <c r="C18" s="140">
        <f>ROUND(C17/SUM(C17:D17),2)</f>
        <v>0.5</v>
      </c>
      <c r="D18" s="140">
        <f>1-C18</f>
        <v>0.5</v>
      </c>
      <c r="E18" s="136"/>
      <c r="F18" s="136"/>
      <c r="G18" s="136"/>
      <c r="H18" s="136"/>
      <c r="I18" s="136"/>
      <c r="K18" s="2423" t="s">
        <v>2152</v>
      </c>
      <c r="L18" s="2423">
        <f>IF(C1="",'数据-汇总表'!E3,SUMIF(项目类型,C1,'数据-汇总表'!E17:E26)+SUMIF(项目类型,C1,'数据-汇总表'!I17:I26))</f>
        <v>64569.140000000007</v>
      </c>
      <c r="M18" s="2423">
        <f>IF(C1="",'数据-汇总表'!E3,SUMIF(项目类型,C1,'数据-汇总表'!E17:E26))</f>
        <v>64569.140000000007</v>
      </c>
    </row>
    <row r="19" spans="1:35" ht="15">
      <c r="A19" s="2429" t="s">
        <v>2153</v>
      </c>
      <c r="B19" s="2430" t="s">
        <v>2154</v>
      </c>
      <c r="C19" s="141">
        <f ca="1">SUMIF(INDIRECT("'"&amp;C4&amp;"'"&amp;"!A:A"),结果表!B19,INDIRECT("'"&amp;C4&amp;"'"&amp;"!B:B"))</f>
        <v>89457</v>
      </c>
      <c r="D19" s="142">
        <f ca="1">SUMIF(INDIRECT("'"&amp;D4&amp;"'"&amp;"!A:A"),结果表!B19,INDIRECT("'"&amp;D4&amp;"'"&amp;"!B:B"))</f>
        <v>77407</v>
      </c>
      <c r="E19" s="2429" t="s">
        <v>2155</v>
      </c>
      <c r="F19" s="2430" t="s">
        <v>2154</v>
      </c>
      <c r="G19" s="143">
        <f ca="1">ROUND(C19*$C$18+D19*$D$18,0)</f>
        <v>83432</v>
      </c>
      <c r="H19" s="2431" t="s">
        <v>2156</v>
      </c>
      <c r="I19" s="136"/>
      <c r="K19" s="2423" t="s">
        <v>2157</v>
      </c>
      <c r="L19" s="2423">
        <f>IF(C1="",'数据-汇总表'!D3,SUMIF(项目类型,C1,'数据-汇总表'!D17:D26)+SUMIF(项目类型,C1,'数据-汇总表'!H17:H27))</f>
        <v>20327.75</v>
      </c>
      <c r="M19" s="2423">
        <f>IF(C1="",'数据-汇总表'!D3,SUMIF(项目类型,C1,'数据-汇总表'!D17:D26))</f>
        <v>20327.75</v>
      </c>
    </row>
    <row r="20" spans="1:35" ht="15">
      <c r="A20" s="2432"/>
      <c r="B20" s="1247" t="s">
        <v>2158</v>
      </c>
      <c r="C20" s="144">
        <f ca="1">SUMIF(INDIRECT("'"&amp;C4&amp;"'"&amp;"!A:A"),结果表!B20,INDIRECT("'"&amp;C4&amp;"'"&amp;"!B:B"))</f>
        <v>13854</v>
      </c>
      <c r="D20" s="145">
        <f ca="1">SUMIF(INDIRECT("'"&amp;D4&amp;"'"&amp;"!A:A"),结果表!B20,INDIRECT("'"&amp;D4&amp;"'"&amp;"!B:B"))</f>
        <v>11988</v>
      </c>
      <c r="E20" s="2432"/>
      <c r="F20" s="1247" t="s">
        <v>2158</v>
      </c>
      <c r="G20" s="146">
        <f ca="1">ROUND(C20*$C$18+D20*$D$18,0)</f>
        <v>12921</v>
      </c>
      <c r="H20" s="980" t="s">
        <v>2159</v>
      </c>
      <c r="I20" s="136"/>
    </row>
    <row r="21" spans="1:35" ht="15" customHeight="1" thickBot="1">
      <c r="A21" s="1000"/>
      <c r="B21" s="2433" t="s">
        <v>2160</v>
      </c>
      <c r="C21" s="787">
        <f ca="1">ROUND(C19*10000/L19,0)</f>
        <v>44007</v>
      </c>
      <c r="D21" s="788">
        <f ca="1">ROUND(D19*10000/L19,0)</f>
        <v>38079</v>
      </c>
      <c r="E21" s="1000"/>
      <c r="F21" s="2433" t="s">
        <v>2160</v>
      </c>
      <c r="G21" s="147">
        <f ca="1">ROUND(G19*10000/L19,0)</f>
        <v>41043</v>
      </c>
      <c r="H21" s="2434" t="s">
        <v>2159</v>
      </c>
      <c r="I21" s="136"/>
    </row>
    <row r="22" spans="1:35" ht="15" thickBot="1">
      <c r="A22" s="2275" t="s">
        <v>2161</v>
      </c>
      <c r="B22" s="2435"/>
      <c r="C22" s="2436"/>
      <c r="D22" s="789">
        <f ca="1">IF(C19&lt;D19,D19/C19-1,C19/D19-1)</f>
        <v>0.15567067577867633</v>
      </c>
      <c r="E22" s="136"/>
      <c r="F22" s="136"/>
      <c r="G22" s="136"/>
      <c r="H22" s="136"/>
      <c r="I22" s="136"/>
    </row>
    <row r="23" spans="1:35" ht="13.5" thickBot="1">
      <c r="A23" s="2413"/>
      <c r="B23" s="2413"/>
      <c r="C23" s="2413"/>
      <c r="D23" s="2413"/>
      <c r="E23" s="136"/>
      <c r="F23" s="136"/>
      <c r="G23" s="136"/>
      <c r="H23" s="136"/>
      <c r="I23" s="136"/>
    </row>
    <row r="24" spans="1:35" ht="14.25">
      <c r="A24" s="3080" t="s">
        <v>2162</v>
      </c>
      <c r="B24" s="2430" t="s">
        <v>2154</v>
      </c>
      <c r="C24" s="143">
        <f>IF(B30=0,0,D30)</f>
        <v>0</v>
      </c>
      <c r="D24" s="2437"/>
      <c r="E24" s="136"/>
      <c r="F24" s="136"/>
      <c r="G24" s="136"/>
      <c r="H24" s="136"/>
      <c r="I24" s="136"/>
    </row>
    <row r="25" spans="1:35" ht="14.25">
      <c r="A25" s="3081"/>
      <c r="B25" s="1247" t="s">
        <v>2158</v>
      </c>
      <c r="C25" s="148">
        <f>IF(B30=0,0,C30)</f>
        <v>0</v>
      </c>
      <c r="D25" s="2438"/>
      <c r="E25" s="136"/>
      <c r="F25" s="136"/>
      <c r="G25" s="136"/>
      <c r="H25" s="136"/>
      <c r="I25" s="136"/>
    </row>
    <row r="26" spans="1:35" ht="13.5" customHeight="1">
      <c r="A26" s="2439" t="s">
        <v>2163</v>
      </c>
      <c r="B26" s="149" t="s">
        <v>2164</v>
      </c>
      <c r="C26" s="149" t="s">
        <v>2165</v>
      </c>
      <c r="D26" s="150" t="s">
        <v>2166</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51" t="s">
        <v>2167</v>
      </c>
      <c r="B30" s="151">
        <f>SUM(B27:B29)</f>
        <v>0</v>
      </c>
      <c r="C30" s="151" t="e">
        <f>ROUND(D30*10000/B30,0)</f>
        <v>#DIV/0!</v>
      </c>
      <c r="D30" s="151">
        <f>SUM(D27:D29)</f>
        <v>0</v>
      </c>
      <c r="E30" s="136"/>
      <c r="F30" s="136"/>
      <c r="G30" s="136"/>
      <c r="H30" s="136"/>
      <c r="I30" s="136"/>
    </row>
    <row r="31" spans="1:35" s="2441" customFormat="1" ht="15" thickBot="1">
      <c r="A31" s="2440"/>
      <c r="B31" s="2440"/>
      <c r="C31" s="2440"/>
      <c r="D31" s="2440"/>
      <c r="E31" s="136"/>
      <c r="F31" s="136"/>
      <c r="G31" s="136"/>
      <c r="H31" s="136"/>
      <c r="I31" s="136"/>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2168</v>
      </c>
      <c r="B32" s="2443"/>
      <c r="C32" s="152">
        <f ca="1">IF(D32="总价",G19-C24,G20-C25)</f>
        <v>83432</v>
      </c>
      <c r="D32" s="2444" t="s">
        <v>3169</v>
      </c>
      <c r="E32" s="136"/>
      <c r="F32" s="136"/>
      <c r="G32" s="136"/>
      <c r="H32" s="136"/>
      <c r="I32" s="136"/>
    </row>
    <row r="33" spans="1:15" ht="15">
      <c r="A33" s="957" t="s">
        <v>2169</v>
      </c>
      <c r="B33" s="2445"/>
      <c r="C33" s="2446" t="s">
        <v>3168</v>
      </c>
      <c r="D33" s="2447" t="s">
        <v>3107</v>
      </c>
      <c r="E33" s="2448" t="s">
        <v>2170</v>
      </c>
      <c r="F33" s="2449" t="str">
        <f>IF(D32="楼面单价","取值（单价）","取值（总价）")</f>
        <v>取值（总价）</v>
      </c>
      <c r="G33" s="136"/>
      <c r="H33" s="136"/>
      <c r="I33" s="136"/>
    </row>
    <row r="34" spans="1:15" ht="15">
      <c r="A34" s="2450"/>
      <c r="B34" s="2451" t="s">
        <v>2171</v>
      </c>
      <c r="C34" s="156">
        <f ca="1">IF(C33="自定义",F34,C32-C35)</f>
        <v>81263</v>
      </c>
      <c r="D34" s="1055">
        <f ca="1">IF(C33="自定义",ROUND(C34/C32,3),IF(C33="收益比率",SUMIF(INDIRECT("'"&amp;D33&amp;"'"&amp;"!b:b"),"土地收益比率",INDIRECT("'"&amp;D33&amp;"'"&amp;"!c:c")),SUMIF(INDIRECT("'"&amp;D33&amp;"'"&amp;"!b:b"),"土地成本比率",INDIRECT("'"&amp;D33&amp;"'"&amp;"!c:c"))))</f>
        <v>0.97399999999999998</v>
      </c>
      <c r="E34" s="2452" t="s">
        <v>2172</v>
      </c>
      <c r="F34" s="1735"/>
      <c r="G34" s="136"/>
      <c r="H34" s="136"/>
      <c r="I34" s="136"/>
    </row>
    <row r="35" spans="1:15" ht="15.75" thickBot="1">
      <c r="A35" s="2453"/>
      <c r="B35" s="2454" t="s">
        <v>2173</v>
      </c>
      <c r="C35" s="1440">
        <f ca="1">IF(C33="自定义",F35,ROUND(C32*D35,0))</f>
        <v>2169</v>
      </c>
      <c r="D35" s="1441">
        <f ca="1">IF(C33="自定义",ROUND(C35/C32,3),IF(C33="收益比率",SUMIF(INDIRECT("'"&amp;D33&amp;"'"&amp;"!b:b"),"建筑物收益比率",INDIRECT("'"&amp;D33&amp;"'"&amp;"!c:c")),SUMIF(INDIRECT("'"&amp;D33&amp;"'"&amp;"!b:b"),"建筑物成本比率",INDIRECT("'"&amp;D33&amp;"'"&amp;"!c:c"))))</f>
        <v>2.5999999999999999E-2</v>
      </c>
      <c r="E35" s="2455" t="s">
        <v>2174</v>
      </c>
      <c r="F35" s="162"/>
      <c r="G35" s="136"/>
      <c r="H35" s="136"/>
      <c r="I35" s="136"/>
    </row>
    <row r="36" spans="1:15" ht="15.75" thickBot="1">
      <c r="A36" s="3098" t="s">
        <v>2175</v>
      </c>
      <c r="B36" s="2456" t="s">
        <v>2176</v>
      </c>
      <c r="C36" s="153"/>
      <c r="D36" s="2457"/>
      <c r="E36" s="2458"/>
      <c r="F36" s="2459"/>
      <c r="G36" s="136"/>
      <c r="H36" s="136"/>
      <c r="I36" s="136"/>
    </row>
    <row r="37" spans="1:15" ht="15.75" thickBot="1">
      <c r="A37" s="3099"/>
      <c r="B37" s="2261" t="s">
        <v>2177</v>
      </c>
      <c r="C37" s="155"/>
      <c r="D37" s="1391"/>
      <c r="E37" s="1391"/>
      <c r="F37" s="2459"/>
      <c r="G37" s="136"/>
      <c r="H37" s="136"/>
      <c r="I37" s="136"/>
    </row>
    <row r="38" spans="1:15" ht="15.75" thickBot="1">
      <c r="A38" s="3100"/>
      <c r="B38" s="2460" t="s">
        <v>2178</v>
      </c>
      <c r="C38" s="725"/>
      <c r="D38" s="2461" t="s">
        <v>2179</v>
      </c>
      <c r="E38" s="1391"/>
      <c r="F38" s="2459"/>
      <c r="G38" s="136"/>
      <c r="H38" s="136"/>
      <c r="I38" s="136"/>
    </row>
    <row r="39" spans="1:15" ht="15">
      <c r="A39" s="2432" t="s">
        <v>2180</v>
      </c>
      <c r="B39" s="2462" t="s">
        <v>2181</v>
      </c>
      <c r="C39" s="2463" t="s">
        <v>2182</v>
      </c>
      <c r="D39" s="2463" t="s">
        <v>2183</v>
      </c>
      <c r="E39" s="2464" t="s">
        <v>2184</v>
      </c>
      <c r="F39" s="2459"/>
      <c r="G39" s="136"/>
      <c r="H39" s="136"/>
      <c r="I39" s="136"/>
    </row>
    <row r="40" spans="1:15" ht="14.25">
      <c r="A40" s="2465" t="s">
        <v>2185</v>
      </c>
      <c r="B40" s="157"/>
      <c r="C40" s="158"/>
      <c r="D40" s="158"/>
      <c r="E40" s="159"/>
      <c r="F40" s="2459"/>
      <c r="G40" s="136"/>
      <c r="H40" s="136"/>
      <c r="I40" s="136"/>
    </row>
    <row r="41" spans="1:15" ht="14.25">
      <c r="A41" s="2465" t="s">
        <v>2186</v>
      </c>
      <c r="B41" s="157"/>
      <c r="C41" s="158"/>
      <c r="D41" s="158"/>
      <c r="E41" s="159"/>
      <c r="F41" s="2459"/>
      <c r="G41" s="136"/>
      <c r="H41" s="136"/>
      <c r="I41" s="136"/>
    </row>
    <row r="42" spans="1:15" ht="15" thickBot="1">
      <c r="A42" s="2466"/>
      <c r="B42" s="160"/>
      <c r="C42" s="161"/>
      <c r="D42" s="161"/>
      <c r="E42" s="162"/>
      <c r="F42" s="2459"/>
      <c r="G42" s="136"/>
      <c r="H42" s="136"/>
      <c r="I42" s="136"/>
    </row>
    <row r="43" spans="1:15" ht="12.75">
      <c r="A43" s="2160"/>
      <c r="B43" s="2160"/>
      <c r="C43" s="2160"/>
      <c r="D43" s="2160"/>
      <c r="E43" s="2160"/>
      <c r="F43" s="2467"/>
      <c r="G43" s="2467"/>
      <c r="H43" s="2467"/>
      <c r="I43" s="2468"/>
    </row>
    <row r="44" spans="1:15" ht="18.75">
      <c r="A44" s="2469" t="s">
        <v>2187</v>
      </c>
      <c r="B44" s="2470"/>
      <c r="C44" s="2470"/>
      <c r="D44" s="2471"/>
      <c r="E44" s="2471"/>
      <c r="F44" s="2472"/>
      <c r="G44" s="2472"/>
      <c r="H44" s="2472"/>
      <c r="I44" s="2472"/>
      <c r="J44" s="2473" t="s">
        <v>2188</v>
      </c>
      <c r="K44" s="2474"/>
      <c r="L44" s="2474"/>
      <c r="M44" s="2474"/>
      <c r="N44" s="2474"/>
      <c r="O44" s="2474"/>
    </row>
    <row r="45" spans="1:15" ht="14.25" customHeight="1" thickBot="1">
      <c r="A45" s="3077" t="s">
        <v>2189</v>
      </c>
      <c r="B45" s="3078"/>
      <c r="C45" s="3079"/>
      <c r="D45" s="163">
        <f ca="1">ROUND(H101*F45,0)</f>
        <v>83432</v>
      </c>
      <c r="E45" s="164" t="s">
        <v>2190</v>
      </c>
      <c r="F45" s="165">
        <v>1</v>
      </c>
      <c r="G45" s="166" t="s">
        <v>2191</v>
      </c>
      <c r="H45" s="136"/>
      <c r="I45" s="136"/>
      <c r="J45" s="3137" t="s">
        <v>2192</v>
      </c>
      <c r="K45" s="3137"/>
      <c r="L45" s="3137"/>
      <c r="M45" s="3137"/>
      <c r="N45" s="3137"/>
      <c r="O45" s="3137"/>
    </row>
    <row r="46" spans="1:15" ht="14.25" customHeight="1">
      <c r="A46" s="3074" t="s">
        <v>2193</v>
      </c>
      <c r="B46" s="3075"/>
      <c r="C46" s="3075"/>
      <c r="D46" s="3075"/>
      <c r="E46" s="3075"/>
      <c r="F46" s="3075"/>
      <c r="G46" s="3076"/>
      <c r="H46" s="2475"/>
      <c r="I46" s="167"/>
      <c r="J46" s="1808">
        <v>1</v>
      </c>
      <c r="K46" s="3137" t="s">
        <v>2194</v>
      </c>
      <c r="L46" s="3137"/>
      <c r="M46" s="3157"/>
      <c r="N46" s="3157"/>
      <c r="O46" s="3157"/>
    </row>
    <row r="47" spans="1:15" ht="12" customHeight="1">
      <c r="A47" s="168" t="s">
        <v>2195</v>
      </c>
      <c r="B47" s="169"/>
      <c r="C47" s="170"/>
      <c r="D47" s="171" t="s">
        <v>2196</v>
      </c>
      <c r="E47" s="24" t="s">
        <v>2197</v>
      </c>
      <c r="F47" s="172" t="s">
        <v>2198</v>
      </c>
      <c r="G47" s="173" t="s">
        <v>2199</v>
      </c>
      <c r="H47" s="2475"/>
      <c r="I47" s="167"/>
      <c r="J47" s="1808">
        <v>2</v>
      </c>
      <c r="K47" s="3137" t="s">
        <v>2200</v>
      </c>
      <c r="L47" s="3137"/>
      <c r="M47" s="3158">
        <f>'数据-取费表'!B2</f>
        <v>43056</v>
      </c>
      <c r="N47" s="3158"/>
      <c r="O47" s="3158"/>
    </row>
    <row r="48" spans="1:15" ht="25.5">
      <c r="A48" s="3105" t="s">
        <v>2201</v>
      </c>
      <c r="B48" s="3088"/>
      <c r="C48" s="3088"/>
      <c r="D48" s="138">
        <f>IF(H48="情况1",0,IF(H48="情况2",D52,IF(H48="情况3",D53,IF(H48="情况4",D54))))</f>
        <v>0</v>
      </c>
      <c r="E48" s="1797" t="str">
        <f>IF(H48="情况4","(销售额-原购置价)×税（费）率","销售额×税（费）率")</f>
        <v>销售额×税（费）率</v>
      </c>
      <c r="F48" s="174" t="str">
        <f>IF(H48="情况1","免征",'数据-取费表'!B41)</f>
        <v>免征</v>
      </c>
      <c r="G48" s="2476" t="s">
        <v>2202</v>
      </c>
      <c r="H48" s="2477" t="s">
        <v>2203</v>
      </c>
      <c r="I48" s="2475"/>
      <c r="J48" s="1808">
        <v>3</v>
      </c>
      <c r="K48" s="3137" t="s">
        <v>2204</v>
      </c>
      <c r="L48" s="3137"/>
      <c r="M48" s="3159">
        <f ca="1">H101</f>
        <v>83432</v>
      </c>
      <c r="N48" s="3159"/>
      <c r="O48" s="3159"/>
    </row>
    <row r="49" spans="1:35" ht="25.5" customHeight="1">
      <c r="A49" s="175" t="s">
        <v>2205</v>
      </c>
      <c r="B49" s="3073" t="s">
        <v>2206</v>
      </c>
      <c r="C49" s="3073"/>
      <c r="D49" s="176">
        <v>0</v>
      </c>
      <c r="E49" s="23" t="s">
        <v>2207</v>
      </c>
      <c r="F49" s="28" t="s">
        <v>34</v>
      </c>
      <c r="G49" s="3143"/>
      <c r="H49" s="136"/>
      <c r="I49" s="2478"/>
      <c r="J49" s="1808">
        <v>4</v>
      </c>
      <c r="K49" s="3137" t="str">
        <f>IF(项目基本情况!E8="房地产抵押价值","房地产抵押价值","抵押担保权已注销时的房地产抵押价值")</f>
        <v>抵押担保权已注销时的房地产抵押价值</v>
      </c>
      <c r="L49" s="3137"/>
      <c r="M49" s="3159">
        <f ca="1">IF(项目基本情况!E8="房地产抵押价值",H107,H109)</f>
        <v>83432</v>
      </c>
      <c r="N49" s="3159"/>
      <c r="O49" s="3159"/>
    </row>
    <row r="50" spans="1:35" ht="25.5" customHeight="1">
      <c r="A50" s="177"/>
      <c r="B50" s="3073" t="s">
        <v>2208</v>
      </c>
      <c r="C50" s="3073"/>
      <c r="D50" s="178"/>
      <c r="E50" s="31"/>
      <c r="F50" s="179"/>
      <c r="G50" s="3144"/>
      <c r="H50" s="136"/>
      <c r="I50" s="2478"/>
      <c r="J50" s="3137" t="s">
        <v>2209</v>
      </c>
      <c r="K50" s="3137"/>
      <c r="L50" s="3137"/>
      <c r="M50" s="3137"/>
      <c r="N50" s="3137"/>
      <c r="O50" s="3137"/>
    </row>
    <row r="51" spans="1:35" ht="12" customHeight="1">
      <c r="A51" s="180"/>
      <c r="B51" s="3073" t="s">
        <v>2210</v>
      </c>
      <c r="C51" s="3073"/>
      <c r="D51" s="181"/>
      <c r="E51" s="30"/>
      <c r="F51" s="179"/>
      <c r="G51" s="3145"/>
      <c r="H51" s="136"/>
      <c r="I51" s="2478"/>
      <c r="J51" s="2479" t="s">
        <v>2211</v>
      </c>
      <c r="K51" s="3137" t="s">
        <v>2212</v>
      </c>
      <c r="L51" s="3137"/>
      <c r="M51" s="2479" t="s">
        <v>2213</v>
      </c>
      <c r="N51" s="2479" t="s">
        <v>2214</v>
      </c>
      <c r="O51" s="2479" t="s">
        <v>2215</v>
      </c>
    </row>
    <row r="52" spans="1:35" ht="24" customHeight="1">
      <c r="A52" s="182" t="s">
        <v>2216</v>
      </c>
      <c r="B52" s="3073" t="s">
        <v>2217</v>
      </c>
      <c r="C52" s="3073"/>
      <c r="D52" s="181">
        <f ca="1">ROUND(D45*'数据-取费表'!B41/(1+'数据-取费表'!C42),0)</f>
        <v>4450</v>
      </c>
      <c r="E52" s="11" t="s">
        <v>2218</v>
      </c>
      <c r="F52" s="183">
        <f>'数据-取费表'!B41</f>
        <v>5.6000000000000001E-2</v>
      </c>
      <c r="G52" s="2480"/>
      <c r="H52" s="136"/>
      <c r="I52" s="2478"/>
      <c r="J52" s="1808">
        <v>1</v>
      </c>
      <c r="K52" s="3138" t="s">
        <v>2219</v>
      </c>
      <c r="L52" s="3138"/>
      <c r="M52" s="1750">
        <f>D48</f>
        <v>0</v>
      </c>
      <c r="N52" s="1808" t="str">
        <f>E48</f>
        <v>销售额×税（费）率</v>
      </c>
      <c r="O52" s="1751" t="str">
        <f>F48</f>
        <v>免征</v>
      </c>
    </row>
    <row r="53" spans="1:35" ht="12" customHeight="1">
      <c r="A53" s="182" t="s">
        <v>2220</v>
      </c>
      <c r="B53" s="3096" t="s">
        <v>2221</v>
      </c>
      <c r="C53" s="3097"/>
      <c r="D53" s="181">
        <f ca="1">ROUND(D45*'数据-取费表'!B41/(1+'数据-取费表'!C42),0)</f>
        <v>4450</v>
      </c>
      <c r="E53" s="11" t="s">
        <v>2218</v>
      </c>
      <c r="F53" s="183">
        <f>'数据-取费表'!B41</f>
        <v>5.6000000000000001E-2</v>
      </c>
      <c r="G53" s="2480"/>
      <c r="H53" s="136"/>
      <c r="I53" s="2478"/>
      <c r="J53" s="1808">
        <v>2</v>
      </c>
      <c r="K53" s="3138" t="s">
        <v>2222</v>
      </c>
      <c r="L53" s="3138"/>
      <c r="M53" s="1750">
        <f t="shared" ref="M53:O54" ca="1" si="0">D55</f>
        <v>42</v>
      </c>
      <c r="N53" s="1808" t="str">
        <f t="shared" si="0"/>
        <v>销售额×税（费）率</v>
      </c>
      <c r="O53" s="1751">
        <f t="shared" si="0"/>
        <v>5.0000000000000001E-4</v>
      </c>
    </row>
    <row r="54" spans="1:35" ht="12" customHeight="1">
      <c r="A54" s="182" t="s">
        <v>2223</v>
      </c>
      <c r="B54" s="3096" t="s">
        <v>2224</v>
      </c>
      <c r="C54" s="3097"/>
      <c r="D54" s="181">
        <f ca="1">C68</f>
        <v>4450</v>
      </c>
      <c r="E54" s="30" t="s">
        <v>2225</v>
      </c>
      <c r="F54" s="183">
        <f>'数据-取费表'!B41</f>
        <v>5.6000000000000001E-2</v>
      </c>
      <c r="G54" s="2480"/>
      <c r="H54" s="2481"/>
      <c r="I54" s="2478"/>
      <c r="J54" s="1808">
        <v>3</v>
      </c>
      <c r="K54" s="3138" t="s">
        <v>2226</v>
      </c>
      <c r="L54" s="3138"/>
      <c r="M54" s="1750">
        <f t="shared" ca="1" si="0"/>
        <v>47222</v>
      </c>
      <c r="N54" s="1808" t="str">
        <f t="shared" si="0"/>
        <v>增值额×税（费）率</v>
      </c>
      <c r="O54" s="1752" t="str">
        <f t="shared" si="0"/>
        <v>——</v>
      </c>
    </row>
    <row r="55" spans="1:35" ht="24" customHeight="1">
      <c r="A55" s="3087" t="s">
        <v>2227</v>
      </c>
      <c r="B55" s="3088"/>
      <c r="C55" s="3088"/>
      <c r="D55" s="184">
        <f ca="1">IF(H55="个人住宅",0,ROUND(D45*I55,0))</f>
        <v>42</v>
      </c>
      <c r="E55" s="11" t="s">
        <v>2228</v>
      </c>
      <c r="F55" s="183">
        <f>IF(H55="正常",I55,"免征")</f>
        <v>5.0000000000000001E-4</v>
      </c>
      <c r="G55" s="2480"/>
      <c r="H55" s="2477" t="s">
        <v>2229</v>
      </c>
      <c r="I55" s="185">
        <f>'数据-取费表'!B49</f>
        <v>5.0000000000000001E-4</v>
      </c>
      <c r="J55" s="1808" t="str">
        <f>IF(H59="非个人房产","",4)</f>
        <v/>
      </c>
      <c r="K55" s="3138" t="str">
        <f>IF(H59="非个人房产","——","个人所得税")</f>
        <v>——</v>
      </c>
      <c r="L55" s="3138"/>
      <c r="M55" s="1753" t="str">
        <f>D59</f>
        <v>——</v>
      </c>
      <c r="N55" s="1806" t="str">
        <f>E59</f>
        <v>——</v>
      </c>
      <c r="O55" s="1754" t="str">
        <f>F59</f>
        <v>——</v>
      </c>
    </row>
    <row r="56" spans="1:35" ht="24.75">
      <c r="A56" s="3087" t="s">
        <v>2230</v>
      </c>
      <c r="B56" s="3088"/>
      <c r="C56" s="3088"/>
      <c r="D56" s="184">
        <f ca="1">IF(H56="个人住宅",D57,D58)</f>
        <v>47222</v>
      </c>
      <c r="E56" s="11" t="s">
        <v>2231</v>
      </c>
      <c r="F56" s="183" t="str">
        <f>IF(H56="正常",F58,"免征")</f>
        <v>——</v>
      </c>
      <c r="G56" s="2482" t="s">
        <v>2232</v>
      </c>
      <c r="H56" s="2483" t="s">
        <v>2229</v>
      </c>
      <c r="I56" s="2484"/>
      <c r="J56" s="1808" t="str">
        <f>IF(项目基本情况!K6="上海银行",IF(J55="",4,J55+1),"")</f>
        <v/>
      </c>
      <c r="K56" s="3161" t="str">
        <f>IF(项目基本情况!K6="上海银行","其他处置费用","")</f>
        <v/>
      </c>
      <c r="L56" s="3162"/>
      <c r="M56" s="1750" t="str">
        <f>IF(项目基本情况!K6="上海银行",M69,"")</f>
        <v/>
      </c>
      <c r="N56" s="3164" t="str">
        <f>IF(项目基本情况!K6="上海银行","包含处置中涉及的律师、诉讼、拍卖、评估等费用","")</f>
        <v/>
      </c>
      <c r="O56" s="3165"/>
    </row>
    <row r="57" spans="1:35" ht="12.75">
      <c r="A57" s="182" t="s">
        <v>2205</v>
      </c>
      <c r="B57" s="3103" t="s">
        <v>2233</v>
      </c>
      <c r="C57" s="3112"/>
      <c r="D57" s="186">
        <v>0</v>
      </c>
      <c r="E57" s="23" t="s">
        <v>2207</v>
      </c>
      <c r="F57" s="154"/>
      <c r="G57" s="2480"/>
      <c r="H57" s="2484"/>
      <c r="I57" s="2484"/>
      <c r="J57" s="3138">
        <f>IF(AND(J55="",J56=""),4,IF(项目基本情况!K6="上海银行",结果表!J56+1,结果表!J55+1))</f>
        <v>4</v>
      </c>
      <c r="K57" s="3138" t="s">
        <v>2234</v>
      </c>
      <c r="L57" s="2485" t="s">
        <v>2235</v>
      </c>
      <c r="M57" s="1755"/>
      <c r="N57" s="1756">
        <f ca="1">SUMIF(M52:M56,"&lt;9e307")</f>
        <v>47264</v>
      </c>
      <c r="O57" s="2486"/>
      <c r="P57" s="1749">
        <f ca="1">N57/M49</f>
        <v>0.56649726723559302</v>
      </c>
    </row>
    <row r="58" spans="1:35" ht="24.75">
      <c r="A58" s="182" t="s">
        <v>2216</v>
      </c>
      <c r="B58" s="3103" t="s">
        <v>2236</v>
      </c>
      <c r="C58" s="3104"/>
      <c r="D58" s="184">
        <f ca="1">IF(H58="转让取得",C81,C97)</f>
        <v>47222</v>
      </c>
      <c r="E58" s="11" t="s">
        <v>2231</v>
      </c>
      <c r="F58" s="24" t="s">
        <v>34</v>
      </c>
      <c r="G58" s="2480"/>
      <c r="H58" s="2483" t="s">
        <v>2237</v>
      </c>
      <c r="I58" s="2484"/>
      <c r="J58" s="3138"/>
      <c r="K58" s="3138"/>
      <c r="L58" s="2485" t="s">
        <v>2238</v>
      </c>
      <c r="M58" s="1757"/>
      <c r="N58" s="2487" t="str">
        <f ca="1">NUMBERSTRING(INT(N57*10000),2)&amp;"元整"</f>
        <v>肆亿柒仟贰佰陆拾肆万元整</v>
      </c>
      <c r="O58" s="2488"/>
    </row>
    <row r="59" spans="1:35" ht="24.75" thickBot="1">
      <c r="A59" s="3141" t="s">
        <v>2239</v>
      </c>
      <c r="B59" s="3142"/>
      <c r="C59" s="3142"/>
      <c r="D59" s="187" t="str">
        <f>IF(H59="非个人房产","——",IF(H59="个人住宅",0,ROUND(D45*I59,0)))</f>
        <v>——</v>
      </c>
      <c r="E59" s="188" t="str">
        <f>IF(H59="非个人房产","——","销售额×税（费）率")</f>
        <v>——</v>
      </c>
      <c r="F59" s="189" t="str">
        <f>IF(H59="非个人房产","——",IF(H59="个人住宅","免征",I59))</f>
        <v>——</v>
      </c>
      <c r="G59" s="2489" t="s">
        <v>2232</v>
      </c>
      <c r="H59" s="2483" t="s">
        <v>2240</v>
      </c>
      <c r="I59" s="190">
        <v>0.01</v>
      </c>
      <c r="J59" s="3139">
        <f>J57+1</f>
        <v>5</v>
      </c>
      <c r="K59" s="3138" t="s">
        <v>2241</v>
      </c>
      <c r="L59" s="1808" t="s">
        <v>2235</v>
      </c>
      <c r="M59" s="1758"/>
      <c r="N59" s="1759">
        <f ca="1">M49-N57</f>
        <v>36168</v>
      </c>
      <c r="O59" s="2490"/>
    </row>
    <row r="60" spans="1:35" ht="12" customHeight="1">
      <c r="A60" s="2491"/>
      <c r="B60" s="2413"/>
      <c r="C60" s="2413"/>
      <c r="D60" s="2413"/>
      <c r="E60" s="2161"/>
      <c r="F60" s="2484"/>
      <c r="G60" s="2484"/>
      <c r="H60" s="2492"/>
      <c r="I60" s="136"/>
      <c r="J60" s="3140"/>
      <c r="K60" s="3138"/>
      <c r="L60" s="2485" t="s">
        <v>2238</v>
      </c>
      <c r="M60" s="1757"/>
      <c r="N60" s="2487" t="str">
        <f ca="1">NUMBERSTRING(INT(N59*10000),2)&amp;"元整"</f>
        <v>叁亿陆仟壹佰陆拾捌万元整</v>
      </c>
      <c r="O60" s="2488"/>
    </row>
    <row r="61" spans="1:35" ht="13.5" thickBot="1">
      <c r="A61" s="3085" t="s">
        <v>2242</v>
      </c>
      <c r="B61" s="3085"/>
      <c r="C61" s="3085"/>
      <c r="D61" s="3085"/>
      <c r="E61" s="3085"/>
      <c r="F61" s="2484"/>
      <c r="G61" s="2484"/>
      <c r="H61" s="2492"/>
      <c r="I61" s="136"/>
      <c r="J61" s="1808">
        <f>J59+1</f>
        <v>6</v>
      </c>
      <c r="K61" s="3138" t="s">
        <v>2243</v>
      </c>
      <c r="L61" s="3138"/>
      <c r="M61" s="1760"/>
      <c r="N61" s="1761">
        <f ca="1">ROUND(N59*10000/'数据-汇总表'!E3,0)</f>
        <v>5601</v>
      </c>
      <c r="O61" s="2493"/>
    </row>
    <row r="62" spans="1:35" ht="12.75">
      <c r="A62" s="3101" t="s">
        <v>2244</v>
      </c>
      <c r="B62" s="3102"/>
      <c r="C62" s="1800"/>
      <c r="D62" s="1800" t="s">
        <v>2245</v>
      </c>
      <c r="E62" s="191" t="s">
        <v>2246</v>
      </c>
      <c r="F62" s="2484"/>
      <c r="G62" s="2484"/>
      <c r="H62" s="2492"/>
      <c r="I62" s="136"/>
    </row>
    <row r="63" spans="1:35" ht="12.75">
      <c r="A63" s="202" t="s">
        <v>775</v>
      </c>
      <c r="B63" s="192" t="s">
        <v>2247</v>
      </c>
      <c r="C63" s="193">
        <f ca="1">ROUND((C64+C65)/(1+'数据-取费表'!C42),0)</f>
        <v>79459</v>
      </c>
      <c r="D63" s="194"/>
      <c r="E63" s="195"/>
      <c r="F63" s="2484"/>
      <c r="G63" s="2484"/>
      <c r="H63" s="2492"/>
      <c r="I63" s="136"/>
      <c r="J63" s="3163" t="s">
        <v>2248</v>
      </c>
      <c r="K63" s="2494" t="s">
        <v>2249</v>
      </c>
      <c r="L63" s="1748">
        <f ca="1">IF(M49&gt;10000,M49*0.5%,IF(AND(M49&gt;1000,M49&lt;=10000),M49*1%,IF(AND(M49&gt;100,M49&lt;=1000),M49*3%,IF(AND(M49&gt;10,M49&lt;=100),M49*5%,M49*8%))))</f>
        <v>417.16</v>
      </c>
      <c r="M63" s="24">
        <f ca="1">ROUND(L63,1)</f>
        <v>417.2</v>
      </c>
      <c r="Z63" s="2418"/>
      <c r="AI63" s="2419"/>
    </row>
    <row r="64" spans="1:35" ht="14.25" customHeight="1">
      <c r="A64" s="196" t="s">
        <v>770</v>
      </c>
      <c r="B64" s="197" t="s">
        <v>2250</v>
      </c>
      <c r="C64" s="198">
        <f ca="1">D45</f>
        <v>83432</v>
      </c>
      <c r="D64" s="199" t="s">
        <v>32</v>
      </c>
      <c r="E64" s="200"/>
      <c r="F64" s="2484"/>
      <c r="G64" s="2484"/>
      <c r="H64" s="2492"/>
      <c r="I64" s="136"/>
      <c r="J64" s="3163"/>
      <c r="K64" s="2494" t="s">
        <v>2251</v>
      </c>
      <c r="L64" s="1748">
        <f ca="1">IF(M49&gt;2000,M49*0.5%,IF(AND(M49&gt;1000,M49&lt;=2000),M49*0.6%,IF(AND(M49&gt;500,M49&lt;=1000),M49*0.7%,IF(AND(M49&gt;200,M49&lt;=500),M49*0.8%,IF(AND(M49&gt;100,M49&lt;=200),M49*0.9%,IF(AND(M49&gt;50,M49&lt;=100),M49*1%,IF(AND(M49&gt;20,M49&lt;=50),M49*1.5%,IF(AND(M49&gt;10,M49&lt;=20),M49*2%,IF(AND(M49&gt;1,M49&lt;=10),M49*2.5%)))))))))</f>
        <v>417.16</v>
      </c>
      <c r="M64" s="24">
        <f t="shared" ref="M64:M65" ca="1" si="1">ROUND(L64,1)</f>
        <v>417.2</v>
      </c>
      <c r="N64" s="136" t="s">
        <v>2252</v>
      </c>
      <c r="Z64" s="2418"/>
      <c r="AI64" s="2419"/>
    </row>
    <row r="65" spans="1:35" ht="14.25" customHeight="1">
      <c r="A65" s="196" t="s">
        <v>771</v>
      </c>
      <c r="B65" s="197" t="s">
        <v>2253</v>
      </c>
      <c r="C65" s="201"/>
      <c r="D65" s="199"/>
      <c r="E65" s="200"/>
      <c r="F65" s="2484"/>
      <c r="G65" s="2484"/>
      <c r="H65" s="2492"/>
      <c r="I65" s="136"/>
      <c r="J65" s="3163"/>
      <c r="K65" s="2494" t="s">
        <v>2254</v>
      </c>
      <c r="L65" s="1748">
        <f ca="1">IF(M49&gt;1000,M49*0.1%,IF(AND(M49&gt;500,M49&lt;=1000),M49*0.5%,IF(AND(M49&gt;50,M49&lt;=500),M49*1%,IF(AND(M49&gt;1,M49&lt;=50),M49*1.5%))))</f>
        <v>83.432000000000002</v>
      </c>
      <c r="M65" s="24">
        <f t="shared" ca="1" si="1"/>
        <v>83.4</v>
      </c>
      <c r="N65" s="136" t="s">
        <v>2252</v>
      </c>
      <c r="Z65" s="2418"/>
      <c r="AI65" s="2419"/>
    </row>
    <row r="66" spans="1:35" ht="14.25" customHeight="1">
      <c r="A66" s="202" t="s">
        <v>772</v>
      </c>
      <c r="B66" s="203" t="s">
        <v>2255</v>
      </c>
      <c r="C66" s="204"/>
      <c r="D66" s="205" t="s">
        <v>32</v>
      </c>
      <c r="E66" s="1772" t="s">
        <v>1372</v>
      </c>
      <c r="F66" s="2484"/>
      <c r="G66" s="2484"/>
      <c r="H66" s="2492"/>
      <c r="I66" s="136"/>
      <c r="J66" s="3163"/>
      <c r="K66" s="2494" t="s">
        <v>2256</v>
      </c>
      <c r="L66" s="1748">
        <f ca="1">M49*0.5%</f>
        <v>417.16</v>
      </c>
      <c r="M66" s="24">
        <f ca="1">IF(L66&gt;0.5,0.5,ROUND(L66,0))</f>
        <v>0.5</v>
      </c>
      <c r="N66" s="136" t="s">
        <v>2257</v>
      </c>
      <c r="Z66" s="2418"/>
      <c r="AI66" s="2419"/>
    </row>
    <row r="67" spans="1:35" ht="14.25" customHeight="1">
      <c r="A67" s="202" t="s">
        <v>773</v>
      </c>
      <c r="B67" s="203" t="s">
        <v>2258</v>
      </c>
      <c r="C67" s="206">
        <f ca="1">C63-C66</f>
        <v>79459</v>
      </c>
      <c r="D67" s="199" t="s">
        <v>32</v>
      </c>
      <c r="E67" s="200"/>
      <c r="F67" s="2484"/>
      <c r="G67" s="2484"/>
      <c r="H67" s="2492"/>
      <c r="I67" s="136"/>
      <c r="J67" s="3163"/>
      <c r="K67" s="2494" t="s">
        <v>2259</v>
      </c>
      <c r="L67" s="1748">
        <f ca="1">IF(M49&gt;=10000,(8.25+(M49-10000)*0.01%),IF(AND(M49&gt;=8000,M49&lt;10000),(7.85+(M49-8000)*0.02%),IF(AND(M49&gt;=5000,M49&lt;8000),(6.65+(M49-5000)*0.04%),IF(AND(M49&gt;=2000,M49&lt;5000),(4.25+(PM49-2000)*0.08%),IF(AND(M49&gt;=1000,M49&lt;2000),(2.75+(M49-1000)*0.15%),IF(AND(M49&gt;=100,M49&lt;1000),(0.5+(M49-100)*0.25%),IF(AND(M49&gt;0,M49&lt;100),M49*0.5%)))))))</f>
        <v>15.5932</v>
      </c>
      <c r="M67" s="24">
        <f ca="1">ROUND(L67*0.9,1)</f>
        <v>14</v>
      </c>
      <c r="Z67" s="2418"/>
      <c r="AI67" s="2419"/>
    </row>
    <row r="68" spans="1:35" ht="14.25" customHeight="1" thickBot="1">
      <c r="A68" s="207" t="s">
        <v>774</v>
      </c>
      <c r="B68" s="208" t="s">
        <v>2260</v>
      </c>
      <c r="C68" s="209">
        <f ca="1">IF(C67&lt;=0,0,ROUND(C67*D68,0))</f>
        <v>4450</v>
      </c>
      <c r="D68" s="210">
        <f>'数据-取费表'!B41</f>
        <v>5.6000000000000001E-2</v>
      </c>
      <c r="E68" s="211"/>
      <c r="F68" s="2484"/>
      <c r="G68" s="2484"/>
      <c r="H68" s="2492"/>
      <c r="I68" s="136"/>
      <c r="J68" s="3163"/>
      <c r="K68" s="2494" t="s">
        <v>2261</v>
      </c>
      <c r="L68" s="1748">
        <f ca="1">IF(M49&gt;10000,M49*0.5%,IF(AND(M49&gt;5000,M49&lt;=10000),M49*1%,IF(AND(M49&gt;1000,M49&lt;=5000),M49*2%,IF(AND(M49&gt;200,M49&lt;=1000),M49*3%,M49*5%))))</f>
        <v>417.16</v>
      </c>
      <c r="M68" s="24">
        <f ca="1">ROUND(L68,1)</f>
        <v>417.2</v>
      </c>
      <c r="Z68" s="2418"/>
      <c r="AI68" s="2419"/>
    </row>
    <row r="69" spans="1:35" s="2441" customFormat="1" ht="16.5" customHeight="1">
      <c r="A69" s="2495"/>
      <c r="B69" s="2496"/>
      <c r="C69" s="2497"/>
      <c r="D69" s="2498"/>
      <c r="E69" s="2499"/>
      <c r="F69" s="2161"/>
      <c r="G69" s="2161"/>
      <c r="H69" s="2160"/>
      <c r="I69" s="2413"/>
      <c r="J69" s="3163"/>
      <c r="K69" s="2494" t="s">
        <v>2262</v>
      </c>
      <c r="L69" s="2500"/>
      <c r="M69" s="24">
        <f ca="1">ROUND(SUM(M63:M68),0)</f>
        <v>1350</v>
      </c>
      <c r="N69" s="1749">
        <f ca="1">M69/M49</f>
        <v>1.6180841883210281E-2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22" t="s">
        <v>2263</v>
      </c>
      <c r="B70" s="3123"/>
      <c r="C70" s="3123"/>
      <c r="D70" s="3123"/>
      <c r="E70" s="3123"/>
      <c r="F70" s="3123"/>
      <c r="G70" s="3123"/>
      <c r="H70" s="3123"/>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1" t="s">
        <v>2244</v>
      </c>
      <c r="B71" s="3102"/>
      <c r="C71" s="1800"/>
      <c r="D71" s="1800" t="s">
        <v>2245</v>
      </c>
      <c r="E71" s="212" t="s">
        <v>2246</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2264</v>
      </c>
      <c r="C72" s="206">
        <f ca="1">ROUND(D45/(1+'数据-取费表'!C42),0)</f>
        <v>79459</v>
      </c>
      <c r="D72" s="199" t="s">
        <v>32</v>
      </c>
      <c r="E72" s="1799"/>
      <c r="F72" s="1793"/>
      <c r="G72" s="1793"/>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2265</v>
      </c>
      <c r="C73" s="206">
        <f ca="1">C74+C78</f>
        <v>477</v>
      </c>
      <c r="D73" s="199" t="s">
        <v>32</v>
      </c>
      <c r="E73" s="1799"/>
      <c r="F73" s="1793"/>
      <c r="G73" s="1793"/>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2266</v>
      </c>
      <c r="C74" s="199">
        <f>ROUND(IF(G77="2016年5月1日后购买",C75/(1+'数据-取费表'!C42)+C76+C77,C75+C76+C77),0)</f>
        <v>0</v>
      </c>
      <c r="D74" s="199" t="s">
        <v>32</v>
      </c>
      <c r="E74" s="1799"/>
      <c r="F74" s="1793"/>
      <c r="G74" s="1793"/>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2267</v>
      </c>
      <c r="C75" s="217"/>
      <c r="D75" s="199" t="s">
        <v>32</v>
      </c>
      <c r="E75" s="218" t="s">
        <v>2268</v>
      </c>
      <c r="F75" s="2506" t="s">
        <v>2269</v>
      </c>
      <c r="G75" s="218" t="s">
        <v>2270</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2271</v>
      </c>
      <c r="C76" s="199">
        <f>IF(F75="购房发票",ROUND(C75*H75*D76,0),0)</f>
        <v>0</v>
      </c>
      <c r="D76" s="221">
        <v>0.05</v>
      </c>
      <c r="E76" s="3096" t="s">
        <v>2272</v>
      </c>
      <c r="F76" s="3073"/>
      <c r="G76" s="3073"/>
      <c r="H76" s="3121"/>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2273</v>
      </c>
      <c r="C77" s="199">
        <f>ROUND(IF(G77="个人住宅",0,IF(G77="2016年5月1日前购买",C75*D77,C75*D77/(1+'数据-取费表'!C42))),0)</f>
        <v>0</v>
      </c>
      <c r="D77" s="222">
        <f>'数据-取费表'!B48+'数据-取费表'!B49</f>
        <v>4.0500000000000001E-2</v>
      </c>
      <c r="E77" s="15" t="s">
        <v>2274</v>
      </c>
      <c r="F77" s="223"/>
      <c r="G77" s="2508" t="s">
        <v>2275</v>
      </c>
      <c r="H77" s="1804" t="str">
        <f>IF(G77="个人买卖住房","免征印花税"," ")</f>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2276</v>
      </c>
      <c r="C78" s="224">
        <f ca="1">ROUND(D45*D78/(1+'数据-取费表'!C42),0)</f>
        <v>477</v>
      </c>
      <c r="D78" s="225">
        <f>'数据-取费表'!B43</f>
        <v>6.000000000000001E-3</v>
      </c>
      <c r="E78" s="3082" t="s">
        <v>2277</v>
      </c>
      <c r="F78" s="3083"/>
      <c r="G78" s="3083"/>
      <c r="H78" s="3092"/>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2278</v>
      </c>
      <c r="C79" s="206">
        <f ca="1">C72-C73</f>
        <v>78982</v>
      </c>
      <c r="D79" s="199" t="s">
        <v>32</v>
      </c>
      <c r="E79" s="1799"/>
      <c r="F79" s="1793"/>
      <c r="G79" s="1793"/>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2279</v>
      </c>
      <c r="C80" s="226">
        <f ca="1">IF(C79&lt;=0,0,C79/C73)</f>
        <v>165.58071278825994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2280</v>
      </c>
      <c r="C81" s="227">
        <f ca="1">ROUND(IF(C79&lt;=0,0,IF(C80&gt;=200%,C79*60%-C73*35%,IF(C80&gt;=100%,C79*50%-C73*15%,IF(C80&gt;=50%,C79*40%-C73*5%,IF(C80&lt;50%,C79*30%,0))))),0)</f>
        <v>47222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2" t="s">
        <v>2281</v>
      </c>
      <c r="B83" s="3123"/>
      <c r="C83" s="3123"/>
      <c r="D83" s="3123"/>
      <c r="E83" s="3123"/>
      <c r="F83" s="3123"/>
      <c r="G83" s="3123"/>
      <c r="H83" s="3123"/>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1" t="s">
        <v>2244</v>
      </c>
      <c r="B84" s="3102"/>
      <c r="C84" s="1800"/>
      <c r="D84" s="1800" t="s">
        <v>2245</v>
      </c>
      <c r="E84" s="212" t="s">
        <v>2246</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2264</v>
      </c>
      <c r="C85" s="206">
        <f ca="1">ROUND(D45/(1+'数据-取费表'!C42),0)</f>
        <v>79459</v>
      </c>
      <c r="D85" s="199" t="s">
        <v>32</v>
      </c>
      <c r="E85" s="1799"/>
      <c r="F85" s="1793"/>
      <c r="G85" s="1793"/>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2265</v>
      </c>
      <c r="C86" s="206">
        <f ca="1">IF(H88="仅含出让金",C87+C90+C91+C92+C93+C94,C87+C91+C92+C93+C94)</f>
        <v>477</v>
      </c>
      <c r="D86" s="234"/>
      <c r="E86" s="1799"/>
      <c r="F86" s="1793"/>
      <c r="G86" s="1793"/>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2282</v>
      </c>
      <c r="C87" s="224">
        <f>C88+C89</f>
        <v>0</v>
      </c>
      <c r="D87" s="225"/>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2283</v>
      </c>
      <c r="C88" s="235"/>
      <c r="D88" s="225"/>
      <c r="E88" s="236" t="s">
        <v>2284</v>
      </c>
      <c r="F88" s="1796"/>
      <c r="G88" s="237" t="s">
        <v>2285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2273</v>
      </c>
      <c r="C89" s="224">
        <f>ROUND(C88*D89,0)</f>
        <v>0</v>
      </c>
      <c r="D89" s="225">
        <f>'数据-取费表'!B48+'数据-取费表'!B49</f>
        <v>4.0500000000000001E-2</v>
      </c>
      <c r="E89" s="236" t="s">
        <v>2286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2287</v>
      </c>
      <c r="C90" s="235"/>
      <c r="D90" s="225"/>
      <c r="E90" s="236" t="str">
        <f>IF(H88="-","土地取得成本中已包含该笔费用"," ")</f>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2288</v>
      </c>
      <c r="B91" s="197" t="s">
        <v>2289</v>
      </c>
      <c r="C91" s="224">
        <f>IF(H91="——",成本法!C33,I91)</f>
        <v>0</v>
      </c>
      <c r="D91" s="225"/>
      <c r="E91" s="3082" t="s">
        <v>2290</v>
      </c>
      <c r="F91" s="3083"/>
      <c r="G91" s="3083"/>
      <c r="H91" s="2513" t="s">
        <v>2291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2292</v>
      </c>
      <c r="B92" s="197" t="s">
        <v>2293</v>
      </c>
      <c r="C92" s="224">
        <f>ROUND((C87+C90+C91)*D92,0)</f>
        <v>0</v>
      </c>
      <c r="D92" s="225">
        <v>0.1</v>
      </c>
      <c r="E92" s="3082" t="s">
        <v>2294</v>
      </c>
      <c r="F92" s="3083"/>
      <c r="G92" s="3083"/>
      <c r="H92" s="3092"/>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2295</v>
      </c>
      <c r="B93" s="197" t="s">
        <v>2276</v>
      </c>
      <c r="C93" s="224">
        <f ca="1">ROUND(D45*D93/(1+'数据-取费表'!C42),0)</f>
        <v>477</v>
      </c>
      <c r="D93" s="225">
        <f>'数据-取费表'!B43</f>
        <v>6.000000000000001E-3</v>
      </c>
      <c r="E93" s="3082" t="s">
        <v>2277</v>
      </c>
      <c r="F93" s="3083"/>
      <c r="G93" s="3083"/>
      <c r="H93" s="3092"/>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2296</v>
      </c>
      <c r="B94" s="197" t="s">
        <v>2297</v>
      </c>
      <c r="C94" s="235">
        <f>ROUND((C87+C90+C91)*D94,0)</f>
        <v>0</v>
      </c>
      <c r="D94" s="225">
        <v>0.2</v>
      </c>
      <c r="E94" s="3093" t="s">
        <v>2298</v>
      </c>
      <c r="F94" s="3094"/>
      <c r="G94" s="3094"/>
      <c r="H94" s="309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2278</v>
      </c>
      <c r="C95" s="206">
        <f ca="1">ROUND(C85-C86,0)</f>
        <v>78982</v>
      </c>
      <c r="D95" s="199" t="s">
        <v>32</v>
      </c>
      <c r="E95" s="1799"/>
      <c r="F95" s="1793"/>
      <c r="G95" s="1793"/>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2279</v>
      </c>
      <c r="C96" s="226">
        <f ca="1">IF(C95&lt;=0,0,C95/C86)</f>
        <v>165.58071278825994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2280</v>
      </c>
      <c r="C97" s="227">
        <f ca="1">ROUND(IF(C95&lt;=0,0,IF(C96&gt;=200%,C95*60%-C86*35%,IF(C96&gt;=100%,C95*50%-C86*15%,IF(C96&gt;=50%,C95*40%-C86*5%,IF(C96&lt;50%,C95*30%,0))))),0)</f>
        <v>47222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2299</v>
      </c>
      <c r="B99" s="2413"/>
      <c r="C99" s="2413"/>
      <c r="D99" s="2413"/>
      <c r="E99" s="2161"/>
      <c r="F99" s="2161"/>
      <c r="G99" s="2161"/>
      <c r="H99" s="2160"/>
      <c r="I99" s="136"/>
    </row>
    <row r="100" spans="1:35" ht="18.75" customHeight="1">
      <c r="A100" s="3067" t="s">
        <v>2300</v>
      </c>
      <c r="B100" s="3068"/>
      <c r="C100" s="3068"/>
      <c r="D100" s="3084"/>
      <c r="E100" s="3068" t="s">
        <v>2301</v>
      </c>
      <c r="F100" s="3068"/>
      <c r="G100" s="3068"/>
      <c r="H100" s="3084"/>
      <c r="I100" s="136"/>
    </row>
    <row r="101" spans="1:35" ht="18.75" customHeight="1">
      <c r="A101" s="3146" t="s">
        <v>2302</v>
      </c>
      <c r="B101" s="3147"/>
      <c r="C101" s="734" t="str">
        <f>C4</f>
        <v>成本法</v>
      </c>
      <c r="D101" s="735" t="str">
        <f>D4</f>
        <v>假设开发法</v>
      </c>
      <c r="E101" s="3160" t="s">
        <v>2303</v>
      </c>
      <c r="F101" s="3114"/>
      <c r="G101" s="2515" t="s">
        <v>2304</v>
      </c>
      <c r="H101" s="1045">
        <f ca="1">H118</f>
        <v>83432</v>
      </c>
      <c r="I101" s="136"/>
    </row>
    <row r="102" spans="1:35" ht="18.75" customHeight="1">
      <c r="A102" s="3116" t="s">
        <v>2305</v>
      </c>
      <c r="B102" s="2515" t="s">
        <v>2304</v>
      </c>
      <c r="C102" s="734">
        <f ca="1">C19</f>
        <v>89457</v>
      </c>
      <c r="D102" s="735">
        <f ca="1">D19</f>
        <v>77407</v>
      </c>
      <c r="E102" s="3160"/>
      <c r="F102" s="3114"/>
      <c r="G102" s="2515" t="s">
        <v>2306</v>
      </c>
      <c r="H102" s="370">
        <f ca="1">I118</f>
        <v>12921</v>
      </c>
      <c r="I102" s="136"/>
    </row>
    <row r="103" spans="1:35" ht="42.75" customHeight="1">
      <c r="A103" s="3116"/>
      <c r="B103" s="2515" t="s">
        <v>2306</v>
      </c>
      <c r="C103" s="736">
        <f ca="1">C20</f>
        <v>13854</v>
      </c>
      <c r="D103" s="737">
        <f ca="1">D20</f>
        <v>11988</v>
      </c>
      <c r="E103" s="3155" t="s">
        <v>3183</v>
      </c>
      <c r="F103" s="3156"/>
      <c r="G103" s="2516" t="s">
        <v>2307</v>
      </c>
      <c r="H103" s="1045">
        <f>IF(D36="正常操作",H104+H105+H106,H105+H106)</f>
        <v>0</v>
      </c>
      <c r="I103" s="136"/>
    </row>
    <row r="104" spans="1:35" ht="18.75" customHeight="1">
      <c r="A104" s="3116" t="s">
        <v>2308</v>
      </c>
      <c r="B104" s="2517" t="s">
        <v>2304</v>
      </c>
      <c r="C104" s="738">
        <f ca="1">H118</f>
        <v>83432</v>
      </c>
      <c r="D104" s="739"/>
      <c r="E104" s="2261" t="s">
        <v>2309</v>
      </c>
      <c r="F104" s="2253"/>
      <c r="G104" s="2516" t="s">
        <v>2307</v>
      </c>
      <c r="H104" s="1046">
        <f>IF(D36="同一抵押权人同一抵押物续贷",C36&amp;"（未扣减，详见特别提示）",C36)</f>
        <v>0</v>
      </c>
      <c r="I104" s="136"/>
    </row>
    <row r="105" spans="1:35" ht="18.75" customHeight="1" thickBot="1">
      <c r="A105" s="3117"/>
      <c r="B105" s="2518" t="s">
        <v>2306</v>
      </c>
      <c r="C105" s="740">
        <f ca="1">I118</f>
        <v>12921</v>
      </c>
      <c r="D105" s="741"/>
      <c r="E105" s="2261" t="s">
        <v>2310</v>
      </c>
      <c r="F105" s="2253"/>
      <c r="G105" s="2516" t="s">
        <v>2307</v>
      </c>
      <c r="H105" s="1046">
        <f>C37</f>
        <v>0</v>
      </c>
      <c r="I105" s="136"/>
    </row>
    <row r="106" spans="1:35" ht="18.75" customHeight="1">
      <c r="A106" s="2413" t="s">
        <v>2311</v>
      </c>
      <c r="B106" s="2413"/>
      <c r="C106" s="2413"/>
      <c r="D106" s="2413"/>
      <c r="E106" s="2519" t="s">
        <v>2312</v>
      </c>
      <c r="F106" s="2253"/>
      <c r="G106" s="2516" t="s">
        <v>2307</v>
      </c>
      <c r="H106" s="1046">
        <f>C38</f>
        <v>0</v>
      </c>
      <c r="I106" s="136"/>
    </row>
    <row r="107" spans="1:35" ht="18.75" customHeight="1">
      <c r="A107" s="136"/>
      <c r="B107" s="136"/>
      <c r="C107" s="136"/>
      <c r="D107" s="136"/>
      <c r="E107" s="3113" t="str">
        <f>IF(项目基本情况!E8="已注销","——","3.房地产抵押价值")</f>
        <v>——</v>
      </c>
      <c r="F107" s="3114"/>
      <c r="G107" s="2515" t="s">
        <v>2304</v>
      </c>
      <c r="H107" s="1045" t="str">
        <f>IF(E107="——","——",H101-H103)</f>
        <v>——</v>
      </c>
      <c r="I107" s="136"/>
    </row>
    <row r="108" spans="1:35" ht="18.75" customHeight="1">
      <c r="A108" s="136"/>
      <c r="B108" s="136"/>
      <c r="C108" s="136"/>
      <c r="D108" s="136"/>
      <c r="E108" s="3113"/>
      <c r="F108" s="3114"/>
      <c r="G108" s="2515" t="s">
        <v>2306</v>
      </c>
      <c r="H108" s="370" t="e">
        <f>ROUND(H107*10000/'数据-汇总表'!E3,0)</f>
        <v>#VALUE!</v>
      </c>
      <c r="I108" s="136"/>
    </row>
    <row r="109" spans="1:35" ht="18.75" customHeight="1">
      <c r="A109" s="136"/>
      <c r="B109" s="136"/>
      <c r="C109" s="136"/>
      <c r="D109" s="136"/>
      <c r="E109" s="3113" t="str">
        <f>IF(项目基本情况!E8="已注销及未注销","4.抵押担保权已注销时的房地产抵押价值",IF(项目基本情况!E8="已注销","3.抵押担保权已注销时的房地产抵押价值","——"))</f>
        <v>3.抵押担保权已注销时的房地产抵押价值</v>
      </c>
      <c r="F109" s="3114"/>
      <c r="G109" s="2515" t="s">
        <v>2304</v>
      </c>
      <c r="H109" s="347">
        <f ca="1">IF(E109="——","——",H101-H105-H106)</f>
        <v>83432</v>
      </c>
      <c r="I109" s="136"/>
    </row>
    <row r="110" spans="1:35" ht="18.75" customHeight="1">
      <c r="A110" s="136"/>
      <c r="B110" s="136"/>
      <c r="C110" s="136"/>
      <c r="D110" s="136"/>
      <c r="E110" s="3113"/>
      <c r="F110" s="3114"/>
      <c r="G110" s="2515" t="s">
        <v>2306</v>
      </c>
      <c r="H110" s="370">
        <f ca="1">IF(H109="——","——",ROUND(H109*10000/'数据-汇总表'!E3,0))</f>
        <v>12921</v>
      </c>
      <c r="I110" s="136"/>
    </row>
    <row r="111" spans="1:35" ht="18.75" customHeight="1">
      <c r="A111" s="136"/>
      <c r="B111" s="136"/>
      <c r="C111" s="136"/>
      <c r="D111" s="136"/>
      <c r="E111" s="3148" t="str">
        <f>IF(项目基本情况!E9="抵押净值",IF(OR(项目基本情况!E8="已注销",项目基本情况!E8="房地产抵押价值"),"4.抵押净值","5.抵押净值"),"——")</f>
        <v>——</v>
      </c>
      <c r="F111" s="3149"/>
      <c r="G111" s="2515" t="s">
        <v>2304</v>
      </c>
      <c r="H111" s="1045" t="str">
        <f>IF(E111="——","——",N59)</f>
        <v>——</v>
      </c>
      <c r="I111" s="136"/>
    </row>
    <row r="112" spans="1:35" ht="18.75" customHeight="1" thickBot="1">
      <c r="A112" s="136"/>
      <c r="B112" s="136"/>
      <c r="C112" s="136"/>
      <c r="D112" s="136"/>
      <c r="E112" s="3150"/>
      <c r="F112" s="3151"/>
      <c r="G112" s="2520" t="s">
        <v>2306</v>
      </c>
      <c r="H112" s="788" t="str">
        <f>IF(E111="——","——",N61)</f>
        <v>——</v>
      </c>
      <c r="I112" s="136"/>
    </row>
    <row r="113" spans="1:11" ht="18.75" customHeight="1">
      <c r="A113" s="136"/>
      <c r="B113" s="136"/>
      <c r="C113" s="136"/>
      <c r="D113" s="136"/>
      <c r="E113" s="3118" t="s">
        <v>2311</v>
      </c>
      <c r="F113" s="3118"/>
      <c r="G113" s="3118"/>
      <c r="H113" s="3118"/>
      <c r="I113" s="136"/>
    </row>
    <row r="114" spans="1:11" ht="3.75" customHeight="1">
      <c r="A114" s="2413"/>
      <c r="B114" s="2413"/>
      <c r="C114" s="2413"/>
      <c r="D114" s="2413"/>
      <c r="E114" s="2491"/>
      <c r="F114" s="2491"/>
      <c r="G114" s="2491"/>
      <c r="H114" s="2491"/>
      <c r="I114" s="2413"/>
    </row>
    <row r="115" spans="1:11" ht="18.75" customHeight="1">
      <c r="A115" s="3131" t="s">
        <v>2313</v>
      </c>
      <c r="B115" s="3132"/>
      <c r="C115" s="3132"/>
      <c r="D115" s="3132"/>
      <c r="E115" s="3132"/>
      <c r="F115" s="3132"/>
      <c r="G115" s="3132"/>
      <c r="H115" s="3132"/>
      <c r="I115" s="3133"/>
    </row>
    <row r="116" spans="1:11" ht="27" customHeight="1">
      <c r="A116" s="3024" t="s">
        <v>2314</v>
      </c>
      <c r="B116" s="3119" t="s">
        <v>2315</v>
      </c>
      <c r="C116" s="3119" t="s">
        <v>2316</v>
      </c>
      <c r="D116" s="3135" t="s">
        <v>2317</v>
      </c>
      <c r="E116" s="3136"/>
      <c r="F116" s="3127" t="s">
        <v>2318</v>
      </c>
      <c r="G116" s="3127"/>
      <c r="H116" s="3024" t="s">
        <v>2319</v>
      </c>
      <c r="I116" s="3024"/>
    </row>
    <row r="117" spans="1:11" ht="18.75" customHeight="1">
      <c r="A117" s="3024"/>
      <c r="B117" s="3120"/>
      <c r="C117" s="3120"/>
      <c r="D117" s="1794" t="s">
        <v>2320</v>
      </c>
      <c r="E117" s="1794" t="s">
        <v>2321</v>
      </c>
      <c r="F117" s="1794" t="s">
        <v>2320</v>
      </c>
      <c r="G117" s="1794" t="s">
        <v>2322</v>
      </c>
      <c r="H117" s="1794" t="s">
        <v>2320</v>
      </c>
      <c r="I117" s="1794" t="s">
        <v>2322</v>
      </c>
    </row>
    <row r="118" spans="1:11" ht="24.75" customHeight="1">
      <c r="A118" s="2521" t="str">
        <f>项目基本情况!S2</f>
        <v>山东省济南市高新区凤凰路以西、旅游路以南出让国有建设用地使用权及在建建筑物房地产</v>
      </c>
      <c r="B118" s="1794">
        <f>M18</f>
        <v>64569.140000000007</v>
      </c>
      <c r="C118" s="1794">
        <f>M19</f>
        <v>20327.75</v>
      </c>
      <c r="D118" s="1794">
        <f ca="1">ROUND(IF(D32="总价",C34,E118*B118/10000),0)</f>
        <v>81263</v>
      </c>
      <c r="E118" s="1794">
        <f ca="1">ROUND(IF(C33="自定义",IF(D32="楼面单价",C34,D118*10000/B118),I118-G118),0)</f>
        <v>12585</v>
      </c>
      <c r="F118" s="1794">
        <f ca="1">ROUND(IF(D32="总价",C35,G118*B118/10000),0)</f>
        <v>2169</v>
      </c>
      <c r="G118" s="1794">
        <f ca="1">ROUND(IF(D32="楼面单价",C35,F118*10000/B118),0)</f>
        <v>336</v>
      </c>
      <c r="H118" s="1794">
        <f ca="1">ROUND(IF(D32="总价",C32,I118*B118/10000),0)</f>
        <v>83432</v>
      </c>
      <c r="I118" s="1794">
        <f ca="1">ROUND(IF(D32="楼面单价",C32,H118*10000/B118),0)</f>
        <v>12921</v>
      </c>
    </row>
    <row r="119" spans="1:11" ht="18.75" customHeight="1">
      <c r="A119" s="3024" t="s">
        <v>2323</v>
      </c>
      <c r="B119" s="3024"/>
      <c r="C119" s="3024"/>
      <c r="D119" s="3124" t="str">
        <f ca="1">NUMBERSTRING(INT(D118*10000),2)&amp;"元整"</f>
        <v>捌亿壹仟贰佰陆拾叁万元整</v>
      </c>
      <c r="E119" s="3126"/>
      <c r="F119" s="3124" t="str">
        <f ca="1">NUMBERSTRING(INT(F118*10000),2)&amp;"元整"</f>
        <v>贰仟壹佰陆拾玖万元整</v>
      </c>
      <c r="G119" s="3126"/>
      <c r="H119" s="3124" t="str">
        <f ca="1">NUMBERSTRING(INT(H118*10000),2)&amp;"元整"</f>
        <v>捌亿叁仟肆佰叁拾贰万元整</v>
      </c>
      <c r="I119" s="3126"/>
    </row>
    <row r="120" spans="1:11" ht="18.75" customHeight="1">
      <c r="A120" s="3152" t="str">
        <f>IF(项目基本情况!B9="房地产市场价值","",MID(E103,3,LEN(E103)-2))</f>
        <v>估价师知悉的除抵押担保权以外的法定优先受偿款</v>
      </c>
      <c r="B120" s="3153"/>
      <c r="C120" s="3154"/>
      <c r="D120" s="3152">
        <f>H103</f>
        <v>0</v>
      </c>
      <c r="E120" s="3153"/>
      <c r="F120" s="3153"/>
      <c r="G120" s="3153"/>
      <c r="H120" s="3153"/>
      <c r="I120" s="3154"/>
      <c r="K120" s="2418" t="str">
        <f>IF(D120=0,"故，本次评估不存在"&amp;A120,"故，本次评估"&amp;A120&amp;"为人民币"&amp;D120&amp;"万元整。")</f>
        <v>故，本次评估不存在估价师知悉的除抵押担保权以外的法定优先受偿款</v>
      </c>
    </row>
    <row r="121" spans="1:11" ht="18.75" customHeight="1">
      <c r="A121" s="3128" t="s">
        <v>2323</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
      </c>
      <c r="B122" s="3115"/>
      <c r="C122" s="3115"/>
      <c r="D122" s="3152" t="str">
        <f>H107</f>
        <v>——</v>
      </c>
      <c r="E122" s="3153"/>
      <c r="F122" s="3153"/>
      <c r="G122" s="3153"/>
      <c r="H122" s="3153"/>
      <c r="I122" s="3154"/>
    </row>
    <row r="123" spans="1:11" ht="18.75" customHeight="1">
      <c r="A123" s="3024" t="s">
        <v>2323</v>
      </c>
      <c r="B123" s="3024"/>
      <c r="C123" s="3024"/>
      <c r="D123" s="3124" t="e">
        <f>NUMBERSTRING(INT(D122*10000),2)&amp;"元整"</f>
        <v>#VALUE!</v>
      </c>
      <c r="E123" s="3125"/>
      <c r="F123" s="3125"/>
      <c r="G123" s="3125"/>
      <c r="H123" s="3125"/>
      <c r="I123" s="3126"/>
    </row>
    <row r="124" spans="1:11" ht="18.75" customHeight="1">
      <c r="A124" s="3115" t="str">
        <f>IF(项目基本情况!B9="房地产市场价值","",MID(E109,3,LEN(E109)-2))</f>
        <v>抵押担保权已注销时的房地产抵押价值</v>
      </c>
      <c r="B124" s="3115"/>
      <c r="C124" s="3115"/>
      <c r="D124" s="3152">
        <f ca="1">H109</f>
        <v>83432</v>
      </c>
      <c r="E124" s="3153"/>
      <c r="F124" s="3153"/>
      <c r="G124" s="3153"/>
      <c r="H124" s="3153"/>
      <c r="I124" s="3154"/>
    </row>
    <row r="125" spans="1:11" ht="18.75" customHeight="1">
      <c r="A125" s="3024" t="s">
        <v>2323</v>
      </c>
      <c r="B125" s="3024"/>
      <c r="C125" s="3024"/>
      <c r="D125" s="3124" t="str">
        <f ca="1">NUMBERSTRING(INT(D124*10000),2)&amp;"元整"</f>
        <v>捌亿叁仟肆佰叁拾贰万元整</v>
      </c>
      <c r="E125" s="3125"/>
      <c r="F125" s="3125"/>
      <c r="G125" s="3125"/>
      <c r="H125" s="3125"/>
      <c r="I125" s="3126"/>
    </row>
    <row r="126" spans="1:11" ht="18.75" customHeight="1">
      <c r="A126" s="3115" t="str">
        <f>IF(项目基本情况!B9="房地产市场价值","",MID(E111,3,LEN(E111)-2))</f>
        <v/>
      </c>
      <c r="B126" s="3115"/>
      <c r="C126" s="3115"/>
      <c r="D126" s="3152" t="str">
        <f>H111</f>
        <v>——</v>
      </c>
      <c r="E126" s="3153"/>
      <c r="F126" s="3153"/>
      <c r="G126" s="3153"/>
      <c r="H126" s="3153"/>
      <c r="I126" s="3154"/>
    </row>
    <row r="127" spans="1:11" ht="18.75" customHeight="1">
      <c r="A127" s="3024" t="s">
        <v>2323</v>
      </c>
      <c r="B127" s="3024"/>
      <c r="C127" s="3024"/>
      <c r="D127" s="3124" t="e">
        <f>NUMBERSTRING(INT(D126*10000),2)&amp;"元整"</f>
        <v>#VALUE!</v>
      </c>
      <c r="E127" s="3125"/>
      <c r="F127" s="3125"/>
      <c r="G127" s="3125"/>
      <c r="H127" s="3125"/>
      <c r="I127" s="3126"/>
    </row>
    <row r="128" spans="1:11" ht="21.75" customHeight="1">
      <c r="A128" s="3134" t="s">
        <v>2324</v>
      </c>
      <c r="B128" s="3134"/>
      <c r="C128" s="3134"/>
      <c r="D128" s="3134"/>
      <c r="E128" s="3134"/>
      <c r="F128" s="3134"/>
      <c r="G128" s="3134"/>
      <c r="H128" s="3134"/>
      <c r="I128" s="3134"/>
    </row>
    <row r="129" spans="1:35" ht="21.75" customHeight="1">
      <c r="A129" s="2522" t="s">
        <v>2325</v>
      </c>
      <c r="B129" s="2523"/>
      <c r="C129" s="2524" t="s">
        <v>2326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2327</v>
      </c>
      <c r="G135" s="2539"/>
      <c r="H135" s="2539"/>
      <c r="I135" s="2540" t="s">
        <v>2328</v>
      </c>
    </row>
    <row r="136" spans="1:35" ht="21.75" customHeight="1">
      <c r="A136" s="793"/>
      <c r="B136" s="2541"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2330</v>
      </c>
    </row>
    <row r="139" spans="1:35" ht="21.75" customHeight="1">
      <c r="A139" s="793"/>
      <c r="B139" s="2541" t="s">
        <v>2331</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2330</v>
      </c>
    </row>
    <row r="142" spans="1:35" ht="21.75" customHeight="1">
      <c r="A142" s="793"/>
      <c r="B142" s="2541"/>
      <c r="C142" s="2542"/>
      <c r="D142" s="2543"/>
      <c r="E142" s="2543"/>
      <c r="F142" s="2335"/>
      <c r="G142" s="793"/>
      <c r="H142" s="793"/>
      <c r="I142" s="793"/>
    </row>
    <row r="143" spans="1:35" s="137"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山东省济南市高新区凤凰路以西、旅游路以南出让国有建设用地使用权及在建建筑物房地产抵押价值预评估</v>
      </c>
      <c r="C37" s="2980"/>
      <c r="D37" s="2980"/>
      <c r="E37" s="2980"/>
      <c r="F37" s="2980"/>
      <c r="G37" s="2980"/>
      <c r="H37" s="2980"/>
      <c r="I37" s="2980"/>
    </row>
    <row r="38" spans="1:9">
      <c r="A38" s="1016"/>
      <c r="B38" s="1016"/>
    </row>
    <row r="39" spans="1:9">
      <c r="A39" s="1014" t="s">
        <v>818</v>
      </c>
      <c r="B39" s="1014" t="s">
        <v>820</v>
      </c>
    </row>
    <row r="40" spans="1:9">
      <c r="A40" s="1014"/>
      <c r="B40" s="1941" t="str">
        <f>项目基本情况!B5</f>
        <v>济南三盛房地产开发有限公司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00B0F0"/>
    <pageSetUpPr fitToPage="1"/>
  </sheetPr>
  <dimension ref="A1:I57"/>
  <sheetViews>
    <sheetView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2332</v>
      </c>
      <c r="B1" s="1936"/>
      <c r="C1" s="241"/>
      <c r="D1" s="241"/>
      <c r="E1" s="241"/>
      <c r="F1" s="241"/>
      <c r="G1" s="1379">
        <f>MATCH(B1,'数据-取费表'!A6:A16,0)+5</f>
        <v>11</v>
      </c>
    </row>
    <row r="2" spans="1:9" s="243" customFormat="1" ht="18" customHeight="1">
      <c r="A2" s="244" t="s">
        <v>2333</v>
      </c>
      <c r="B2" s="245">
        <f ca="1">IF(D2="——",C52,C52-E2)</f>
        <v>89457</v>
      </c>
      <c r="C2" s="242" t="s">
        <v>2334</v>
      </c>
      <c r="D2" s="2544" t="s">
        <v>70</v>
      </c>
      <c r="E2" s="1439" t="e">
        <f ca="1">SUMIF(INDIRECT("'"&amp;G2&amp;"'"&amp;"!A:A"),"承租人权益价值",INDIRECT("'"&amp;G2&amp;"'"&amp;"!c:c"))</f>
        <v>#REF!</v>
      </c>
      <c r="F2" s="2545" t="s">
        <v>2334</v>
      </c>
      <c r="G2" s="2546"/>
    </row>
    <row r="3" spans="1:9" s="243" customFormat="1" ht="18" customHeight="1" thickBot="1">
      <c r="A3" s="246" t="s">
        <v>2335</v>
      </c>
      <c r="B3" s="247">
        <f ca="1">ROUND(B2*10000/(IF(B1="",'数据-汇总表'!E3,INDIRECT("'数据-取费表'!k"&amp;$G$1))),0)</f>
        <v>13854</v>
      </c>
      <c r="C3" s="242" t="s">
        <v>2336</v>
      </c>
      <c r="D3" s="242"/>
      <c r="E3" s="242"/>
      <c r="F3" s="242"/>
      <c r="G3" s="242"/>
    </row>
    <row r="4" spans="1:9" s="251" customFormat="1" ht="15.75">
      <c r="A4" s="248" t="s">
        <v>2337</v>
      </c>
      <c r="B4" s="249"/>
      <c r="C4" s="249"/>
      <c r="D4" s="249"/>
      <c r="E4" s="249"/>
      <c r="F4" s="249"/>
      <c r="G4" s="250"/>
    </row>
    <row r="5" spans="1:9" s="257" customFormat="1" ht="13.5" customHeight="1">
      <c r="A5" s="298" t="s">
        <v>2338</v>
      </c>
      <c r="B5" s="253" t="s">
        <v>2339</v>
      </c>
      <c r="C5" s="254">
        <f>C6+C7+C8</f>
        <v>70095</v>
      </c>
      <c r="D5" s="254" t="s">
        <v>2340</v>
      </c>
      <c r="E5" s="255" t="s">
        <v>2341</v>
      </c>
      <c r="F5" s="255" t="s">
        <v>2342</v>
      </c>
      <c r="G5" s="256"/>
    </row>
    <row r="6" spans="1:9" s="257" customFormat="1" ht="13.5" customHeight="1">
      <c r="A6" s="949" t="s">
        <v>2343</v>
      </c>
      <c r="B6" s="258" t="s">
        <v>2344</v>
      </c>
      <c r="C6" s="259">
        <f>'土地比较法-住宅、综合'!B2</f>
        <v>67038</v>
      </c>
      <c r="D6" s="260"/>
      <c r="E6" s="261"/>
      <c r="F6" s="261"/>
      <c r="G6" s="262"/>
    </row>
    <row r="7" spans="1:9" s="257" customFormat="1" ht="13.5" customHeight="1">
      <c r="A7" s="949" t="s">
        <v>2345</v>
      </c>
      <c r="B7" s="258" t="s">
        <v>2346</v>
      </c>
      <c r="C7" s="263">
        <f>ROUND(C6*F7,0)</f>
        <v>2715</v>
      </c>
      <c r="D7" s="263"/>
      <c r="E7" s="261"/>
      <c r="F7" s="264">
        <f>'数据-取费表'!B48+'数据-取费表'!B49</f>
        <v>4.0500000000000001E-2</v>
      </c>
      <c r="G7" s="262"/>
    </row>
    <row r="8" spans="1:9" s="266" customFormat="1">
      <c r="A8" s="949" t="s">
        <v>2347</v>
      </c>
      <c r="B8" s="258" t="s">
        <v>2348</v>
      </c>
      <c r="C8" s="263">
        <f>IF(G8="已包含在土地购买价格中","0",IF(B1="",'数据-取费表'!B29,IF(G9="全部缴纳",C9+C10,H9)))</f>
        <v>342</v>
      </c>
      <c r="D8" s="265"/>
      <c r="E8" s="263"/>
      <c r="F8" s="264"/>
      <c r="G8" s="2547" t="s">
        <v>3189</v>
      </c>
    </row>
    <row r="9" spans="1:9" s="257" customFormat="1" ht="13.5" customHeight="1">
      <c r="A9" s="950" t="s">
        <v>800</v>
      </c>
      <c r="B9" s="267" t="s">
        <v>2349</v>
      </c>
      <c r="C9" s="268">
        <f ca="1">ROUND(D9*E9/10000,0)</f>
        <v>1135</v>
      </c>
      <c r="D9" s="1032">
        <f ca="1">IF(B1="",'数据-汇总表'!E5,IF(INDIRECT("'数据-取费表'!c"&amp;$G$1)="住宅",INDIRECT("'数据-取费表'!k"&amp;$G$1),0))</f>
        <v>46157.97</v>
      </c>
      <c r="E9" s="268">
        <f>'数据-取费表'!B27</f>
        <v>246</v>
      </c>
      <c r="F9" s="264"/>
      <c r="G9" s="2548" t="s">
        <v>3188</v>
      </c>
      <c r="H9" s="2976">
        <f>'数据-取费表'!B29</f>
        <v>342</v>
      </c>
      <c r="I9" s="2549" t="s">
        <v>2350</v>
      </c>
    </row>
    <row r="10" spans="1:9" s="257" customFormat="1" ht="13.5" customHeight="1">
      <c r="A10" s="950" t="s">
        <v>801</v>
      </c>
      <c r="B10" s="267" t="s">
        <v>2351</v>
      </c>
      <c r="C10" s="268">
        <f ca="1">ROUND(D10*E10/10000,0)</f>
        <v>453</v>
      </c>
      <c r="D10" s="1032">
        <f ca="1">IF(B1="",'数据-汇总表'!E6,IF(INDIRECT("'数据-取费表'!c"&amp;$G$1)="住宅",INDIRECT("'数据-取费表'!s"&amp;$G$1),INDIRECT("'数据-取费表'!k"&amp;$G$1)+INDIRECT("'数据-取费表'!s"&amp;$G$1)))</f>
        <v>18411.170000000006</v>
      </c>
      <c r="E10" s="268">
        <f>'数据-取费表'!B28</f>
        <v>246</v>
      </c>
      <c r="F10" s="264"/>
      <c r="G10" s="269"/>
    </row>
    <row r="11" spans="1:9" s="257" customFormat="1" ht="13.5" hidden="1" customHeight="1">
      <c r="A11" s="270" t="s">
        <v>7</v>
      </c>
      <c r="B11" s="258" t="s">
        <v>2352</v>
      </c>
      <c r="C11" s="254"/>
      <c r="D11" s="1034"/>
      <c r="E11" s="261"/>
      <c r="F11" s="261"/>
      <c r="G11" s="262"/>
    </row>
    <row r="12" spans="1:9" s="257" customFormat="1" ht="13.5" hidden="1" customHeight="1">
      <c r="A12" s="270" t="s">
        <v>8</v>
      </c>
      <c r="B12" s="258" t="s">
        <v>2353</v>
      </c>
      <c r="C12" s="254">
        <v>0</v>
      </c>
      <c r="D12" s="1034"/>
      <c r="E12" s="271"/>
      <c r="F12" s="264">
        <v>3.0499999999999999E-2</v>
      </c>
      <c r="G12" s="262"/>
    </row>
    <row r="13" spans="1:9" s="257" customFormat="1" ht="13.5" hidden="1" customHeight="1">
      <c r="A13" s="270" t="s">
        <v>9</v>
      </c>
      <c r="B13" s="258" t="s">
        <v>2354</v>
      </c>
      <c r="C13" s="254"/>
      <c r="D13" s="1034"/>
      <c r="E13" s="261"/>
      <c r="F13" s="261"/>
      <c r="G13" s="262"/>
    </row>
    <row r="14" spans="1:9" s="257" customFormat="1" ht="13.5" hidden="1" customHeight="1">
      <c r="A14" s="270" t="s">
        <v>10</v>
      </c>
      <c r="B14" s="258" t="s">
        <v>2355</v>
      </c>
      <c r="C14" s="254"/>
      <c r="D14" s="1034"/>
      <c r="E14" s="261"/>
      <c r="F14" s="261"/>
      <c r="G14" s="262" t="s">
        <v>2356</v>
      </c>
    </row>
    <row r="15" spans="1:9" s="257" customFormat="1" ht="13.5" hidden="1" customHeight="1">
      <c r="A15" s="270" t="s">
        <v>11</v>
      </c>
      <c r="B15" s="258" t="s">
        <v>2357</v>
      </c>
      <c r="C15" s="263"/>
      <c r="D15" s="1034"/>
      <c r="E15" s="261"/>
      <c r="F15" s="261"/>
      <c r="G15" s="262" t="s">
        <v>2358</v>
      </c>
    </row>
    <row r="16" spans="1:9" s="257" customFormat="1" ht="13.5" hidden="1" customHeight="1">
      <c r="A16" s="270" t="s">
        <v>12</v>
      </c>
      <c r="B16" s="258" t="s">
        <v>2355</v>
      </c>
      <c r="C16" s="263"/>
      <c r="D16" s="1034"/>
      <c r="E16" s="261"/>
      <c r="F16" s="261"/>
      <c r="G16" s="262"/>
    </row>
    <row r="17" spans="1:7" s="257" customFormat="1" ht="13.5" hidden="1" customHeight="1">
      <c r="A17" s="270" t="s">
        <v>13</v>
      </c>
      <c r="B17" s="258" t="s">
        <v>2359</v>
      </c>
      <c r="C17" s="272"/>
      <c r="D17" s="1035"/>
      <c r="E17" s="272"/>
      <c r="F17" s="272"/>
      <c r="G17" s="262" t="s">
        <v>2358</v>
      </c>
    </row>
    <row r="18" spans="1:7" s="257" customFormat="1" ht="13.5" hidden="1" customHeight="1">
      <c r="A18" s="270" t="s">
        <v>14</v>
      </c>
      <c r="B18" s="258" t="s">
        <v>2360</v>
      </c>
      <c r="C18" s="263">
        <v>0</v>
      </c>
      <c r="D18" s="1034"/>
      <c r="E18" s="261"/>
      <c r="F18" s="264">
        <v>3.0499999999999999E-2</v>
      </c>
      <c r="G18" s="262" t="s">
        <v>2361</v>
      </c>
    </row>
    <row r="19" spans="1:7" s="266" customFormat="1" ht="13.5" customHeight="1">
      <c r="A19" s="298" t="s">
        <v>2362</v>
      </c>
      <c r="B19" s="253" t="s">
        <v>2363</v>
      </c>
      <c r="C19" s="254">
        <f ca="1">IF(G19="已包含在土地取得成本中","0",ROUND(D19*E19/10000,0))</f>
        <v>646</v>
      </c>
      <c r="D19" s="1036">
        <f ca="1">D9+D10</f>
        <v>64569.140000000007</v>
      </c>
      <c r="E19" s="254">
        <f>'数据-取费表'!B31</f>
        <v>100</v>
      </c>
      <c r="F19" s="274"/>
      <c r="G19" s="2547"/>
    </row>
    <row r="20" spans="1:7" s="257" customFormat="1" ht="13.5" customHeight="1">
      <c r="A20" s="298" t="s">
        <v>2364</v>
      </c>
      <c r="B20" s="253" t="s">
        <v>2365</v>
      </c>
      <c r="C20" s="275">
        <f ca="1">ROUND((C5+C19)*F20,0)</f>
        <v>1061</v>
      </c>
      <c r="D20" s="275"/>
      <c r="E20" s="275"/>
      <c r="F20" s="276">
        <f>'数据-取费表'!B37</f>
        <v>1.4999999999999999E-2</v>
      </c>
      <c r="G20" s="277" t="s">
        <v>2366</v>
      </c>
    </row>
    <row r="21" spans="1:7" s="257" customFormat="1" ht="13.5" customHeight="1">
      <c r="A21" s="298" t="s">
        <v>2367</v>
      </c>
      <c r="B21" s="253" t="s">
        <v>2368</v>
      </c>
      <c r="C21" s="278">
        <f>F21</f>
        <v>2.5000000000000001E-2</v>
      </c>
      <c r="D21" s="279" t="s">
        <v>2369</v>
      </c>
      <c r="E21" s="275"/>
      <c r="F21" s="276">
        <f>'数据-取费表'!B38</f>
        <v>2.5000000000000001E-2</v>
      </c>
      <c r="G21" s="277" t="s">
        <v>2370</v>
      </c>
    </row>
    <row r="22" spans="1:7" s="257" customFormat="1" ht="13.5" customHeight="1">
      <c r="A22" s="298" t="s">
        <v>2371</v>
      </c>
      <c r="B22" s="253" t="s">
        <v>2372</v>
      </c>
      <c r="C22" s="1354">
        <f ca="1">ROUND(SUM(C23:C25),0)</f>
        <v>3386</v>
      </c>
      <c r="D22" s="278">
        <f ca="1">C26</f>
        <v>5.9999999999999995E-4</v>
      </c>
      <c r="E22" s="279" t="s">
        <v>2369</v>
      </c>
      <c r="F22" s="280">
        <f ca="1">'数据-取费表'!B40</f>
        <v>4.7500000000000001E-2</v>
      </c>
      <c r="G22" s="277" t="str">
        <f>IF('数据-取费表'!B22&lt;=1,"单利计息","复利计息")</f>
        <v>复利计息</v>
      </c>
    </row>
    <row r="23" spans="1:7" s="257" customFormat="1" ht="13.5" customHeight="1">
      <c r="A23" s="951" t="s">
        <v>2373</v>
      </c>
      <c r="B23" s="258" t="s">
        <v>2374</v>
      </c>
      <c r="C23" s="1355">
        <f ca="1">ROUND(IF('数据-取费表'!B22&lt;=1,C5*F22*'数据-取费表'!B23,C5*(POWER((1+F22),'数据-取费表'!B23)-1)),0)</f>
        <v>3330</v>
      </c>
      <c r="D23" s="281"/>
      <c r="E23" s="281"/>
      <c r="F23" s="282"/>
      <c r="G23" s="283" t="s">
        <v>2375</v>
      </c>
    </row>
    <row r="24" spans="1:7" s="257" customFormat="1" ht="13.5" customHeight="1">
      <c r="A24" s="951" t="s">
        <v>2376</v>
      </c>
      <c r="B24" s="258" t="s">
        <v>2377</v>
      </c>
      <c r="C24" s="1355">
        <f ca="1">ROUND(IF('数据-取费表'!B22&lt;=1,C19*F22*('数据-取费表'!B19/2+'数据-取费表'!B21),C19*(POWER((1+F22),('数据-取费表'!B19/2+'数据-取费表'!B21))-1)),0)</f>
        <v>31</v>
      </c>
      <c r="D24" s="281"/>
      <c r="E24" s="281"/>
      <c r="F24" s="282"/>
      <c r="G24" s="283" t="s">
        <v>2378</v>
      </c>
    </row>
    <row r="25" spans="1:7" s="257" customFormat="1" ht="24">
      <c r="A25" s="951" t="s">
        <v>2379</v>
      </c>
      <c r="B25" s="258" t="s">
        <v>2380</v>
      </c>
      <c r="C25" s="1355">
        <f ca="1">ROUND(IF('数据-取费表'!B22&lt;=1,C20*F22*'数据-取费表'!B23/2,C20*(POWER((1+F22),'数据-取费表'!B23/2)-1)),0)</f>
        <v>25</v>
      </c>
      <c r="D25" s="281"/>
      <c r="E25" s="284"/>
      <c r="F25" s="282"/>
      <c r="G25" s="285" t="s">
        <v>2381</v>
      </c>
    </row>
    <row r="26" spans="1:7" s="257" customFormat="1">
      <c r="A26" s="951" t="s">
        <v>795</v>
      </c>
      <c r="B26" s="258" t="s">
        <v>2382</v>
      </c>
      <c r="C26" s="281">
        <f ca="1">ROUND(IF('数据-取费表'!B22&lt;=1,F21*F22*'数据-取费表'!B23/2,F21*(POWER((1+F22),'数据-取费表'!B23/2)-1)),4)</f>
        <v>5.9999999999999995E-4</v>
      </c>
      <c r="D26" s="281"/>
      <c r="E26" s="284"/>
      <c r="F26" s="282"/>
      <c r="G26" s="286"/>
    </row>
    <row r="27" spans="1:7" s="257" customFormat="1" ht="24.75">
      <c r="A27" s="298" t="s">
        <v>2383</v>
      </c>
      <c r="B27" s="287" t="s">
        <v>2384</v>
      </c>
      <c r="C27" s="288">
        <f ca="1">C28</f>
        <v>4883</v>
      </c>
      <c r="D27" s="278">
        <f ca="1">C29</f>
        <v>1.6999999999999999E-3</v>
      </c>
      <c r="E27" s="279" t="s">
        <v>2385</v>
      </c>
      <c r="F27" s="289">
        <f ca="1">IF(B1="",'数据-取费表'!Q16,INDIRECT("'数据-取费表'!q"&amp;$G$1))</f>
        <v>0.17</v>
      </c>
      <c r="G27" s="290" t="s">
        <v>2386</v>
      </c>
    </row>
    <row r="28" spans="1:7" s="257" customFormat="1" ht="13.5" customHeight="1">
      <c r="A28" s="951" t="s">
        <v>791</v>
      </c>
      <c r="B28" s="291" t="s">
        <v>2387</v>
      </c>
      <c r="C28" s="292">
        <f ca="1">ROUND((C5+C19+C20)*F27*'数据-取费表'!B21/'数据-取费表'!B20,0)</f>
        <v>4883</v>
      </c>
      <c r="D28" s="278"/>
      <c r="E28" s="279"/>
      <c r="F28" s="289"/>
      <c r="G28" s="290"/>
    </row>
    <row r="29" spans="1:7" s="257" customFormat="1" ht="13.5" customHeight="1">
      <c r="A29" s="951" t="s">
        <v>792</v>
      </c>
      <c r="B29" s="291" t="s">
        <v>2388</v>
      </c>
      <c r="C29" s="281">
        <f ca="1">ROUND(C21*F27*'数据-取费表'!B21/'数据-取费表'!B20,4)</f>
        <v>1.6999999999999999E-3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87090</v>
      </c>
      <c r="D31" s="273"/>
      <c r="E31" s="254"/>
      <c r="F31" s="293"/>
      <c r="G31" s="277" t="s">
        <v>2393</v>
      </c>
    </row>
    <row r="32" spans="1:7" s="251" customFormat="1" ht="15.75">
      <c r="A32" s="295" t="s">
        <v>2394</v>
      </c>
      <c r="B32" s="296"/>
      <c r="C32" s="296"/>
      <c r="D32" s="296"/>
      <c r="E32" s="296"/>
      <c r="F32" s="296"/>
      <c r="G32" s="297"/>
    </row>
    <row r="33" spans="1:7" s="257" customFormat="1" ht="13.5" customHeight="1">
      <c r="A33" s="298" t="s">
        <v>782</v>
      </c>
      <c r="B33" s="253" t="s">
        <v>2395</v>
      </c>
      <c r="C33" s="299">
        <f ca="1">SUM(C34:C38)</f>
        <v>1791</v>
      </c>
      <c r="D33" s="275"/>
      <c r="E33" s="255"/>
      <c r="F33" s="284"/>
      <c r="G33" s="277"/>
    </row>
    <row r="34" spans="1:7" s="301" customFormat="1" ht="13.5" customHeight="1">
      <c r="A34" s="951" t="s">
        <v>791</v>
      </c>
      <c r="B34" s="258" t="s">
        <v>2396</v>
      </c>
      <c r="C34" s="263">
        <f ca="1">IF(B1="",IF(F34=100%,'数据-取费表'!M16,'数据-取费表'!O16),IF(F34=100%,INDIRECT("'数据-取费表'!m"&amp;$G$1)+INDIRECT("'数据-取费表'!t"&amp;$G$1),INDIRECT("'数据-取费表'!o"&amp;$G$1)+INDIRECT("'数据-取费表'!aq"&amp;$G$1)))</f>
        <v>1541</v>
      </c>
      <c r="D34" s="260"/>
      <c r="E34" s="263"/>
      <c r="F34" s="300">
        <f ca="1">IF('数据-取费表'!B24=0,1,IF(B1="",'数据-取费表'!N16,INDIRECT("'数据-取费表'!n"&amp;$G$1)))</f>
        <v>9.5000000000000001E-2</v>
      </c>
      <c r="G34" s="262" t="s">
        <v>2397</v>
      </c>
    </row>
    <row r="35" spans="1:7" ht="13.5" customHeight="1">
      <c r="A35" s="951" t="s">
        <v>796</v>
      </c>
      <c r="B35" s="258" t="s">
        <v>2398</v>
      </c>
      <c r="C35" s="263">
        <f ca="1">ROUND(C34*F35,0)</f>
        <v>46</v>
      </c>
      <c r="D35" s="263"/>
      <c r="E35" s="263"/>
      <c r="F35" s="302">
        <f>'数据-取费表'!B33</f>
        <v>0.03</v>
      </c>
      <c r="G35" s="262" t="s">
        <v>2399</v>
      </c>
    </row>
    <row r="36" spans="1:7" ht="24">
      <c r="A36" s="951" t="s">
        <v>797</v>
      </c>
      <c r="B36" s="258" t="s">
        <v>2400</v>
      </c>
      <c r="C36" s="263">
        <f ca="1">ROUND(IF(B1="",SUMIF('数据-取费表'!C:C,"住宅",IF(F34=100%,'数据-取费表'!M:M,'数据-取费表'!O:O))*F36,IF(INDIRECT("'数据-取费表'!c"&amp;$G$1)="住宅",IF(F34=100%,INDIRECT("'数据-取费表'!m"&amp;$G$1)*F36,INDIRECT("'数据-取费表'!o"&amp;$G$1)*F36),0)),0)</f>
        <v>58</v>
      </c>
      <c r="D36" s="263"/>
      <c r="E36" s="263"/>
      <c r="F36" s="302">
        <f>'数据-取费表'!B34</f>
        <v>0.05</v>
      </c>
      <c r="G36" s="303" t="s">
        <v>2401</v>
      </c>
    </row>
    <row r="37" spans="1:7" s="301" customFormat="1" ht="13.5" customHeight="1">
      <c r="A37" s="951" t="s">
        <v>798</v>
      </c>
      <c r="B37" s="258" t="s">
        <v>2402</v>
      </c>
      <c r="C37" s="292">
        <f ca="1">ROUND(E37*D37*F34/10000,0)</f>
        <v>123</v>
      </c>
      <c r="D37" s="260">
        <f ca="1">D19</f>
        <v>64569.140000000007</v>
      </c>
      <c r="E37" s="292">
        <f>'数据-取费表'!B35</f>
        <v>200</v>
      </c>
      <c r="F37" s="302"/>
      <c r="G37" s="304" t="s">
        <v>2403</v>
      </c>
    </row>
    <row r="38" spans="1:7" ht="13.5" customHeight="1">
      <c r="A38" s="951" t="s">
        <v>799</v>
      </c>
      <c r="B38" s="258" t="s">
        <v>2404</v>
      </c>
      <c r="C38" s="263">
        <f ca="1">ROUND(C34*F38,0)</f>
        <v>23</v>
      </c>
      <c r="D38" s="263"/>
      <c r="E38" s="263"/>
      <c r="F38" s="302">
        <f>'数据-取费表'!B36</f>
        <v>1.4999999999999999E-2</v>
      </c>
      <c r="G38" s="262" t="s">
        <v>2399</v>
      </c>
    </row>
    <row r="39" spans="1:7" s="257" customFormat="1" ht="13.5" customHeight="1">
      <c r="A39" s="298" t="s">
        <v>2405</v>
      </c>
      <c r="B39" s="253" t="s">
        <v>2406</v>
      </c>
      <c r="C39" s="275">
        <f ca="1">ROUND(C33*F20,0)</f>
        <v>27</v>
      </c>
      <c r="D39" s="275"/>
      <c r="E39" s="275"/>
      <c r="F39" s="276"/>
      <c r="G39" s="277" t="s">
        <v>2407</v>
      </c>
    </row>
    <row r="40" spans="1:7" s="257" customFormat="1" ht="13.5" customHeight="1">
      <c r="A40" s="298" t="s">
        <v>2408</v>
      </c>
      <c r="B40" s="253" t="s">
        <v>2409</v>
      </c>
      <c r="C40" s="1727">
        <f>F21</f>
        <v>2.5000000000000001E-2</v>
      </c>
      <c r="D40" s="279" t="s">
        <v>2410</v>
      </c>
      <c r="E40" s="275"/>
      <c r="F40" s="276"/>
      <c r="G40" s="277" t="s">
        <v>2411</v>
      </c>
    </row>
    <row r="41" spans="1:7" s="257" customFormat="1" ht="13.5" customHeight="1">
      <c r="A41" s="298" t="s">
        <v>2412</v>
      </c>
      <c r="B41" s="253" t="s">
        <v>2413</v>
      </c>
      <c r="C41" s="275">
        <f ca="1">ROUND(SUM(C42:C43),0)</f>
        <v>43</v>
      </c>
      <c r="D41" s="278">
        <f ca="1">C44</f>
        <v>5.9999999999999995E-4</v>
      </c>
      <c r="E41" s="279" t="s">
        <v>2410</v>
      </c>
      <c r="F41" s="280"/>
      <c r="G41" s="277" t="str">
        <f>IF('数据-取费表'!B22&lt;=1,"单利计息","复利计息")</f>
        <v>复利计息</v>
      </c>
    </row>
    <row r="42" spans="1:7" ht="13.5" customHeight="1">
      <c r="A42" s="951" t="s">
        <v>791</v>
      </c>
      <c r="B42" s="258" t="s">
        <v>2414</v>
      </c>
      <c r="C42" s="281">
        <f ca="1">ROUND(IF('数据-取费表'!B22&lt;=1,C33*F22*'数据-取费表'!B21/2,C33*(POWER((1+F22),'数据-取费表'!B21/2)-1)),0)</f>
        <v>42</v>
      </c>
      <c r="D42" s="281"/>
      <c r="E42" s="281"/>
      <c r="F42" s="282"/>
      <c r="G42" s="3166" t="s">
        <v>2415</v>
      </c>
    </row>
    <row r="43" spans="1:7" ht="13.5" customHeight="1">
      <c r="A43" s="951" t="s">
        <v>792</v>
      </c>
      <c r="B43" s="258" t="s">
        <v>2416</v>
      </c>
      <c r="C43" s="281">
        <f ca="1">ROUND(IF('数据-取费表'!B22&lt;=1,C39*F22*'数据-取费表'!B21/2,C39*(POWER((1+F22),'数据-取费表'!B21/2)-1)),0)</f>
        <v>1</v>
      </c>
      <c r="D43" s="281"/>
      <c r="E43" s="281"/>
      <c r="F43" s="282"/>
      <c r="G43" s="3167"/>
    </row>
    <row r="44" spans="1:7" ht="13.5" customHeight="1">
      <c r="A44" s="951" t="s">
        <v>793</v>
      </c>
      <c r="B44" s="258" t="s">
        <v>2417</v>
      </c>
      <c r="C44" s="281">
        <f ca="1">ROUND(IF('数据-取费表'!B22&lt;=1,C40*F22*'数据-取费表'!B21/2,C40*(POWER((1+F22),'数据-取费表'!B21/2)-1)),4)</f>
        <v>5.9999999999999995E-4</v>
      </c>
      <c r="D44" s="281"/>
      <c r="E44" s="281"/>
      <c r="F44" s="282"/>
      <c r="G44" s="3168"/>
    </row>
    <row r="45" spans="1:7" s="257" customFormat="1" ht="13.5" customHeight="1">
      <c r="A45" s="298" t="s">
        <v>2418</v>
      </c>
      <c r="B45" s="287" t="s">
        <v>2384</v>
      </c>
      <c r="C45" s="288">
        <f ca="1">C46</f>
        <v>309</v>
      </c>
      <c r="D45" s="278">
        <f ca="1">C47</f>
        <v>4.3E-3</v>
      </c>
      <c r="E45" s="279" t="s">
        <v>2410</v>
      </c>
      <c r="F45" s="289"/>
      <c r="G45" s="290" t="s">
        <v>2419</v>
      </c>
    </row>
    <row r="46" spans="1:7" s="257" customFormat="1" ht="13.5" customHeight="1">
      <c r="A46" s="951" t="s">
        <v>791</v>
      </c>
      <c r="B46" s="291" t="s">
        <v>2420</v>
      </c>
      <c r="C46" s="292">
        <f ca="1">ROUND((C33+C39)*F27,0)</f>
        <v>309</v>
      </c>
      <c r="D46" s="306"/>
      <c r="E46" s="279"/>
      <c r="F46" s="289"/>
      <c r="G46" s="290"/>
    </row>
    <row r="47" spans="1:7" s="257" customFormat="1" ht="13.5" customHeight="1">
      <c r="A47" s="951" t="s">
        <v>792</v>
      </c>
      <c r="B47" s="291" t="s">
        <v>2421</v>
      </c>
      <c r="C47" s="281">
        <f ca="1">ROUND(C40*F27,4)</f>
        <v>4.3E-3</v>
      </c>
      <c r="D47" s="306"/>
      <c r="E47" s="279"/>
      <c r="F47" s="289"/>
      <c r="G47" s="290"/>
    </row>
    <row r="48" spans="1:7" s="257" customFormat="1" ht="13.5" customHeight="1">
      <c r="A48" s="298" t="s">
        <v>2383</v>
      </c>
      <c r="B48" s="253" t="s">
        <v>2422</v>
      </c>
      <c r="C48" s="1727">
        <f>ROUND(F30/(1+'数据-取费表'!C42),4)</f>
        <v>5.33E-2</v>
      </c>
      <c r="D48" s="279" t="s">
        <v>2410</v>
      </c>
      <c r="E48" s="275"/>
      <c r="F48" s="280"/>
      <c r="G48" s="277" t="s">
        <v>2423</v>
      </c>
    </row>
    <row r="49" spans="1:7" ht="16.5" customHeight="1">
      <c r="A49" s="298" t="s">
        <v>2389</v>
      </c>
      <c r="B49" s="253" t="s">
        <v>2424</v>
      </c>
      <c r="C49" s="275">
        <f ca="1">ROUND((C33+C39+C41+C45)/(1-C40-D41-D45-C48),0)</f>
        <v>2367</v>
      </c>
      <c r="D49" s="275"/>
      <c r="E49" s="275"/>
      <c r="F49" s="307"/>
      <c r="G49" s="277" t="s">
        <v>2425</v>
      </c>
    </row>
    <row r="50" spans="1:7" s="301" customFormat="1" ht="24">
      <c r="A50" s="298" t="s">
        <v>2426</v>
      </c>
      <c r="B50" s="253" t="s">
        <v>2427</v>
      </c>
      <c r="C50" s="275"/>
      <c r="D50" s="275"/>
      <c r="E50" s="275"/>
      <c r="F50" s="307">
        <f>IF('数据-取费表'!B24=0,'数据-取费表'!N16,1)</f>
        <v>1</v>
      </c>
      <c r="G50" s="290" t="s">
        <v>2428</v>
      </c>
    </row>
    <row r="51" spans="1:7" ht="16.5" customHeight="1">
      <c r="A51" s="298" t="s">
        <v>2429</v>
      </c>
      <c r="B51" s="253" t="s">
        <v>2430</v>
      </c>
      <c r="C51" s="275">
        <f ca="1">ROUND(C49*F50,0)</f>
        <v>2367</v>
      </c>
      <c r="D51" s="275"/>
      <c r="E51" s="275"/>
      <c r="F51" s="307"/>
      <c r="G51" s="277" t="s">
        <v>2431</v>
      </c>
    </row>
    <row r="52" spans="1:7" s="251" customFormat="1" ht="16.5" thickBot="1">
      <c r="A52" s="308" t="s">
        <v>2432</v>
      </c>
      <c r="B52" s="309"/>
      <c r="C52" s="310">
        <f ca="1">C31+C51</f>
        <v>89457</v>
      </c>
      <c r="D52" s="309"/>
      <c r="E52" s="309"/>
      <c r="F52" s="309"/>
      <c r="G52" s="311"/>
    </row>
    <row r="55" spans="1:7" ht="15">
      <c r="B55" s="313" t="s">
        <v>2433</v>
      </c>
      <c r="C55" s="314"/>
    </row>
    <row r="56" spans="1:7">
      <c r="B56" s="316" t="s">
        <v>1515</v>
      </c>
      <c r="C56" s="318">
        <f ca="1">1-C57</f>
        <v>0.97399999999999998</v>
      </c>
    </row>
    <row r="57" spans="1:7">
      <c r="B57" s="316" t="s">
        <v>1516</v>
      </c>
      <c r="C57" s="317">
        <f ca="1">ROUND(C51/C52,3)</f>
        <v>2.5999999999999999E-2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8" zoomScale="80" zoomScaleNormal="80" workbookViewId="0">
      <selection activeCell="K21" sqref="K21"/>
    </sheetView>
  </sheetViews>
  <sheetFormatPr defaultColWidth="18.625" defaultRowHeight="14.25"/>
  <cols>
    <col min="1" max="10" width="18.625" style="402"/>
    <col min="11" max="11" width="18.625" style="494"/>
    <col min="12" max="12" width="18.625" style="495"/>
    <col min="13" max="16384" width="18.625" style="402"/>
  </cols>
  <sheetData>
    <row r="1" spans="1:30" s="397" customFormat="1" ht="28.5" customHeight="1">
      <c r="A1" s="393" t="s">
        <v>2747</v>
      </c>
      <c r="B1" s="394"/>
      <c r="C1" s="395"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2333</v>
      </c>
      <c r="B2" s="670">
        <f>F66</f>
        <v>67038</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6"/>
    </row>
    <row r="3" spans="1:30" s="397" customFormat="1" ht="28.5" customHeight="1" thickBot="1">
      <c r="A3" s="246" t="s">
        <v>2335</v>
      </c>
      <c r="B3" s="608">
        <f>ROUND(IF(D3="",B2*10000/'数据-汇总表'!E3,B2*10000/D3),0)</f>
        <v>10382</v>
      </c>
      <c r="C3" s="246"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0" t="s">
        <v>2648</v>
      </c>
      <c r="B4" s="401"/>
      <c r="C4" s="3173" t="s">
        <v>2649</v>
      </c>
      <c r="D4" s="3186"/>
      <c r="E4" s="3187" t="s">
        <v>2650</v>
      </c>
      <c r="F4" s="3188"/>
      <c r="G4" s="3173" t="s">
        <v>2651</v>
      </c>
      <c r="H4" s="3186"/>
      <c r="I4" s="3173" t="s">
        <v>2652</v>
      </c>
      <c r="J4" s="3186"/>
      <c r="K4" s="609" t="s">
        <v>2653</v>
      </c>
      <c r="L4" s="1130"/>
      <c r="M4" s="1131"/>
      <c r="N4" s="1131"/>
      <c r="O4" s="1131"/>
      <c r="P4" s="3189" t="s">
        <v>2654</v>
      </c>
      <c r="Q4" s="3190"/>
      <c r="R4" s="3195" t="s">
        <v>2650</v>
      </c>
      <c r="S4" s="3196"/>
      <c r="T4" s="3195" t="s">
        <v>2651</v>
      </c>
      <c r="U4" s="3196"/>
      <c r="V4" s="3182" t="s">
        <v>2652</v>
      </c>
      <c r="W4" s="3182"/>
      <c r="X4" s="1812"/>
      <c r="Y4" s="3195" t="s">
        <v>2654</v>
      </c>
      <c r="Z4" s="3196"/>
      <c r="AA4" s="3183" t="s">
        <v>2650</v>
      </c>
      <c r="AB4" s="3184" t="s">
        <v>2651</v>
      </c>
      <c r="AC4" s="3183" t="s">
        <v>2652</v>
      </c>
    </row>
    <row r="5" spans="1:30" ht="15">
      <c r="A5" s="403"/>
      <c r="B5" s="404"/>
      <c r="C5" s="3208" t="s">
        <v>2545</v>
      </c>
      <c r="D5" s="3204"/>
      <c r="E5" s="3212" t="s">
        <v>3162</v>
      </c>
      <c r="F5" s="3213"/>
      <c r="G5" s="3203" t="s">
        <v>3164</v>
      </c>
      <c r="H5" s="3204"/>
      <c r="I5" s="3203" t="s">
        <v>3166</v>
      </c>
      <c r="J5" s="3204"/>
      <c r="K5" s="609"/>
      <c r="L5" s="1130"/>
      <c r="M5" s="1131"/>
      <c r="N5" s="1131"/>
      <c r="O5" s="1131"/>
      <c r="P5" s="3191"/>
      <c r="Q5" s="3192"/>
      <c r="R5" s="3197"/>
      <c r="S5" s="3198"/>
      <c r="T5" s="3197"/>
      <c r="U5" s="3198"/>
      <c r="V5" s="3182"/>
      <c r="W5" s="3182"/>
      <c r="X5" s="1812"/>
      <c r="Y5" s="3197"/>
      <c r="Z5" s="3198"/>
      <c r="AA5" s="3184"/>
      <c r="AB5" s="3184"/>
      <c r="AC5" s="3184"/>
    </row>
    <row r="6" spans="1:30" ht="15.75" thickBot="1">
      <c r="A6" s="405"/>
      <c r="B6" s="406"/>
      <c r="C6" s="3209" t="s">
        <v>2549</v>
      </c>
      <c r="D6" s="3202"/>
      <c r="E6" s="3210" t="s">
        <v>3163</v>
      </c>
      <c r="F6" s="3211"/>
      <c r="G6" s="3201" t="s">
        <v>3165</v>
      </c>
      <c r="H6" s="3202"/>
      <c r="I6" s="3201" t="s">
        <v>3167</v>
      </c>
      <c r="J6" s="3202"/>
      <c r="K6" s="609" t="s">
        <v>2550</v>
      </c>
      <c r="L6" s="1130"/>
      <c r="M6" s="1131"/>
      <c r="N6" s="1131"/>
      <c r="O6" s="1131"/>
      <c r="P6" s="3193"/>
      <c r="Q6" s="3194"/>
      <c r="R6" s="3197"/>
      <c r="S6" s="3198"/>
      <c r="T6" s="3199"/>
      <c r="U6" s="3200"/>
      <c r="V6" s="3182"/>
      <c r="W6" s="3182"/>
      <c r="X6" s="1812"/>
      <c r="Y6" s="3199"/>
      <c r="Z6" s="3200"/>
      <c r="AA6" s="3185"/>
      <c r="AB6" s="3185"/>
      <c r="AC6" s="3185"/>
    </row>
    <row r="7" spans="1:30" s="116" customFormat="1" ht="15.75" thickBot="1">
      <c r="A7" s="407" t="s">
        <v>2551</v>
      </c>
      <c r="B7" s="408"/>
      <c r="C7" s="409">
        <f>'数据-取费表'!B2</f>
        <v>43056</v>
      </c>
      <c r="D7" s="410">
        <v>100</v>
      </c>
      <c r="E7" s="411">
        <v>42948</v>
      </c>
      <c r="F7" s="412">
        <f>SUMIF(70:70,YEAR(E7)&amp;"-"&amp;INT((MONTH(E7)+2)/3),71:71)</f>
        <v>99.5</v>
      </c>
      <c r="G7" s="2690">
        <f>E7</f>
        <v>42948</v>
      </c>
      <c r="H7" s="410">
        <f>SUMIF(70:70,YEAR(G7)&amp;"-"&amp;INT((MONTH(G7)+2)/3),71:71)</f>
        <v>99.5</v>
      </c>
      <c r="I7" s="2690">
        <f>E7</f>
        <v>42948</v>
      </c>
      <c r="J7" s="410">
        <f>SUMIF(70:70,YEAR(I7)&amp;"-"&amp;INT((MONTH(I7)+2)/3),71:71)</f>
        <v>99.5</v>
      </c>
      <c r="K7" s="610"/>
      <c r="L7" s="1132"/>
      <c r="M7" s="1133"/>
      <c r="N7" s="1133"/>
      <c r="O7" s="1133"/>
      <c r="P7" s="3205" t="s">
        <v>2552</v>
      </c>
      <c r="Q7" s="3207"/>
      <c r="R7" s="768" t="s">
        <v>17</v>
      </c>
      <c r="S7" s="769">
        <f t="shared" ref="S7:S15" si="0">F7</f>
        <v>99.5</v>
      </c>
      <c r="T7" s="768" t="s">
        <v>17</v>
      </c>
      <c r="U7" s="769">
        <f t="shared" ref="U7:U15" si="1">H7</f>
        <v>99.5</v>
      </c>
      <c r="V7" s="768" t="s">
        <v>17</v>
      </c>
      <c r="W7" s="769">
        <f t="shared" ref="W7:W15" si="2">J7</f>
        <v>99.5</v>
      </c>
      <c r="X7" s="770"/>
      <c r="Y7" s="3205" t="s">
        <v>2552</v>
      </c>
      <c r="Z7" s="3206"/>
      <c r="AA7" s="771">
        <f>D7/F7</f>
        <v>1.0050251256281406</v>
      </c>
      <c r="AB7" s="771">
        <f>D7/H7</f>
        <v>1.0050251256281406</v>
      </c>
      <c r="AC7" s="771">
        <f>D7/J7</f>
        <v>1.0050251256281406</v>
      </c>
    </row>
    <row r="8" spans="1:30" s="116" customFormat="1" ht="15.75" thickBot="1">
      <c r="A8" s="407" t="s">
        <v>2553</v>
      </c>
      <c r="B8" s="408"/>
      <c r="C8" s="413" t="s">
        <v>2554</v>
      </c>
      <c r="D8" s="410">
        <v>100</v>
      </c>
      <c r="E8" s="413" t="s">
        <v>3106</v>
      </c>
      <c r="F8" s="412">
        <f>SUMIF(73:73,E8,74:74)-SUMIF(73:73,C8,74:74)+100</f>
        <v>100</v>
      </c>
      <c r="G8" s="413" t="s">
        <v>3106</v>
      </c>
      <c r="H8" s="410">
        <f>SUMIF(73:73,G8,74:74)-SUMIF(73:73,C8,74:74)+100</f>
        <v>100</v>
      </c>
      <c r="I8" s="413" t="s">
        <v>3106</v>
      </c>
      <c r="J8" s="410">
        <f>SUMIF(73:73,I8,74:74)-SUMIF(73:73,C8,74:74)+100</f>
        <v>100</v>
      </c>
      <c r="K8" s="610"/>
      <c r="L8" s="1132"/>
      <c r="M8" s="1133"/>
      <c r="N8" s="1133"/>
      <c r="O8" s="1133"/>
      <c r="P8" s="3205" t="s">
        <v>2555</v>
      </c>
      <c r="Q8" s="3206"/>
      <c r="R8" s="768" t="s">
        <v>17</v>
      </c>
      <c r="S8" s="769">
        <f t="shared" si="0"/>
        <v>100</v>
      </c>
      <c r="T8" s="768" t="s">
        <v>17</v>
      </c>
      <c r="U8" s="769">
        <f t="shared" si="1"/>
        <v>100</v>
      </c>
      <c r="V8" s="768" t="s">
        <v>17</v>
      </c>
      <c r="W8" s="769">
        <f t="shared" si="2"/>
        <v>100</v>
      </c>
      <c r="X8" s="770"/>
      <c r="Y8" s="3205" t="s">
        <v>2555</v>
      </c>
      <c r="Z8" s="3206"/>
      <c r="AA8" s="771">
        <f t="shared" ref="AA8:AA45" si="3">D8/F8</f>
        <v>1</v>
      </c>
      <c r="AB8" s="771">
        <f t="shared" ref="AB8:AB45" si="4">D8/H8</f>
        <v>1</v>
      </c>
      <c r="AC8" s="771">
        <f t="shared" ref="AC8:AC45" si="5">D8/J8</f>
        <v>1</v>
      </c>
    </row>
    <row r="9" spans="1:30" s="116" customFormat="1">
      <c r="A9" s="414" t="s">
        <v>2556</v>
      </c>
      <c r="B9" s="70" t="s">
        <v>2557</v>
      </c>
      <c r="C9" s="2693" t="s">
        <v>3079</v>
      </c>
      <c r="D9" s="133">
        <v>100</v>
      </c>
      <c r="E9" s="2693" t="s">
        <v>3079</v>
      </c>
      <c r="F9" s="133">
        <f>SUMIF(75:75,E9,76:76)-SUMIF(75:75,C9,76:76)+100</f>
        <v>100</v>
      </c>
      <c r="G9" s="2693" t="s">
        <v>3079</v>
      </c>
      <c r="H9" s="133">
        <f>SUMIF(75:75,G9,76:76)-SUMIF(75:75,C9,76:76)+100</f>
        <v>100</v>
      </c>
      <c r="I9" s="2693" t="s">
        <v>3079</v>
      </c>
      <c r="J9" s="133">
        <f>SUMIF(75:75,I9,76:76)-SUMIF(75:75,C9,76:76)+100</f>
        <v>100</v>
      </c>
      <c r="K9" s="610"/>
      <c r="L9" s="1132"/>
      <c r="M9" s="1133"/>
      <c r="N9" s="1133"/>
      <c r="O9" s="1134"/>
      <c r="P9" s="3176" t="s">
        <v>2558</v>
      </c>
      <c r="Q9" s="1794" t="str">
        <f t="shared" ref="Q9:Q15" si="6">B9</f>
        <v>用途</v>
      </c>
      <c r="R9" s="768" t="s">
        <v>17</v>
      </c>
      <c r="S9" s="769">
        <f t="shared" si="0"/>
        <v>100</v>
      </c>
      <c r="T9" s="768" t="s">
        <v>17</v>
      </c>
      <c r="U9" s="769">
        <f t="shared" si="1"/>
        <v>100</v>
      </c>
      <c r="V9" s="768" t="s">
        <v>17</v>
      </c>
      <c r="W9" s="769">
        <f t="shared" si="2"/>
        <v>100</v>
      </c>
      <c r="X9" s="770"/>
      <c r="Y9" s="3024" t="s">
        <v>2559</v>
      </c>
      <c r="Z9" s="54" t="str">
        <f t="shared" ref="Z9:Z15" si="7">Q9</f>
        <v>用途</v>
      </c>
      <c r="AA9" s="771">
        <f t="shared" si="3"/>
        <v>1</v>
      </c>
      <c r="AB9" s="771">
        <f t="shared" si="4"/>
        <v>1</v>
      </c>
      <c r="AC9" s="771">
        <f t="shared" si="5"/>
        <v>1</v>
      </c>
    </row>
    <row r="10" spans="1:30" s="426" customFormat="1" ht="15">
      <c r="A10" s="420"/>
      <c r="B10" s="421" t="s">
        <v>2560</v>
      </c>
      <c r="C10" s="431">
        <v>67.84</v>
      </c>
      <c r="D10" s="134">
        <v>100</v>
      </c>
      <c r="E10" s="464" t="s">
        <v>3105</v>
      </c>
      <c r="F10" s="134">
        <f>ROUND(100/'数据-取费表'!G16,0)</f>
        <v>101</v>
      </c>
      <c r="G10" s="462" t="s">
        <v>3105</v>
      </c>
      <c r="H10" s="134">
        <f>ROUND(100/'数据-取费表'!G16,0)</f>
        <v>101</v>
      </c>
      <c r="I10" s="462" t="s">
        <v>3105</v>
      </c>
      <c r="J10" s="134">
        <f>ROUND(100/'数据-取费表'!G16,0)</f>
        <v>101</v>
      </c>
      <c r="K10" s="671"/>
      <c r="L10" s="1135"/>
      <c r="M10" s="1136"/>
      <c r="N10" s="1136"/>
      <c r="O10" s="1137"/>
      <c r="P10" s="3176"/>
      <c r="Q10" s="1794" t="str">
        <f t="shared" si="6"/>
        <v>土地使用年限（年）</v>
      </c>
      <c r="R10" s="768" t="s">
        <v>17</v>
      </c>
      <c r="S10" s="769">
        <f t="shared" si="0"/>
        <v>101</v>
      </c>
      <c r="T10" s="768" t="s">
        <v>17</v>
      </c>
      <c r="U10" s="769">
        <f t="shared" si="1"/>
        <v>101</v>
      </c>
      <c r="V10" s="768" t="s">
        <v>17</v>
      </c>
      <c r="W10" s="769">
        <f t="shared" si="2"/>
        <v>101</v>
      </c>
      <c r="X10" s="770"/>
      <c r="Y10" s="3024"/>
      <c r="Z10" s="54" t="str">
        <f t="shared" si="7"/>
        <v>土地使用年限（年）</v>
      </c>
      <c r="AA10" s="771">
        <f t="shared" si="3"/>
        <v>0.99009900990099009</v>
      </c>
      <c r="AB10" s="771">
        <f t="shared" si="4"/>
        <v>0.99009900990099009</v>
      </c>
      <c r="AC10" s="771">
        <f t="shared" si="5"/>
        <v>0.99009900990099009</v>
      </c>
    </row>
    <row r="11" spans="1:30" ht="15.75" thickBot="1">
      <c r="A11" s="427"/>
      <c r="B11" s="421" t="s">
        <v>2561</v>
      </c>
      <c r="C11" s="428">
        <f>'数据-汇总表'!I4</f>
        <v>2.54</v>
      </c>
      <c r="D11" s="134">
        <v>100</v>
      </c>
      <c r="E11" s="428">
        <v>3</v>
      </c>
      <c r="F11" s="134">
        <f>LOOKUP(E11,80:80,81:81)-LOOKUP(C11,80:80,81:81)+100</f>
        <v>95</v>
      </c>
      <c r="G11" s="429">
        <v>1.3</v>
      </c>
      <c r="H11" s="134">
        <f>LOOKUP(G11,80:80,81:81)-LOOKUP(C11,80:80,81:81)+100</f>
        <v>105</v>
      </c>
      <c r="I11" s="428">
        <v>1.3</v>
      </c>
      <c r="J11" s="134">
        <f>LOOKUP(I11,80:80,81:81)-LOOKUP(C11,80:80,81:81)+100</f>
        <v>105</v>
      </c>
      <c r="K11" s="672">
        <v>5</v>
      </c>
      <c r="L11" s="1138"/>
      <c r="M11" s="1131"/>
      <c r="N11" s="1131"/>
      <c r="O11" s="1139"/>
      <c r="P11" s="3176"/>
      <c r="Q11" s="1794" t="str">
        <f t="shared" si="6"/>
        <v>容积率</v>
      </c>
      <c r="R11" s="768" t="s">
        <v>17</v>
      </c>
      <c r="S11" s="769">
        <f t="shared" si="0"/>
        <v>95</v>
      </c>
      <c r="T11" s="768" t="s">
        <v>17</v>
      </c>
      <c r="U11" s="769">
        <f t="shared" si="1"/>
        <v>105</v>
      </c>
      <c r="V11" s="768" t="s">
        <v>17</v>
      </c>
      <c r="W11" s="769">
        <f t="shared" si="2"/>
        <v>105</v>
      </c>
      <c r="X11" s="770"/>
      <c r="Y11" s="3024"/>
      <c r="Z11" s="54" t="str">
        <f t="shared" si="7"/>
        <v>容积率</v>
      </c>
      <c r="AA11" s="771">
        <f t="shared" si="3"/>
        <v>1.0526315789473684</v>
      </c>
      <c r="AB11" s="771">
        <f t="shared" si="4"/>
        <v>0.95238095238095233</v>
      </c>
      <c r="AC11" s="771">
        <f t="shared" si="5"/>
        <v>0.95238095238095233</v>
      </c>
    </row>
    <row r="12" spans="1:30" s="116" customFormat="1" ht="15" hidden="1">
      <c r="A12" s="430"/>
      <c r="B12" s="2596" t="s">
        <v>2750</v>
      </c>
      <c r="C12" s="431"/>
      <c r="D12" s="432">
        <v>100</v>
      </c>
      <c r="E12" s="464"/>
      <c r="F12" s="134">
        <f>SUMIF(82:82,E12,83:83)-SUMIF(82:82,C12,83:83)+100</f>
        <v>100</v>
      </c>
      <c r="G12" s="462"/>
      <c r="H12" s="134">
        <f>SUMIF(82:82,G12,83:83)-SUMIF(82:82,C12,83:83)+100</f>
        <v>100</v>
      </c>
      <c r="I12" s="464"/>
      <c r="J12" s="134">
        <f>SUMIF(82:82,I12,83:83)-SUMIF(82:82,C12,83:83)+100</f>
        <v>100</v>
      </c>
      <c r="K12" s="671"/>
      <c r="L12" s="1132"/>
      <c r="M12" s="1133"/>
      <c r="N12" s="1133"/>
      <c r="O12" s="1134"/>
      <c r="P12" s="3176"/>
      <c r="Q12" s="1794" t="str">
        <f t="shared" si="6"/>
        <v>配建</v>
      </c>
      <c r="R12" s="768" t="s">
        <v>17</v>
      </c>
      <c r="S12" s="769">
        <f t="shared" si="0"/>
        <v>100</v>
      </c>
      <c r="T12" s="768" t="s">
        <v>17</v>
      </c>
      <c r="U12" s="769">
        <f t="shared" si="1"/>
        <v>100</v>
      </c>
      <c r="V12" s="768" t="s">
        <v>17</v>
      </c>
      <c r="W12" s="769">
        <f t="shared" si="2"/>
        <v>100</v>
      </c>
      <c r="X12" s="770"/>
      <c r="Y12" s="3024"/>
      <c r="Z12" s="54" t="str">
        <f t="shared" si="7"/>
        <v>配建</v>
      </c>
      <c r="AA12" s="771">
        <f>D12/F12</f>
        <v>1</v>
      </c>
      <c r="AB12" s="771">
        <f>D12/H12</f>
        <v>1</v>
      </c>
      <c r="AC12" s="771">
        <f>D12/J12</f>
        <v>1</v>
      </c>
    </row>
    <row r="13" spans="1:30" ht="15" hidden="1">
      <c r="A13" s="427"/>
      <c r="B13" s="2596">
        <v>111</v>
      </c>
      <c r="C13" s="433"/>
      <c r="D13" s="434">
        <v>100</v>
      </c>
      <c r="E13" s="548"/>
      <c r="F13" s="134">
        <f>SUMIF(84:84,E13,85:85)-SUMIF(84:84,C13,85:85)+100</f>
        <v>100</v>
      </c>
      <c r="G13" s="673"/>
      <c r="H13" s="434">
        <f>SUMIF(84:84,G13,85:85)-SUMIF(84:84,C13,85:85)+100</f>
        <v>100</v>
      </c>
      <c r="I13" s="673"/>
      <c r="J13" s="434">
        <f>SUMIF(84:84,I13,85:85)-SUMIF(84:84,C13,85:85)+100</f>
        <v>100</v>
      </c>
      <c r="K13" s="671"/>
      <c r="L13" s="1140"/>
      <c r="M13" s="1131"/>
      <c r="N13" s="1131"/>
      <c r="O13" s="1139"/>
      <c r="P13" s="3176"/>
      <c r="Q13" s="1794">
        <f t="shared" si="6"/>
        <v>111</v>
      </c>
      <c r="R13" s="768" t="s">
        <v>17</v>
      </c>
      <c r="S13" s="769">
        <f t="shared" si="0"/>
        <v>100</v>
      </c>
      <c r="T13" s="768" t="s">
        <v>17</v>
      </c>
      <c r="U13" s="769">
        <f t="shared" si="1"/>
        <v>100</v>
      </c>
      <c r="V13" s="768" t="s">
        <v>17</v>
      </c>
      <c r="W13" s="769">
        <f t="shared" si="2"/>
        <v>100</v>
      </c>
      <c r="X13" s="770"/>
      <c r="Y13" s="3024"/>
      <c r="Z13" s="54">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176"/>
      <c r="Q14" s="1794">
        <f t="shared" si="6"/>
        <v>111</v>
      </c>
      <c r="R14" s="768" t="s">
        <v>17</v>
      </c>
      <c r="S14" s="769">
        <f t="shared" si="0"/>
        <v>100</v>
      </c>
      <c r="T14" s="768" t="s">
        <v>17</v>
      </c>
      <c r="U14" s="769">
        <f t="shared" si="1"/>
        <v>100</v>
      </c>
      <c r="V14" s="768" t="s">
        <v>17</v>
      </c>
      <c r="W14" s="769">
        <f t="shared" si="2"/>
        <v>100</v>
      </c>
      <c r="X14" s="770"/>
      <c r="Y14" s="3024"/>
      <c r="Z14" s="54">
        <f t="shared" si="7"/>
        <v>111</v>
      </c>
      <c r="AA14" s="771">
        <f>D14/F14</f>
        <v>1</v>
      </c>
      <c r="AB14" s="771">
        <f>D14/H14</f>
        <v>1</v>
      </c>
      <c r="AC14" s="771">
        <f>D14/J14</f>
        <v>1</v>
      </c>
    </row>
    <row r="15" spans="1:30" ht="71.25">
      <c r="A15" s="439" t="s">
        <v>2562</v>
      </c>
      <c r="B15" s="68" t="s">
        <v>2091</v>
      </c>
      <c r="C15" s="2599" t="str">
        <f>估价对象房地状况!C15</f>
        <v>估价对象周边居住用地比例、居住小区规模和社区发展完善程度，综合评价居住社区成熟度一般</v>
      </c>
      <c r="D15" s="440">
        <v>100</v>
      </c>
      <c r="E15" s="441"/>
      <c r="F15" s="440">
        <f>SUMIF(88:88,E16,89:89)-SUMIF(88:88,C16,89:89)+100</f>
        <v>105</v>
      </c>
      <c r="G15" s="441"/>
      <c r="H15" s="440">
        <f>SUMIF(88:88,G16,89:89)-SUMIF(88:88,C16,89:89)+100</f>
        <v>100</v>
      </c>
      <c r="I15" s="443"/>
      <c r="J15" s="440">
        <f>SUMIF(88:88,I16,89:89)-SUMIF(88:88,C16,89:89)+100</f>
        <v>100</v>
      </c>
      <c r="K15" s="672">
        <v>5</v>
      </c>
      <c r="L15" s="1140"/>
      <c r="M15" s="1131"/>
      <c r="N15" s="1131"/>
      <c r="O15" s="1139"/>
      <c r="P15" s="3178" t="s">
        <v>2563</v>
      </c>
      <c r="Q15" s="1809" t="str">
        <f t="shared" si="6"/>
        <v>居住社区成熟度</v>
      </c>
      <c r="R15" s="772" t="s">
        <v>17</v>
      </c>
      <c r="S15" s="773">
        <f t="shared" si="0"/>
        <v>105</v>
      </c>
      <c r="T15" s="772" t="s">
        <v>17</v>
      </c>
      <c r="U15" s="773">
        <f t="shared" si="1"/>
        <v>100</v>
      </c>
      <c r="V15" s="772" t="s">
        <v>17</v>
      </c>
      <c r="W15" s="773">
        <f t="shared" si="2"/>
        <v>100</v>
      </c>
      <c r="X15" s="1812"/>
      <c r="Y15" s="3178" t="s">
        <v>2563</v>
      </c>
      <c r="Z15" s="1813" t="str">
        <f t="shared" si="7"/>
        <v>居住社区成熟度</v>
      </c>
      <c r="AA15" s="1810">
        <f t="shared" si="3"/>
        <v>0.95238095238095233</v>
      </c>
      <c r="AB15" s="1810">
        <f t="shared" si="4"/>
        <v>1</v>
      </c>
      <c r="AC15" s="1810">
        <f t="shared" si="5"/>
        <v>1</v>
      </c>
    </row>
    <row r="16" spans="1:30" ht="15">
      <c r="A16" s="427"/>
      <c r="B16" s="445"/>
      <c r="C16" s="446" t="s">
        <v>3110</v>
      </c>
      <c r="D16" s="447"/>
      <c r="E16" s="2601" t="s">
        <v>3111</v>
      </c>
      <c r="F16" s="447"/>
      <c r="G16" s="2601" t="s">
        <v>3110</v>
      </c>
      <c r="H16" s="449"/>
      <c r="I16" s="2600" t="s">
        <v>3110</v>
      </c>
      <c r="J16" s="447"/>
      <c r="K16" s="671"/>
      <c r="L16" s="1140"/>
      <c r="M16" s="1131"/>
      <c r="N16" s="1131"/>
      <c r="O16" s="1139"/>
      <c r="P16" s="3179"/>
      <c r="Q16" s="1809"/>
      <c r="R16" s="772"/>
      <c r="S16" s="773"/>
      <c r="T16" s="772"/>
      <c r="U16" s="773"/>
      <c r="V16" s="772"/>
      <c r="W16" s="773"/>
      <c r="X16" s="1812"/>
      <c r="Y16" s="3179"/>
      <c r="Z16" s="1813"/>
      <c r="AA16" s="1810">
        <v>1</v>
      </c>
      <c r="AB16" s="1810">
        <v>1</v>
      </c>
      <c r="AC16" s="1810">
        <v>1</v>
      </c>
    </row>
    <row r="17" spans="1:29" ht="57">
      <c r="A17" s="427"/>
      <c r="B17" s="450" t="s">
        <v>2656</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5</v>
      </c>
      <c r="L17" s="1140"/>
      <c r="M17" s="1131"/>
      <c r="N17" s="1131"/>
      <c r="O17" s="1139"/>
      <c r="P17" s="3179"/>
      <c r="Q17" s="1809" t="str">
        <f>B17</f>
        <v>商业繁华度</v>
      </c>
      <c r="R17" s="772" t="s">
        <v>17</v>
      </c>
      <c r="S17" s="773">
        <f>F17</f>
        <v>100</v>
      </c>
      <c r="T17" s="772" t="s">
        <v>17</v>
      </c>
      <c r="U17" s="773">
        <f>H17</f>
        <v>100</v>
      </c>
      <c r="V17" s="772" t="s">
        <v>17</v>
      </c>
      <c r="W17" s="773">
        <f>J17</f>
        <v>100</v>
      </c>
      <c r="X17" s="1812"/>
      <c r="Y17" s="3179"/>
      <c r="Z17" s="1813" t="str">
        <f>Q17</f>
        <v>商业繁华度</v>
      </c>
      <c r="AA17" s="1810">
        <f t="shared" si="3"/>
        <v>1</v>
      </c>
      <c r="AB17" s="1810">
        <f t="shared" si="4"/>
        <v>1</v>
      </c>
      <c r="AC17" s="1810">
        <f t="shared" si="5"/>
        <v>1</v>
      </c>
    </row>
    <row r="18" spans="1:29" ht="15">
      <c r="A18" s="427"/>
      <c r="B18" s="455"/>
      <c r="C18" s="2604" t="s">
        <v>3110</v>
      </c>
      <c r="D18" s="449"/>
      <c r="E18" s="2606" t="s">
        <v>3110</v>
      </c>
      <c r="F18" s="449"/>
      <c r="G18" s="2606" t="s">
        <v>3110</v>
      </c>
      <c r="H18" s="447"/>
      <c r="I18" s="2605" t="s">
        <v>3110</v>
      </c>
      <c r="J18" s="447"/>
      <c r="K18" s="671"/>
      <c r="L18" s="1140"/>
      <c r="M18" s="1131"/>
      <c r="N18" s="1131"/>
      <c r="O18" s="1139"/>
      <c r="P18" s="3179"/>
      <c r="Q18" s="1809"/>
      <c r="R18" s="772"/>
      <c r="S18" s="773"/>
      <c r="T18" s="772"/>
      <c r="U18" s="773"/>
      <c r="V18" s="772"/>
      <c r="W18" s="773"/>
      <c r="X18" s="1812"/>
      <c r="Y18" s="3179"/>
      <c r="Z18" s="1813"/>
      <c r="AA18" s="1810">
        <v>1</v>
      </c>
      <c r="AB18" s="1810">
        <v>1</v>
      </c>
      <c r="AC18" s="1810">
        <v>1</v>
      </c>
    </row>
    <row r="19" spans="1:29" ht="57" hidden="1">
      <c r="A19" s="427"/>
      <c r="B19" s="450" t="s">
        <v>2690</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179"/>
      <c r="Q19" s="1809" t="str">
        <f>B19</f>
        <v>办公集聚程度</v>
      </c>
      <c r="R19" s="772" t="s">
        <v>17</v>
      </c>
      <c r="S19" s="773">
        <f>F19</f>
        <v>100</v>
      </c>
      <c r="T19" s="772" t="s">
        <v>17</v>
      </c>
      <c r="U19" s="773">
        <f>H19</f>
        <v>100</v>
      </c>
      <c r="V19" s="772" t="s">
        <v>17</v>
      </c>
      <c r="W19" s="773">
        <f>J19</f>
        <v>100</v>
      </c>
      <c r="X19" s="1812"/>
      <c r="Y19" s="3179"/>
      <c r="Z19" s="1813" t="str">
        <f>Q19</f>
        <v>办公集聚程度</v>
      </c>
      <c r="AA19" s="1810">
        <f t="shared" si="3"/>
        <v>1</v>
      </c>
      <c r="AB19" s="1810">
        <f t="shared" si="4"/>
        <v>1</v>
      </c>
      <c r="AC19" s="1810">
        <f t="shared" si="5"/>
        <v>1</v>
      </c>
    </row>
    <row r="20" spans="1:29" ht="15" hidden="1">
      <c r="A20" s="427"/>
      <c r="B20" s="455"/>
      <c r="C20" s="446"/>
      <c r="D20" s="447"/>
      <c r="E20" s="2601"/>
      <c r="F20" s="447"/>
      <c r="G20" s="2601"/>
      <c r="H20" s="447"/>
      <c r="I20" s="2600"/>
      <c r="J20" s="447"/>
      <c r="K20" s="671"/>
      <c r="L20" s="1140"/>
      <c r="M20" s="1131"/>
      <c r="N20" s="1131"/>
      <c r="O20" s="1139"/>
      <c r="P20" s="3179"/>
      <c r="Q20" s="1809"/>
      <c r="R20" s="772"/>
      <c r="S20" s="773"/>
      <c r="T20" s="772"/>
      <c r="U20" s="773"/>
      <c r="V20" s="772"/>
      <c r="W20" s="773"/>
      <c r="X20" s="1812"/>
      <c r="Y20" s="3179"/>
      <c r="Z20" s="1813"/>
      <c r="AA20" s="1810">
        <v>1</v>
      </c>
      <c r="AB20" s="1810">
        <v>1</v>
      </c>
      <c r="AC20" s="1810">
        <v>1</v>
      </c>
    </row>
    <row r="21" spans="1:29" ht="71.25">
      <c r="A21" s="427"/>
      <c r="B21" s="450" t="s">
        <v>2712</v>
      </c>
      <c r="C21" s="2603" t="str">
        <f>估价对象房地状况!C18</f>
        <v>估价对象周边道路状况、公共交通通达情况、停车便捷程度，综合评价交通便捷度较好</v>
      </c>
      <c r="D21" s="449">
        <v>100</v>
      </c>
      <c r="E21" s="451"/>
      <c r="F21" s="454">
        <f>SUMIF(94:94,E22,95:95)-SUMIF(94:94,C22,95:95)+100</f>
        <v>105</v>
      </c>
      <c r="G21" s="451"/>
      <c r="H21" s="449">
        <f>SUMIF(94:94,G22,95:95)-SUMIF(94:94,C22,95:95)+100</f>
        <v>100</v>
      </c>
      <c r="I21" s="453"/>
      <c r="J21" s="449">
        <f>SUMIF(94:94,I22,95:95)-SUMIF(94:94,C22,95:95)+100</f>
        <v>100</v>
      </c>
      <c r="K21" s="672">
        <v>5</v>
      </c>
      <c r="L21" s="1140"/>
      <c r="M21" s="1131"/>
      <c r="N21" s="1131"/>
      <c r="O21" s="1139"/>
      <c r="P21" s="3179"/>
      <c r="Q21" s="1809" t="str">
        <f>B21</f>
        <v>交通便捷度</v>
      </c>
      <c r="R21" s="772" t="s">
        <v>17</v>
      </c>
      <c r="S21" s="773">
        <f>F21</f>
        <v>105</v>
      </c>
      <c r="T21" s="772" t="s">
        <v>17</v>
      </c>
      <c r="U21" s="773">
        <f>H21</f>
        <v>100</v>
      </c>
      <c r="V21" s="772" t="s">
        <v>17</v>
      </c>
      <c r="W21" s="773">
        <f>J21</f>
        <v>100</v>
      </c>
      <c r="X21" s="1812"/>
      <c r="Y21" s="3179"/>
      <c r="Z21" s="1813" t="str">
        <f>Q21</f>
        <v>交通便捷度</v>
      </c>
      <c r="AA21" s="1810">
        <f t="shared" si="3"/>
        <v>0.95238095238095233</v>
      </c>
      <c r="AB21" s="1810">
        <f t="shared" si="4"/>
        <v>1</v>
      </c>
      <c r="AC21" s="1810">
        <f t="shared" si="5"/>
        <v>1</v>
      </c>
    </row>
    <row r="22" spans="1:29" ht="15">
      <c r="A22" s="427"/>
      <c r="B22" s="1384"/>
      <c r="C22" s="446" t="s">
        <v>3110</v>
      </c>
      <c r="D22" s="449"/>
      <c r="E22" s="2601" t="s">
        <v>3111</v>
      </c>
      <c r="F22" s="447"/>
      <c r="G22" s="2601" t="s">
        <v>3110</v>
      </c>
      <c r="H22" s="447"/>
      <c r="I22" s="2600" t="s">
        <v>3110</v>
      </c>
      <c r="J22" s="447"/>
      <c r="K22" s="671"/>
      <c r="L22" s="1140"/>
      <c r="M22" s="1131"/>
      <c r="N22" s="1131"/>
      <c r="O22" s="1139"/>
      <c r="P22" s="3179"/>
      <c r="Q22" s="1809"/>
      <c r="R22" s="772"/>
      <c r="S22" s="773"/>
      <c r="T22" s="772"/>
      <c r="U22" s="773"/>
      <c r="V22" s="772"/>
      <c r="W22" s="773"/>
      <c r="X22" s="1812"/>
      <c r="Y22" s="3179"/>
      <c r="Z22" s="1813"/>
      <c r="AA22" s="1810">
        <v>1</v>
      </c>
      <c r="AB22" s="1810">
        <v>1</v>
      </c>
      <c r="AC22" s="1810">
        <v>1</v>
      </c>
    </row>
    <row r="23" spans="1:29" ht="15">
      <c r="A23" s="403"/>
      <c r="B23" s="450" t="s">
        <v>2751</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0"/>
      <c r="M23" s="1131"/>
      <c r="N23" s="1131"/>
      <c r="O23" s="1139"/>
      <c r="P23" s="3179"/>
      <c r="Q23" s="1809" t="str">
        <f t="shared" ref="Q23:Q37" si="8">B23</f>
        <v>区域土地利用方向</v>
      </c>
      <c r="R23" s="772" t="s">
        <v>17</v>
      </c>
      <c r="S23" s="773">
        <f>F23</f>
        <v>100</v>
      </c>
      <c r="T23" s="772" t="s">
        <v>17</v>
      </c>
      <c r="U23" s="773">
        <f>H23</f>
        <v>100</v>
      </c>
      <c r="V23" s="772" t="s">
        <v>17</v>
      </c>
      <c r="W23" s="773">
        <f>J23</f>
        <v>100</v>
      </c>
      <c r="X23" s="1812"/>
      <c r="Y23" s="3179"/>
      <c r="Z23" s="1813" t="str">
        <f>Q23</f>
        <v>区域土地利用方向</v>
      </c>
      <c r="AA23" s="1810">
        <f t="shared" si="3"/>
        <v>1</v>
      </c>
      <c r="AB23" s="1810">
        <f t="shared" si="4"/>
        <v>1</v>
      </c>
      <c r="AC23" s="1810">
        <f t="shared" si="5"/>
        <v>1</v>
      </c>
    </row>
    <row r="24" spans="1:29" ht="15">
      <c r="A24" s="403"/>
      <c r="B24" s="455"/>
      <c r="C24" s="615" t="s">
        <v>3111</v>
      </c>
      <c r="D24" s="447"/>
      <c r="E24" s="2601" t="s">
        <v>3111</v>
      </c>
      <c r="F24" s="447"/>
      <c r="G24" s="2600" t="s">
        <v>3111</v>
      </c>
      <c r="H24" s="447"/>
      <c r="I24" s="2600" t="s">
        <v>3111</v>
      </c>
      <c r="J24" s="447"/>
      <c r="K24" s="809"/>
      <c r="L24" s="1140"/>
      <c r="M24" s="1131"/>
      <c r="N24" s="1131"/>
      <c r="O24" s="1139"/>
      <c r="P24" s="3179"/>
      <c r="Q24" s="1809"/>
      <c r="R24" s="772"/>
      <c r="S24" s="773"/>
      <c r="T24" s="772"/>
      <c r="U24" s="773"/>
      <c r="V24" s="772"/>
      <c r="W24" s="773"/>
      <c r="X24" s="1812"/>
      <c r="Y24" s="3179"/>
      <c r="Z24" s="1813"/>
      <c r="AA24" s="1810"/>
      <c r="AB24" s="1810"/>
      <c r="AC24" s="1810"/>
    </row>
    <row r="25" spans="1:29" ht="42.75">
      <c r="A25" s="403"/>
      <c r="B25" s="1384" t="s">
        <v>2752</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0"/>
      <c r="M25" s="1131"/>
      <c r="N25" s="1131"/>
      <c r="O25" s="1139"/>
      <c r="P25" s="3179"/>
      <c r="Q25" s="1809" t="str">
        <f t="shared" si="8"/>
        <v>自然及人文环境状况</v>
      </c>
      <c r="R25" s="772" t="s">
        <v>17</v>
      </c>
      <c r="S25" s="773">
        <f>F25</f>
        <v>100</v>
      </c>
      <c r="T25" s="772" t="s">
        <v>17</v>
      </c>
      <c r="U25" s="773">
        <f>H25</f>
        <v>100</v>
      </c>
      <c r="V25" s="772" t="s">
        <v>17</v>
      </c>
      <c r="W25" s="773">
        <f>J25</f>
        <v>100</v>
      </c>
      <c r="X25" s="1812"/>
      <c r="Y25" s="3179"/>
      <c r="Z25" s="1813" t="str">
        <f>Q25</f>
        <v>自然及人文环境状况</v>
      </c>
      <c r="AA25" s="1810">
        <f t="shared" si="3"/>
        <v>1</v>
      </c>
      <c r="AB25" s="1810">
        <f t="shared" si="4"/>
        <v>1</v>
      </c>
      <c r="AC25" s="1810">
        <f t="shared" si="5"/>
        <v>1</v>
      </c>
    </row>
    <row r="26" spans="1:29" ht="15">
      <c r="A26" s="403"/>
      <c r="B26" s="455"/>
      <c r="C26" s="446" t="s">
        <v>3111</v>
      </c>
      <c r="D26" s="447"/>
      <c r="E26" s="2607" t="s">
        <v>3111</v>
      </c>
      <c r="F26" s="447"/>
      <c r="G26" s="2607" t="s">
        <v>3111</v>
      </c>
      <c r="H26" s="447"/>
      <c r="I26" s="446" t="s">
        <v>3111</v>
      </c>
      <c r="J26" s="447"/>
      <c r="K26" s="671"/>
      <c r="L26" s="1140"/>
      <c r="M26" s="1131"/>
      <c r="N26" s="1131"/>
      <c r="O26" s="1139"/>
      <c r="P26" s="3179"/>
      <c r="Q26" s="1809"/>
      <c r="R26" s="772"/>
      <c r="S26" s="773"/>
      <c r="T26" s="772"/>
      <c r="U26" s="773"/>
      <c r="V26" s="772"/>
      <c r="W26" s="773"/>
      <c r="X26" s="1812"/>
      <c r="Y26" s="3179"/>
      <c r="Z26" s="1813"/>
      <c r="AA26" s="1810">
        <v>1</v>
      </c>
      <c r="AB26" s="1810">
        <v>1</v>
      </c>
      <c r="AC26" s="1810">
        <v>1</v>
      </c>
    </row>
    <row r="27" spans="1:29" s="116" customFormat="1" ht="28.5">
      <c r="A27" s="648"/>
      <c r="B27" s="1384" t="s">
        <v>2657</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2"/>
      <c r="M27" s="1133"/>
      <c r="N27" s="1133"/>
      <c r="O27" s="1134"/>
      <c r="P27" s="3179"/>
      <c r="Q27" s="1794" t="str">
        <f t="shared" si="8"/>
        <v>公共配套设施</v>
      </c>
      <c r="R27" s="768" t="s">
        <v>17</v>
      </c>
      <c r="S27" s="769">
        <f>F27</f>
        <v>100</v>
      </c>
      <c r="T27" s="768" t="s">
        <v>17</v>
      </c>
      <c r="U27" s="769">
        <f>H27</f>
        <v>100</v>
      </c>
      <c r="V27" s="768" t="s">
        <v>17</v>
      </c>
      <c r="W27" s="769">
        <f>J27</f>
        <v>100</v>
      </c>
      <c r="X27" s="770"/>
      <c r="Y27" s="3179"/>
      <c r="Z27" s="54" t="str">
        <f>Q27</f>
        <v>公共配套设施</v>
      </c>
      <c r="AA27" s="1810">
        <f>D27/F27</f>
        <v>1</v>
      </c>
      <c r="AB27" s="1810">
        <f>D27/H27</f>
        <v>1</v>
      </c>
      <c r="AC27" s="1810">
        <f>D27/J27</f>
        <v>1</v>
      </c>
    </row>
    <row r="28" spans="1:29" s="116" customFormat="1" ht="15">
      <c r="A28" s="648"/>
      <c r="B28" s="455"/>
      <c r="C28" s="2694" t="s">
        <v>3111</v>
      </c>
      <c r="D28" s="447"/>
      <c r="E28" s="2607" t="s">
        <v>3111</v>
      </c>
      <c r="F28" s="447"/>
      <c r="G28" s="2607" t="s">
        <v>3111</v>
      </c>
      <c r="H28" s="447"/>
      <c r="I28" s="446" t="s">
        <v>3111</v>
      </c>
      <c r="J28" s="447"/>
      <c r="K28" s="671"/>
      <c r="L28" s="1132"/>
      <c r="M28" s="1133"/>
      <c r="N28" s="1133"/>
      <c r="O28" s="1134"/>
      <c r="P28" s="3179"/>
      <c r="Q28" s="1794"/>
      <c r="R28" s="768"/>
      <c r="S28" s="769"/>
      <c r="T28" s="768"/>
      <c r="U28" s="769"/>
      <c r="V28" s="768"/>
      <c r="W28" s="769"/>
      <c r="X28" s="770"/>
      <c r="Y28" s="3179"/>
      <c r="Z28" s="54"/>
      <c r="AA28" s="1810">
        <v>1</v>
      </c>
      <c r="AB28" s="1810">
        <v>1</v>
      </c>
      <c r="AC28" s="1810">
        <v>1</v>
      </c>
    </row>
    <row r="29" spans="1:29" s="116" customFormat="1" ht="28.5">
      <c r="A29" s="648"/>
      <c r="B29" s="1384" t="s">
        <v>2658</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2"/>
      <c r="M29" s="1133"/>
      <c r="N29" s="1133"/>
      <c r="O29" s="1134"/>
      <c r="P29" s="3179"/>
      <c r="Q29" s="1794" t="str">
        <f t="shared" ref="Q29" si="9">B29</f>
        <v>基础设施水平</v>
      </c>
      <c r="R29" s="768" t="s">
        <v>17</v>
      </c>
      <c r="S29" s="769">
        <f>F29</f>
        <v>100</v>
      </c>
      <c r="T29" s="768" t="s">
        <v>17</v>
      </c>
      <c r="U29" s="769">
        <f>H29</f>
        <v>100</v>
      </c>
      <c r="V29" s="768" t="s">
        <v>17</v>
      </c>
      <c r="W29" s="769">
        <f>J29</f>
        <v>100</v>
      </c>
      <c r="X29" s="770"/>
      <c r="Y29" s="3179"/>
      <c r="Z29" s="54" t="str">
        <f>Q29</f>
        <v>基础设施水平</v>
      </c>
      <c r="AA29" s="1810">
        <f>D29/F29</f>
        <v>1</v>
      </c>
      <c r="AB29" s="1810">
        <f>D29/H29</f>
        <v>1</v>
      </c>
      <c r="AC29" s="1810">
        <f>D29/J29</f>
        <v>1</v>
      </c>
    </row>
    <row r="30" spans="1:29" s="116" customFormat="1" ht="15">
      <c r="A30" s="648"/>
      <c r="B30" s="455"/>
      <c r="C30" s="2694" t="s">
        <v>3112</v>
      </c>
      <c r="D30" s="447"/>
      <c r="E30" s="2695" t="s">
        <v>3112</v>
      </c>
      <c r="F30" s="447"/>
      <c r="G30" s="2695" t="s">
        <v>3112</v>
      </c>
      <c r="H30" s="447"/>
      <c r="I30" s="2695" t="s">
        <v>3112</v>
      </c>
      <c r="J30" s="447"/>
      <c r="K30" s="671"/>
      <c r="L30" s="1132"/>
      <c r="M30" s="1133"/>
      <c r="N30" s="1133"/>
      <c r="O30" s="1134"/>
      <c r="P30" s="3179"/>
      <c r="Q30" s="1794"/>
      <c r="R30" s="768"/>
      <c r="S30" s="769"/>
      <c r="T30" s="768"/>
      <c r="U30" s="769"/>
      <c r="V30" s="768"/>
      <c r="W30" s="769"/>
      <c r="X30" s="770"/>
      <c r="Y30" s="3179"/>
      <c r="Z30" s="54"/>
      <c r="AA30" s="1810">
        <v>1</v>
      </c>
      <c r="AB30" s="1810">
        <v>1</v>
      </c>
      <c r="AC30" s="1810">
        <v>1</v>
      </c>
    </row>
    <row r="31" spans="1:29" ht="15">
      <c r="A31" s="427"/>
      <c r="B31" s="455" t="s">
        <v>2659</v>
      </c>
      <c r="C31" s="615" t="s">
        <v>3114</v>
      </c>
      <c r="D31" s="434">
        <v>100</v>
      </c>
      <c r="E31" s="633" t="s">
        <v>3113</v>
      </c>
      <c r="F31" s="434">
        <f>SUMIF(104:104,E31,105:105)-SUMIF(104:104,C31,105:105)+100</f>
        <v>103</v>
      </c>
      <c r="G31" s="633" t="s">
        <v>3114</v>
      </c>
      <c r="H31" s="434">
        <f>SUMIF(104:104,G31,105:105)-SUMIF(104:104,C31,105:105)+100</f>
        <v>100</v>
      </c>
      <c r="I31" s="633" t="s">
        <v>3114</v>
      </c>
      <c r="J31" s="434">
        <f>SUMIF(104:104,I31,105:105)-SUMIF(104:104,C31,105:105)+100</f>
        <v>100</v>
      </c>
      <c r="K31" s="672">
        <v>3</v>
      </c>
      <c r="L31" s="1140"/>
      <c r="M31" s="1131"/>
      <c r="N31" s="1131"/>
      <c r="O31" s="1139"/>
      <c r="P31" s="3179"/>
      <c r="Q31" s="1809" t="str">
        <f t="shared" si="8"/>
        <v>临街状况</v>
      </c>
      <c r="R31" s="772" t="s">
        <v>17</v>
      </c>
      <c r="S31" s="773">
        <f t="shared" ref="S31:S45" si="10">F31</f>
        <v>103</v>
      </c>
      <c r="T31" s="772" t="s">
        <v>17</v>
      </c>
      <c r="U31" s="773">
        <f t="shared" ref="U31:U45" si="11">H31</f>
        <v>100</v>
      </c>
      <c r="V31" s="772" t="s">
        <v>17</v>
      </c>
      <c r="W31" s="773">
        <f t="shared" ref="W31:W45" si="12">J31</f>
        <v>100</v>
      </c>
      <c r="X31" s="1812"/>
      <c r="Y31" s="3179"/>
      <c r="Z31" s="1813" t="str">
        <f t="shared" ref="Z31:Z45" si="13">Q31</f>
        <v>临街状况</v>
      </c>
      <c r="AA31" s="1810">
        <f t="shared" si="3"/>
        <v>0.970873786407767</v>
      </c>
      <c r="AB31" s="1810">
        <f t="shared" si="4"/>
        <v>1</v>
      </c>
      <c r="AC31" s="1810">
        <f t="shared" si="5"/>
        <v>1</v>
      </c>
    </row>
    <row r="32" spans="1:29" ht="28.5">
      <c r="A32" s="427"/>
      <c r="B32" s="1384" t="s">
        <v>2694</v>
      </c>
      <c r="C32" s="453"/>
      <c r="D32" s="449">
        <v>100</v>
      </c>
      <c r="E32" s="451"/>
      <c r="F32" s="449">
        <f>SUMIF(106:106,E33,107:107)-SUMIF(106:106,C33,107:107)+100</f>
        <v>100</v>
      </c>
      <c r="G32" s="451"/>
      <c r="H32" s="449">
        <f>SUMIF(106:106,G33,107:107)-SUMIF(106:106,C33,107:107)+100</f>
        <v>98</v>
      </c>
      <c r="I32" s="453"/>
      <c r="J32" s="449">
        <f>SUMIF(106:106,I33,107:107)-SUMIF(106:106,C33,107:107)+100</f>
        <v>98</v>
      </c>
      <c r="K32" s="672">
        <v>2</v>
      </c>
      <c r="L32" s="1140"/>
      <c r="M32" s="1131"/>
      <c r="N32" s="1131"/>
      <c r="O32" s="1139"/>
      <c r="P32" s="3179"/>
      <c r="Q32" s="1809" t="str">
        <f t="shared" si="8"/>
        <v>毗邻道路的类型与等级</v>
      </c>
      <c r="R32" s="772" t="s">
        <v>17</v>
      </c>
      <c r="S32" s="773">
        <f t="shared" si="10"/>
        <v>100</v>
      </c>
      <c r="T32" s="772" t="s">
        <v>17</v>
      </c>
      <c r="U32" s="773">
        <f t="shared" si="11"/>
        <v>98</v>
      </c>
      <c r="V32" s="772" t="s">
        <v>17</v>
      </c>
      <c r="W32" s="773">
        <f t="shared" si="12"/>
        <v>98</v>
      </c>
      <c r="X32" s="1812"/>
      <c r="Y32" s="3179"/>
      <c r="Z32" s="1813" t="str">
        <f t="shared" si="13"/>
        <v>毗邻道路的类型与等级</v>
      </c>
      <c r="AA32" s="1810">
        <f t="shared" si="3"/>
        <v>1</v>
      </c>
      <c r="AB32" s="1810">
        <f t="shared" si="4"/>
        <v>1.0204081632653061</v>
      </c>
      <c r="AC32" s="1810">
        <f t="shared" si="5"/>
        <v>1.0204081632653061</v>
      </c>
    </row>
    <row r="33" spans="1:29" ht="15.75" thickBot="1">
      <c r="A33" s="427"/>
      <c r="B33" s="455"/>
      <c r="C33" s="446" t="s">
        <v>3116</v>
      </c>
      <c r="D33" s="447"/>
      <c r="E33" s="2607" t="s">
        <v>3116</v>
      </c>
      <c r="F33" s="447"/>
      <c r="G33" s="2607" t="s">
        <v>3118</v>
      </c>
      <c r="H33" s="447"/>
      <c r="I33" s="446" t="s">
        <v>3118</v>
      </c>
      <c r="J33" s="447"/>
      <c r="K33" s="612"/>
      <c r="L33" s="1140"/>
      <c r="M33" s="1131"/>
      <c r="N33" s="1131"/>
      <c r="O33" s="1139"/>
      <c r="P33" s="3179"/>
      <c r="Q33" s="1809"/>
      <c r="R33" s="772"/>
      <c r="S33" s="773"/>
      <c r="T33" s="772"/>
      <c r="U33" s="773"/>
      <c r="V33" s="772"/>
      <c r="W33" s="773"/>
      <c r="X33" s="1812"/>
      <c r="Y33" s="3179"/>
      <c r="Z33" s="1813"/>
      <c r="AA33" s="1810">
        <v>1</v>
      </c>
      <c r="AB33" s="1810">
        <v>1</v>
      </c>
      <c r="AC33" s="1810">
        <v>1</v>
      </c>
    </row>
    <row r="34" spans="1:29" ht="15.75" hidden="1" thickBot="1">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179"/>
      <c r="Q34" s="1809" t="str">
        <f t="shared" si="8"/>
        <v>土地级别</v>
      </c>
      <c r="R34" s="772" t="s">
        <v>17</v>
      </c>
      <c r="S34" s="773">
        <f t="shared" si="10"/>
        <v>100</v>
      </c>
      <c r="T34" s="772" t="s">
        <v>17</v>
      </c>
      <c r="U34" s="773">
        <f t="shared" si="11"/>
        <v>100</v>
      </c>
      <c r="V34" s="772" t="s">
        <v>17</v>
      </c>
      <c r="W34" s="773">
        <f t="shared" si="12"/>
        <v>100</v>
      </c>
      <c r="X34" s="1812"/>
      <c r="Y34" s="3179"/>
      <c r="Z34" s="1813" t="str">
        <f t="shared" si="13"/>
        <v>土地级别</v>
      </c>
      <c r="AA34" s="1810">
        <f t="shared" si="3"/>
        <v>1</v>
      </c>
      <c r="AB34" s="1810">
        <f t="shared" si="4"/>
        <v>1</v>
      </c>
      <c r="AC34" s="1810">
        <f t="shared" si="5"/>
        <v>1</v>
      </c>
    </row>
    <row r="35" spans="1:29" ht="15" hidden="1">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179"/>
      <c r="Q35" s="1809">
        <f t="shared" si="8"/>
        <v>111</v>
      </c>
      <c r="R35" s="772" t="s">
        <v>17</v>
      </c>
      <c r="S35" s="773">
        <f t="shared" si="10"/>
        <v>100</v>
      </c>
      <c r="T35" s="772" t="s">
        <v>17</v>
      </c>
      <c r="U35" s="773">
        <f t="shared" si="11"/>
        <v>100</v>
      </c>
      <c r="V35" s="772" t="s">
        <v>17</v>
      </c>
      <c r="W35" s="773">
        <f t="shared" si="12"/>
        <v>100</v>
      </c>
      <c r="X35" s="1812"/>
      <c r="Y35" s="3179"/>
      <c r="Z35" s="1813">
        <f t="shared" si="13"/>
        <v>111</v>
      </c>
      <c r="AA35" s="1810">
        <f t="shared" si="3"/>
        <v>1</v>
      </c>
      <c r="AB35" s="1810">
        <f t="shared" si="4"/>
        <v>1</v>
      </c>
      <c r="AC35" s="1810">
        <f t="shared" si="5"/>
        <v>1</v>
      </c>
    </row>
    <row r="36" spans="1:29" ht="15" hidden="1">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180" t="s">
        <v>2568</v>
      </c>
      <c r="Q36" s="1809">
        <f t="shared" si="8"/>
        <v>111</v>
      </c>
      <c r="R36" s="772" t="s">
        <v>17</v>
      </c>
      <c r="S36" s="773">
        <f t="shared" si="10"/>
        <v>100</v>
      </c>
      <c r="T36" s="772" t="s">
        <v>17</v>
      </c>
      <c r="U36" s="773">
        <f t="shared" si="11"/>
        <v>100</v>
      </c>
      <c r="V36" s="772" t="s">
        <v>17</v>
      </c>
      <c r="W36" s="773">
        <f t="shared" si="12"/>
        <v>100</v>
      </c>
      <c r="X36" s="1812"/>
      <c r="Y36" s="3181" t="s">
        <v>2568</v>
      </c>
      <c r="Z36" s="1813">
        <f t="shared" si="13"/>
        <v>111</v>
      </c>
      <c r="AA36" s="1810">
        <f t="shared" si="3"/>
        <v>1</v>
      </c>
      <c r="AB36" s="1810">
        <f t="shared" si="4"/>
        <v>1</v>
      </c>
      <c r="AC36" s="1810">
        <f t="shared" si="5"/>
        <v>1</v>
      </c>
    </row>
    <row r="37" spans="1:29" s="470" customFormat="1" ht="15.75" hidden="1" thickBot="1">
      <c r="A37" s="675"/>
      <c r="B37" s="1388">
        <v>111</v>
      </c>
      <c r="C37" s="677"/>
      <c r="D37" s="135">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181"/>
      <c r="Q37" s="1809">
        <f t="shared" si="8"/>
        <v>111</v>
      </c>
      <c r="R37" s="775" t="s">
        <v>17</v>
      </c>
      <c r="S37" s="776">
        <f t="shared" si="10"/>
        <v>100</v>
      </c>
      <c r="T37" s="775" t="s">
        <v>17</v>
      </c>
      <c r="U37" s="776">
        <f t="shared" si="11"/>
        <v>100</v>
      </c>
      <c r="V37" s="775" t="s">
        <v>17</v>
      </c>
      <c r="W37" s="776">
        <f t="shared" si="12"/>
        <v>100</v>
      </c>
      <c r="X37" s="777"/>
      <c r="Y37" s="3181"/>
      <c r="Z37" s="778">
        <f t="shared" si="13"/>
        <v>111</v>
      </c>
      <c r="AA37" s="1810">
        <f t="shared" si="3"/>
        <v>1</v>
      </c>
      <c r="AB37" s="1810">
        <f t="shared" si="4"/>
        <v>1</v>
      </c>
      <c r="AC37" s="1810">
        <f t="shared" si="5"/>
        <v>1</v>
      </c>
    </row>
    <row r="38" spans="1:29" ht="15">
      <c r="A38" s="471" t="s">
        <v>2566</v>
      </c>
      <c r="B38" s="455" t="s">
        <v>2754</v>
      </c>
      <c r="C38" s="678">
        <f>'数据-基础表'!A3</f>
        <v>41398.199999999997</v>
      </c>
      <c r="D38" s="466">
        <v>100</v>
      </c>
      <c r="E38" s="678">
        <v>26405</v>
      </c>
      <c r="F38" s="466">
        <f>LOOKUP(E38,117:117,118:118)-LOOKUP(C38,117:117,118:118)+100</f>
        <v>98</v>
      </c>
      <c r="G38" s="678">
        <v>55333</v>
      </c>
      <c r="H38" s="466">
        <f>LOOKUP(G38,117:117,118:118)-LOOKUP(C38,117:117,118:118)+100</f>
        <v>100</v>
      </c>
      <c r="I38" s="529">
        <v>39550</v>
      </c>
      <c r="J38" s="466">
        <f>LOOKUP(I38,117:117,118:118)-LOOKUP(C38,117:117,118:118)+100</f>
        <v>98</v>
      </c>
      <c r="K38" s="612"/>
      <c r="L38" s="1140"/>
      <c r="M38" s="1131"/>
      <c r="N38" s="1131"/>
      <c r="O38" s="1139"/>
      <c r="P38" s="3181"/>
      <c r="Q38" s="1809" t="str">
        <f>B38</f>
        <v>宗地面积</v>
      </c>
      <c r="R38" s="772" t="s">
        <v>17</v>
      </c>
      <c r="S38" s="773">
        <f t="shared" si="10"/>
        <v>98</v>
      </c>
      <c r="T38" s="772" t="s">
        <v>17</v>
      </c>
      <c r="U38" s="773">
        <f t="shared" si="11"/>
        <v>100</v>
      </c>
      <c r="V38" s="772" t="s">
        <v>17</v>
      </c>
      <c r="W38" s="773">
        <f t="shared" si="12"/>
        <v>98</v>
      </c>
      <c r="X38" s="1812"/>
      <c r="Y38" s="3181"/>
      <c r="Z38" s="1813" t="str">
        <f t="shared" si="13"/>
        <v>宗地面积</v>
      </c>
      <c r="AA38" s="1810">
        <f t="shared" si="3"/>
        <v>1.0204081632653061</v>
      </c>
      <c r="AB38" s="1810">
        <f t="shared" si="4"/>
        <v>1</v>
      </c>
      <c r="AC38" s="1810">
        <f t="shared" si="5"/>
        <v>1.0204081632653061</v>
      </c>
    </row>
    <row r="39" spans="1:29" ht="15">
      <c r="A39" s="471"/>
      <c r="B39" s="421" t="s">
        <v>2755</v>
      </c>
      <c r="C39" s="2609" t="s">
        <v>3121</v>
      </c>
      <c r="D39" s="434">
        <v>100</v>
      </c>
      <c r="E39" s="2609" t="s">
        <v>3121</v>
      </c>
      <c r="F39" s="434">
        <f>SUMIF(119:119,E39,120:120)-SUMIF(119:119,C39,120:120)+100</f>
        <v>100</v>
      </c>
      <c r="G39" s="2609" t="s">
        <v>3121</v>
      </c>
      <c r="H39" s="434">
        <f>SUMIF(119:119,G39,120:120)-SUMIF(119:119,C39,120:120)+100</f>
        <v>100</v>
      </c>
      <c r="I39" s="2609" t="s">
        <v>3121</v>
      </c>
      <c r="J39" s="434">
        <f>SUMIF(119:119,I39,120:120)-SUMIF(119:119,C39,120:120)+100</f>
        <v>100</v>
      </c>
      <c r="K39" s="611"/>
      <c r="L39" s="1140"/>
      <c r="M39" s="1131"/>
      <c r="N39" s="1131"/>
      <c r="O39" s="1139"/>
      <c r="P39" s="3181"/>
      <c r="Q39" s="1809" t="str">
        <f t="shared" ref="Q39:Q45" si="14">B39</f>
        <v>宗地形状</v>
      </c>
      <c r="R39" s="772" t="s">
        <v>17</v>
      </c>
      <c r="S39" s="773">
        <f t="shared" si="10"/>
        <v>100</v>
      </c>
      <c r="T39" s="772" t="s">
        <v>17</v>
      </c>
      <c r="U39" s="773">
        <f t="shared" si="11"/>
        <v>100</v>
      </c>
      <c r="V39" s="772" t="s">
        <v>17</v>
      </c>
      <c r="W39" s="773">
        <f t="shared" si="12"/>
        <v>100</v>
      </c>
      <c r="X39" s="1812"/>
      <c r="Y39" s="3181"/>
      <c r="Z39" s="1813" t="str">
        <f t="shared" si="13"/>
        <v>宗地形状</v>
      </c>
      <c r="AA39" s="1810">
        <f t="shared" si="3"/>
        <v>1</v>
      </c>
      <c r="AB39" s="1810">
        <f t="shared" si="4"/>
        <v>1</v>
      </c>
      <c r="AC39" s="1810">
        <f t="shared" si="5"/>
        <v>1</v>
      </c>
    </row>
    <row r="40" spans="1:29" ht="15">
      <c r="A40" s="471"/>
      <c r="B40" s="421" t="s">
        <v>2756</v>
      </c>
      <c r="C40" s="2609" t="s">
        <v>3126</v>
      </c>
      <c r="D40" s="434">
        <v>100</v>
      </c>
      <c r="E40" s="2609" t="s">
        <v>3126</v>
      </c>
      <c r="F40" s="434">
        <f>SUMIF(121:121,E40,122:122)-SUMIF(121:121,C40,122:122)+100</f>
        <v>100</v>
      </c>
      <c r="G40" s="2609" t="s">
        <v>3126</v>
      </c>
      <c r="H40" s="434">
        <f>SUMIF(121:121,G40,122:122)-SUMIF(121:121,C40,122:122)+100</f>
        <v>100</v>
      </c>
      <c r="I40" s="2609" t="s">
        <v>3126</v>
      </c>
      <c r="J40" s="434">
        <f>SUMIF(121:121,I40,122:122)-SUMIF(121:121,C40,122:122)+100</f>
        <v>100</v>
      </c>
      <c r="K40" s="611"/>
      <c r="L40" s="1140"/>
      <c r="M40" s="1131"/>
      <c r="N40" s="1131"/>
      <c r="O40" s="1139"/>
      <c r="P40" s="3181"/>
      <c r="Q40" s="1809" t="str">
        <f t="shared" si="14"/>
        <v>临街宽度及深度</v>
      </c>
      <c r="R40" s="772" t="s">
        <v>17</v>
      </c>
      <c r="S40" s="773">
        <f t="shared" si="10"/>
        <v>100</v>
      </c>
      <c r="T40" s="772" t="s">
        <v>17</v>
      </c>
      <c r="U40" s="773">
        <f t="shared" si="11"/>
        <v>100</v>
      </c>
      <c r="V40" s="772" t="s">
        <v>17</v>
      </c>
      <c r="W40" s="773">
        <f t="shared" si="12"/>
        <v>100</v>
      </c>
      <c r="X40" s="1812"/>
      <c r="Y40" s="3181"/>
      <c r="Z40" s="1813" t="str">
        <f t="shared" si="13"/>
        <v>临街宽度及深度</v>
      </c>
      <c r="AA40" s="1810">
        <f t="shared" si="3"/>
        <v>1</v>
      </c>
      <c r="AB40" s="1810">
        <f t="shared" si="4"/>
        <v>1</v>
      </c>
      <c r="AC40" s="1810">
        <f t="shared" si="5"/>
        <v>1</v>
      </c>
    </row>
    <row r="41" spans="1:29" s="116" customFormat="1" ht="15">
      <c r="A41" s="472"/>
      <c r="B41" s="421" t="s">
        <v>2757</v>
      </c>
      <c r="C41" s="2696" t="s">
        <v>3123</v>
      </c>
      <c r="D41" s="134">
        <v>100</v>
      </c>
      <c r="E41" s="2696" t="s">
        <v>3123</v>
      </c>
      <c r="F41" s="434">
        <f>SUMIF(123:123,E41,124:124)-SUMIF(123:123,C41,124:124)+100</f>
        <v>100</v>
      </c>
      <c r="G41" s="2696" t="s">
        <v>3123</v>
      </c>
      <c r="H41" s="434">
        <f>SUMIF(123:123,G41,124:124)-SUMIF(123:123,C41,124:124)+100</f>
        <v>100</v>
      </c>
      <c r="I41" s="2696" t="s">
        <v>3123</v>
      </c>
      <c r="J41" s="434">
        <f>SUMIF(123:123,I41,124:124)-SUMIF(123:123,C41,124:124)+100</f>
        <v>100</v>
      </c>
      <c r="K41" s="611"/>
      <c r="L41" s="1132"/>
      <c r="M41" s="1133"/>
      <c r="N41" s="1133"/>
      <c r="O41" s="1134"/>
      <c r="P41" s="3181"/>
      <c r="Q41" s="1809" t="str">
        <f t="shared" si="14"/>
        <v>宗地开发程度</v>
      </c>
      <c r="R41" s="768" t="s">
        <v>17</v>
      </c>
      <c r="S41" s="769">
        <f t="shared" si="10"/>
        <v>100</v>
      </c>
      <c r="T41" s="768" t="s">
        <v>17</v>
      </c>
      <c r="U41" s="769">
        <f t="shared" si="11"/>
        <v>100</v>
      </c>
      <c r="V41" s="768" t="s">
        <v>17</v>
      </c>
      <c r="W41" s="769">
        <f t="shared" si="12"/>
        <v>100</v>
      </c>
      <c r="X41" s="770"/>
      <c r="Y41" s="3181"/>
      <c r="Z41" s="54" t="str">
        <f t="shared" si="13"/>
        <v>宗地开发程度</v>
      </c>
      <c r="AA41" s="771">
        <f t="shared" si="3"/>
        <v>1</v>
      </c>
      <c r="AB41" s="771">
        <f t="shared" si="4"/>
        <v>1</v>
      </c>
      <c r="AC41" s="771">
        <f t="shared" si="5"/>
        <v>1</v>
      </c>
    </row>
    <row r="42" spans="1:29" ht="15.75" thickBot="1">
      <c r="A42" s="471"/>
      <c r="B42" s="421" t="s">
        <v>2758</v>
      </c>
      <c r="C42" s="2609" t="s">
        <v>3110</v>
      </c>
      <c r="D42" s="434">
        <v>100</v>
      </c>
      <c r="E42" s="2609" t="s">
        <v>3111</v>
      </c>
      <c r="F42" s="434">
        <f>SUMIF(125:125,E42,126:126)-SUMIF(125:125,C42,126:126)+100</f>
        <v>105</v>
      </c>
      <c r="G42" s="2609" t="s">
        <v>3110</v>
      </c>
      <c r="H42" s="434">
        <f>SUMIF(125:125,G42,126:126)-SUMIF(125:125,C42,126:126)+100</f>
        <v>100</v>
      </c>
      <c r="I42" s="2609" t="s">
        <v>3110</v>
      </c>
      <c r="J42" s="434">
        <f>SUMIF(125:125,I42,126:126)-SUMIF(125:125,C42,126:126)+100</f>
        <v>100</v>
      </c>
      <c r="K42" s="611">
        <v>5</v>
      </c>
      <c r="L42" s="1140"/>
      <c r="M42" s="1131"/>
      <c r="N42" s="1131"/>
      <c r="O42" s="1139"/>
      <c r="P42" s="3181" t="s">
        <v>2568</v>
      </c>
      <c r="Q42" s="1809" t="str">
        <f t="shared" si="14"/>
        <v>工程地质条件</v>
      </c>
      <c r="R42" s="772" t="s">
        <v>17</v>
      </c>
      <c r="S42" s="773">
        <f t="shared" si="10"/>
        <v>105</v>
      </c>
      <c r="T42" s="772" t="s">
        <v>17</v>
      </c>
      <c r="U42" s="773">
        <f t="shared" si="11"/>
        <v>100</v>
      </c>
      <c r="V42" s="772" t="s">
        <v>17</v>
      </c>
      <c r="W42" s="773">
        <f t="shared" si="12"/>
        <v>100</v>
      </c>
      <c r="X42" s="1812"/>
      <c r="Y42" s="3181" t="s">
        <v>2568</v>
      </c>
      <c r="Z42" s="1813" t="str">
        <f t="shared" si="13"/>
        <v>工程地质条件</v>
      </c>
      <c r="AA42" s="1810">
        <f t="shared" si="3"/>
        <v>0.95238095238095233</v>
      </c>
      <c r="AB42" s="1810">
        <f t="shared" si="4"/>
        <v>1</v>
      </c>
      <c r="AC42" s="1810">
        <f t="shared" si="5"/>
        <v>1</v>
      </c>
    </row>
    <row r="43" spans="1:29" ht="15.75" hidden="1" thickBot="1">
      <c r="A43" s="471"/>
      <c r="B43" s="2960" t="s">
        <v>3179</v>
      </c>
      <c r="C43" s="2961" t="s">
        <v>3180</v>
      </c>
      <c r="D43" s="434">
        <v>100</v>
      </c>
      <c r="E43" s="2961" t="s">
        <v>3180</v>
      </c>
      <c r="F43" s="434">
        <f>SUMIF(127:127,E43,128:128)-SUMIF(127:127,C43,128:128)+100</f>
        <v>100</v>
      </c>
      <c r="G43" s="2961" t="s">
        <v>3180</v>
      </c>
      <c r="H43" s="434">
        <f>SUMIF(127:127,G43,128:128)-SUMIF(127:127,C43,128:128)+100</f>
        <v>100</v>
      </c>
      <c r="I43" s="2962" t="s">
        <v>3180</v>
      </c>
      <c r="J43" s="434">
        <f>SUMIF(127:127,I43,128:128)-SUMIF(127:127,C43,128:128)+100</f>
        <v>100</v>
      </c>
      <c r="K43" s="612"/>
      <c r="L43" s="1140"/>
      <c r="M43" s="1131"/>
      <c r="N43" s="1131"/>
      <c r="O43" s="1139"/>
      <c r="P43" s="3181"/>
      <c r="Q43" s="1809" t="str">
        <f t="shared" si="14"/>
        <v>是否坡地</v>
      </c>
      <c r="R43" s="772" t="s">
        <v>17</v>
      </c>
      <c r="S43" s="773">
        <f t="shared" si="10"/>
        <v>100</v>
      </c>
      <c r="T43" s="772" t="s">
        <v>17</v>
      </c>
      <c r="U43" s="773">
        <f t="shared" si="11"/>
        <v>100</v>
      </c>
      <c r="V43" s="772" t="s">
        <v>17</v>
      </c>
      <c r="W43" s="773">
        <f t="shared" si="12"/>
        <v>100</v>
      </c>
      <c r="X43" s="1812"/>
      <c r="Y43" s="3181"/>
      <c r="Z43" s="1813" t="str">
        <f t="shared" si="13"/>
        <v>是否坡地</v>
      </c>
      <c r="AA43" s="1810">
        <f t="shared" si="3"/>
        <v>1</v>
      </c>
      <c r="AB43" s="1810">
        <f t="shared" si="4"/>
        <v>1</v>
      </c>
      <c r="AC43" s="1810">
        <f t="shared" si="5"/>
        <v>1</v>
      </c>
    </row>
    <row r="44" spans="1:29" ht="15" hidden="1">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181"/>
      <c r="Q44" s="1809">
        <f t="shared" si="14"/>
        <v>111</v>
      </c>
      <c r="R44" s="772" t="s">
        <v>17</v>
      </c>
      <c r="S44" s="773">
        <f t="shared" si="10"/>
        <v>100</v>
      </c>
      <c r="T44" s="772" t="s">
        <v>17</v>
      </c>
      <c r="U44" s="773">
        <f t="shared" si="11"/>
        <v>100</v>
      </c>
      <c r="V44" s="772" t="s">
        <v>17</v>
      </c>
      <c r="W44" s="773">
        <f t="shared" si="12"/>
        <v>100</v>
      </c>
      <c r="X44" s="1812"/>
      <c r="Y44" s="3181"/>
      <c r="Z44" s="1813">
        <f t="shared" si="13"/>
        <v>111</v>
      </c>
      <c r="AA44" s="1810">
        <f t="shared" si="3"/>
        <v>1</v>
      </c>
      <c r="AB44" s="1810">
        <f t="shared" si="4"/>
        <v>1</v>
      </c>
      <c r="AC44" s="1810">
        <f t="shared" si="5"/>
        <v>1</v>
      </c>
    </row>
    <row r="45" spans="1:29" s="470" customFormat="1" ht="15.75" hidden="1" thickBot="1">
      <c r="A45" s="467"/>
      <c r="B45" s="1387">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181"/>
      <c r="Q45" s="1809">
        <f t="shared" si="14"/>
        <v>111</v>
      </c>
      <c r="R45" s="775" t="s">
        <v>17</v>
      </c>
      <c r="S45" s="776">
        <f t="shared" si="10"/>
        <v>100</v>
      </c>
      <c r="T45" s="775" t="s">
        <v>17</v>
      </c>
      <c r="U45" s="776">
        <f t="shared" si="11"/>
        <v>100</v>
      </c>
      <c r="V45" s="775" t="s">
        <v>17</v>
      </c>
      <c r="W45" s="776">
        <f t="shared" si="12"/>
        <v>100</v>
      </c>
      <c r="X45" s="777"/>
      <c r="Y45" s="3181"/>
      <c r="Z45" s="778">
        <f t="shared" si="13"/>
        <v>111</v>
      </c>
      <c r="AA45" s="1810">
        <f t="shared" si="3"/>
        <v>1</v>
      </c>
      <c r="AB45" s="1810">
        <f t="shared" si="4"/>
        <v>1</v>
      </c>
      <c r="AC45" s="1810">
        <f t="shared" si="5"/>
        <v>1</v>
      </c>
    </row>
    <row r="46" spans="1:29" ht="15">
      <c r="A46" s="478" t="s">
        <v>2723</v>
      </c>
      <c r="B46" s="2698" t="s">
        <v>2759</v>
      </c>
      <c r="C46" s="681" t="s">
        <v>1</v>
      </c>
      <c r="D46" s="480"/>
      <c r="E46" s="481">
        <v>14956.45</v>
      </c>
      <c r="F46" s="482"/>
      <c r="G46" s="483">
        <v>13067.73</v>
      </c>
      <c r="H46" s="484"/>
      <c r="I46" s="481">
        <v>13170.47</v>
      </c>
      <c r="J46" s="484"/>
      <c r="K46" s="781"/>
      <c r="L46" s="1143"/>
      <c r="M46" s="1144"/>
      <c r="N46" s="1131"/>
      <c r="O46" s="1144"/>
      <c r="P46" s="3176" t="str">
        <f>A46</f>
        <v>成交单价</v>
      </c>
      <c r="Q46" s="3176"/>
      <c r="R46" s="3182">
        <f>E46</f>
        <v>14956.45</v>
      </c>
      <c r="S46" s="3182"/>
      <c r="T46" s="3182">
        <f>G46</f>
        <v>13067.73</v>
      </c>
      <c r="U46" s="3182"/>
      <c r="V46" s="3182">
        <f>I46</f>
        <v>13170.47</v>
      </c>
      <c r="W46" s="3182"/>
      <c r="X46" s="757"/>
      <c r="Y46" s="779"/>
      <c r="Z46" s="757"/>
      <c r="AA46" s="757"/>
      <c r="AB46" s="757"/>
      <c r="AC46" s="757"/>
    </row>
    <row r="47" spans="1:29" ht="15.75" thickBot="1">
      <c r="A47" s="485" t="s">
        <v>2672</v>
      </c>
      <c r="B47" s="682"/>
      <c r="C47" s="489">
        <f>R48</f>
        <v>13013</v>
      </c>
      <c r="D47" s="488"/>
      <c r="E47" s="489">
        <f>R47</f>
        <v>13407</v>
      </c>
      <c r="F47" s="490"/>
      <c r="G47" s="487">
        <f>T47</f>
        <v>12637</v>
      </c>
      <c r="H47" s="488"/>
      <c r="I47" s="489">
        <f>V47</f>
        <v>12996</v>
      </c>
      <c r="J47" s="488"/>
      <c r="K47" s="782"/>
      <c r="L47" s="1143"/>
      <c r="M47" s="1144"/>
      <c r="N47" s="1144"/>
      <c r="O47" s="1144"/>
      <c r="P47" s="3176" t="str">
        <f>A47</f>
        <v>比较价值（元/平方米）</v>
      </c>
      <c r="Q47" s="3176"/>
      <c r="R47" s="3169">
        <f>ROUND(PRODUCT(R46,AA7:AA45),0)</f>
        <v>13407</v>
      </c>
      <c r="S47" s="3169"/>
      <c r="T47" s="3169">
        <f>ROUND(PRODUCT(T46,AB7:AB45),0)</f>
        <v>12637</v>
      </c>
      <c r="U47" s="3169"/>
      <c r="V47" s="3169">
        <f>ROUND(PRODUCT(V46,AC7:AC45),0)</f>
        <v>12996</v>
      </c>
      <c r="W47" s="3169"/>
      <c r="X47" s="757"/>
      <c r="Y47" s="757"/>
      <c r="Z47" s="757"/>
      <c r="AA47" s="757"/>
      <c r="AB47" s="757"/>
      <c r="AC47" s="757"/>
    </row>
    <row r="48" spans="1:29" ht="15.75" thickBot="1">
      <c r="A48" s="491" t="s">
        <v>2760</v>
      </c>
      <c r="B48" s="492"/>
      <c r="C48" s="493">
        <f>R48</f>
        <v>13013</v>
      </c>
      <c r="D48" s="493"/>
      <c r="E48" s="493"/>
      <c r="F48" s="493"/>
      <c r="G48" s="493"/>
      <c r="H48" s="493"/>
      <c r="I48" s="493"/>
      <c r="J48" s="493"/>
      <c r="K48" s="783"/>
      <c r="L48" s="1143"/>
      <c r="M48" s="1144"/>
      <c r="N48" s="1144"/>
      <c r="O48" s="1144"/>
      <c r="P48" s="3170" t="str">
        <f>A48</f>
        <v>估价对象XX用房的比较价值（楼面单价，元/平方米）</v>
      </c>
      <c r="Q48" s="3171"/>
      <c r="R48" s="3172">
        <f>ROUND(AVERAGE(R47:V47),0)</f>
        <v>13013</v>
      </c>
      <c r="S48" s="3172"/>
      <c r="T48" s="3172"/>
      <c r="U48" s="3172"/>
      <c r="V48" s="3172"/>
      <c r="W48" s="3172"/>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2674</v>
      </c>
      <c r="D51" s="497"/>
      <c r="E51" s="498">
        <f>IF(E46&lt;E47,E47/E46-1,E46/E47-1)</f>
        <v>0.11557022450958465</v>
      </c>
      <c r="F51" s="499" t="str">
        <f>IF(OR(E51&gt;=0.3,E51&lt;=-0.3),"超过30%","")</f>
        <v/>
      </c>
      <c r="G51" s="498">
        <f>IF(G46&lt;G47,G47/G46-1,G46/G47-1)</f>
        <v>3.4084830260346477E-2</v>
      </c>
      <c r="H51" s="499" t="str">
        <f>IF(OR(G51&gt;=0.3,G51&lt;=-0.3),"超过30%","")</f>
        <v/>
      </c>
      <c r="I51" s="498">
        <f>IF(I46&lt;I47,I47/I46-1,I46/I47-1)</f>
        <v>1.3424899969221249E-2</v>
      </c>
      <c r="J51" s="499" t="str">
        <f>IF(OR(I51&gt;=0.3,I51&lt;=-0.3),"超过30%","")</f>
        <v/>
      </c>
      <c r="K51" s="1105"/>
      <c r="L51" s="1106"/>
      <c r="M51" s="1144"/>
      <c r="N51" s="1144"/>
      <c r="O51" s="1144"/>
    </row>
    <row r="52" spans="1:15" ht="13.5" customHeight="1">
      <c r="A52" s="1144"/>
      <c r="B52" s="1144"/>
      <c r="C52" s="496" t="s">
        <v>2675</v>
      </c>
      <c r="D52" s="500"/>
      <c r="E52" s="498">
        <f>IF(E47&lt;G47,G47/E47-1,E47/G47-1)</f>
        <v>6.0932183271346085E-2</v>
      </c>
      <c r="F52" s="499" t="str">
        <f>IF(OR(E52&gt;=0.2,E52&lt;=-0.2),"超过20%","")</f>
        <v/>
      </c>
      <c r="G52" s="498">
        <f>IF(G47&lt;I47,I47/G47-1,G47/I47-1)</f>
        <v>2.8408641291445713E-2</v>
      </c>
      <c r="H52" s="499" t="str">
        <f>IF(OR(G52&gt;=0.2,G52&lt;=-0.2),"超过20%","")</f>
        <v/>
      </c>
      <c r="I52" s="498">
        <f>IF(I47&lt;E47,E47/I47-1,I47/E47-1)</f>
        <v>3.1625115420129246E-2</v>
      </c>
      <c r="J52" s="499" t="str">
        <f>IF(OR(I52&gt;=0.2,I52&lt;=-0.2),"超过20%","")</f>
        <v/>
      </c>
      <c r="K52" s="1105"/>
      <c r="L52" s="1106"/>
      <c r="M52" s="1144"/>
      <c r="N52" s="1144"/>
      <c r="O52" s="1144"/>
    </row>
    <row r="53" spans="1:15" s="501" customFormat="1" ht="13.5" customHeight="1">
      <c r="A53" s="1145"/>
      <c r="B53" s="1145"/>
      <c r="C53" s="496" t="s">
        <v>2676</v>
      </c>
      <c r="D53" s="500"/>
      <c r="E53" s="498">
        <f>IF(E46&lt;G46,G46/E46-1,E46/G46-1)</f>
        <v>0.14453313620651809</v>
      </c>
      <c r="F53" s="499" t="str">
        <f>IF(OR(E53&gt;=0.3,E53&lt;=-0.3),"超过30%","")</f>
        <v/>
      </c>
      <c r="G53" s="498">
        <f>IF(G46&lt;I46,I46/G46-1,G46/I46-1)</f>
        <v>7.8621153023517021E-3</v>
      </c>
      <c r="H53" s="499" t="str">
        <f>IF(OR(G53&gt;=0.3,G53&lt;=-0.3),"超过30%","")</f>
        <v/>
      </c>
      <c r="I53" s="498">
        <f>IF(I46&lt;E46,E46/I46-1,I46/E46-1)</f>
        <v>0.13560487970436896</v>
      </c>
      <c r="J53" s="499" t="str">
        <f>IF(OR(I53&gt;=0.3,I53&lt;=-0.3),"超过30%","")</f>
        <v/>
      </c>
      <c r="K53" s="1148"/>
      <c r="L53" s="1149"/>
      <c r="M53" s="1145"/>
      <c r="N53" s="1145"/>
      <c r="O53" s="1145"/>
    </row>
    <row r="54" spans="1:15" s="501" customFormat="1" ht="15" thickBot="1">
      <c r="A54" s="1145"/>
      <c r="B54" s="1146"/>
      <c r="C54" s="760"/>
      <c r="D54" s="758"/>
      <c r="E54" s="758"/>
      <c r="F54" s="758"/>
      <c r="G54" s="758"/>
      <c r="H54" s="758"/>
      <c r="I54" s="758"/>
      <c r="J54" s="758"/>
      <c r="K54" s="1148"/>
      <c r="L54" s="1149"/>
      <c r="M54" s="1145"/>
      <c r="N54" s="1145"/>
      <c r="O54" s="1145"/>
    </row>
    <row r="55" spans="1:15" ht="27" customHeight="1">
      <c r="A55" s="683" t="s">
        <v>2761</v>
      </c>
      <c r="B55" s="684" t="s">
        <v>2762</v>
      </c>
      <c r="C55" s="2699" t="s">
        <v>2763</v>
      </c>
      <c r="D55" s="2700" t="s">
        <v>2764</v>
      </c>
      <c r="E55" s="685" t="s">
        <v>2765</v>
      </c>
      <c r="F55" s="1107" t="s">
        <v>2766</v>
      </c>
      <c r="G55" s="3173" t="s">
        <v>2767</v>
      </c>
      <c r="H55" s="3174"/>
      <c r="I55" s="142" t="s">
        <v>2768</v>
      </c>
      <c r="J55" s="2701" t="str">
        <f>项目基本情况!F35</f>
        <v>山东省济南市</v>
      </c>
      <c r="K55" s="2702" t="s">
        <v>2769</v>
      </c>
      <c r="L55" s="1106"/>
      <c r="M55" s="1144"/>
      <c r="N55" s="1144"/>
      <c r="O55" s="1144"/>
    </row>
    <row r="56" spans="1:15" s="691" customFormat="1">
      <c r="A56" s="687" t="s">
        <v>2770</v>
      </c>
      <c r="B56" s="688">
        <f>C48</f>
        <v>13013</v>
      </c>
      <c r="C56" s="689">
        <v>1</v>
      </c>
      <c r="D56" s="1163">
        <v>1</v>
      </c>
      <c r="E56" s="689">
        <f>'数据-汇总表'!E8+'数据-汇总表'!E9</f>
        <v>51516.55</v>
      </c>
      <c r="F56" s="1103">
        <f t="shared" ref="F56:F65" si="15">ROUND(B56*E56/10000,0)</f>
        <v>67038</v>
      </c>
      <c r="G56" s="3175"/>
      <c r="H56" s="3176"/>
      <c r="I56" s="1108">
        <v>1</v>
      </c>
      <c r="J56" s="1111">
        <v>1</v>
      </c>
      <c r="K56" s="1145"/>
      <c r="L56" s="941"/>
      <c r="M56" s="941"/>
      <c r="N56" s="941"/>
      <c r="O56" s="941"/>
    </row>
    <row r="57" spans="1:15" s="691" customFormat="1">
      <c r="A57" s="692" t="s">
        <v>2771</v>
      </c>
      <c r="B57" s="261">
        <f>ROUND($C$48*C57*D57,0)</f>
        <v>0</v>
      </c>
      <c r="C57" s="199">
        <f t="shared" ref="C57:C65" si="16">IF($C$55="北京市系数",I57,J57)</f>
        <v>0</v>
      </c>
      <c r="D57" s="1164">
        <v>0.25</v>
      </c>
      <c r="E57" s="693"/>
      <c r="F57" s="1103">
        <f t="shared" si="15"/>
        <v>0</v>
      </c>
      <c r="G57" s="3177" t="s">
        <v>2772</v>
      </c>
      <c r="H57" s="1104">
        <f>项目基本情况!B37</f>
        <v>0</v>
      </c>
      <c r="I57" s="1108">
        <f>SUMIF(修正!A45:A56,H57,修正!B45:B56)</f>
        <v>0</v>
      </c>
      <c r="J57" s="1112"/>
      <c r="K57" s="1144"/>
      <c r="L57" s="941"/>
      <c r="M57" s="941"/>
      <c r="N57" s="941"/>
      <c r="O57" s="941"/>
    </row>
    <row r="58" spans="1:15" s="691" customFormat="1">
      <c r="A58" s="692" t="s">
        <v>2773</v>
      </c>
      <c r="B58" s="261">
        <f t="shared" ref="B58:B65" si="17">ROUND($C$48*C58*D58,0)</f>
        <v>0</v>
      </c>
      <c r="C58" s="199">
        <f t="shared" si="16"/>
        <v>0</v>
      </c>
      <c r="D58" s="1164">
        <v>0.25</v>
      </c>
      <c r="E58" s="693"/>
      <c r="F58" s="1103">
        <f t="shared" si="15"/>
        <v>0</v>
      </c>
      <c r="G58" s="3177"/>
      <c r="H58" s="1104">
        <f>项目基本情况!B37</f>
        <v>0</v>
      </c>
      <c r="I58" s="1108">
        <f>SUMIF(修正!A45:A56,H58,修正!C45:C56)</f>
        <v>0</v>
      </c>
      <c r="J58" s="1112"/>
      <c r="K58" s="1145"/>
      <c r="L58" s="941"/>
      <c r="M58" s="941"/>
      <c r="N58" s="941"/>
      <c r="O58" s="941"/>
    </row>
    <row r="59" spans="1:15" s="691" customFormat="1">
      <c r="A59" s="692" t="s">
        <v>2774</v>
      </c>
      <c r="B59" s="261">
        <f t="shared" si="17"/>
        <v>0</v>
      </c>
      <c r="C59" s="199">
        <f t="shared" si="16"/>
        <v>0</v>
      </c>
      <c r="D59" s="1164">
        <v>0.25</v>
      </c>
      <c r="E59" s="693"/>
      <c r="F59" s="1103">
        <f t="shared" si="15"/>
        <v>0</v>
      </c>
      <c r="G59" s="3177"/>
      <c r="H59" s="1104">
        <f>项目基本情况!B37</f>
        <v>0</v>
      </c>
      <c r="I59" s="1108">
        <f>SUMIF(修正!A45:A56,H59,修正!D45:D56)</f>
        <v>0</v>
      </c>
      <c r="J59" s="1112"/>
      <c r="K59" s="1144"/>
      <c r="L59" s="941"/>
      <c r="M59" s="941"/>
      <c r="N59" s="941"/>
      <c r="O59" s="941"/>
    </row>
    <row r="60" spans="1:15" s="691" customFormat="1">
      <c r="A60" s="692" t="s">
        <v>2775</v>
      </c>
      <c r="B60" s="261">
        <f t="shared" si="17"/>
        <v>0</v>
      </c>
      <c r="C60" s="199">
        <f t="shared" si="16"/>
        <v>0</v>
      </c>
      <c r="D60" s="1164">
        <v>0.25</v>
      </c>
      <c r="E60" s="693"/>
      <c r="F60" s="1103">
        <f t="shared" si="15"/>
        <v>0</v>
      </c>
      <c r="G60" s="3177"/>
      <c r="H60" s="1104">
        <f>项目基本情况!B37</f>
        <v>0</v>
      </c>
      <c r="I60" s="1108">
        <f>SUMIF(修正!A45:A56,H60,修正!E45:E56)</f>
        <v>0</v>
      </c>
      <c r="J60" s="1112"/>
      <c r="K60" s="1145"/>
      <c r="L60" s="941"/>
      <c r="M60" s="941"/>
      <c r="N60" s="941"/>
      <c r="O60" s="941"/>
    </row>
    <row r="61" spans="1:15" s="691" customFormat="1">
      <c r="A61" s="692" t="s">
        <v>2776</v>
      </c>
      <c r="B61" s="261">
        <f t="shared" si="17"/>
        <v>0</v>
      </c>
      <c r="C61" s="199">
        <f t="shared" si="16"/>
        <v>0</v>
      </c>
      <c r="D61" s="1164">
        <v>0.25</v>
      </c>
      <c r="E61" s="260">
        <f>'数据-汇总表'!E11</f>
        <v>121.22</v>
      </c>
      <c r="F61" s="1103">
        <f t="shared" si="15"/>
        <v>0</v>
      </c>
      <c r="G61" s="2703" t="s">
        <v>2777</v>
      </c>
      <c r="H61" s="1104">
        <f>项目基本情况!C37</f>
        <v>0</v>
      </c>
      <c r="I61" s="1108">
        <f>SUMIF(修正!A45:A56,H61,修正!F45:F56)</f>
        <v>0</v>
      </c>
      <c r="J61" s="1112"/>
      <c r="K61" s="1144"/>
      <c r="L61" s="941"/>
      <c r="M61" s="941"/>
      <c r="N61" s="941"/>
      <c r="O61" s="941"/>
    </row>
    <row r="62" spans="1:15" s="691" customFormat="1">
      <c r="A62" s="692" t="s">
        <v>2778</v>
      </c>
      <c r="B62" s="261">
        <f t="shared" si="17"/>
        <v>0</v>
      </c>
      <c r="C62" s="199">
        <f t="shared" si="16"/>
        <v>0</v>
      </c>
      <c r="D62" s="1164">
        <v>0.25</v>
      </c>
      <c r="E62" s="260">
        <f>'数据-汇总表'!E12</f>
        <v>0</v>
      </c>
      <c r="F62" s="1103">
        <f t="shared" si="15"/>
        <v>0</v>
      </c>
      <c r="G62" s="1109" t="s">
        <v>2779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2780</v>
      </c>
      <c r="B63" s="261">
        <f t="shared" si="17"/>
        <v>0</v>
      </c>
      <c r="C63" s="199">
        <f t="shared" si="16"/>
        <v>0</v>
      </c>
      <c r="D63" s="1164">
        <v>0.25</v>
      </c>
      <c r="E63" s="260">
        <f>'数据-汇总表'!E13</f>
        <v>10484.65</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2782</v>
      </c>
      <c r="B64" s="261">
        <f t="shared" si="17"/>
        <v>0</v>
      </c>
      <c r="C64" s="199">
        <f t="shared" si="16"/>
        <v>0</v>
      </c>
      <c r="D64" s="1164">
        <v>0.25</v>
      </c>
      <c r="E64" s="260">
        <f>'数据-汇总表'!E14</f>
        <v>0</v>
      </c>
      <c r="F64" s="1103">
        <f t="shared" si="15"/>
        <v>0</v>
      </c>
      <c r="G64" s="2703" t="s">
        <v>2772</v>
      </c>
      <c r="H64" s="1104">
        <f>项目基本情况!B37</f>
        <v>0</v>
      </c>
      <c r="I64" s="1108">
        <f>SUMIF(修正!A45:A56,H64,修正!H45:H56)</f>
        <v>0</v>
      </c>
      <c r="J64" s="1112"/>
      <c r="K64" s="1145"/>
      <c r="L64" s="941"/>
      <c r="M64" s="941"/>
      <c r="N64" s="941"/>
      <c r="O64" s="941"/>
    </row>
    <row r="65" spans="1:17" s="691" customFormat="1" ht="15" thickBot="1">
      <c r="A65" s="692" t="s">
        <v>2783</v>
      </c>
      <c r="B65" s="261">
        <f t="shared" si="17"/>
        <v>0</v>
      </c>
      <c r="C65" s="199">
        <f t="shared" si="16"/>
        <v>0</v>
      </c>
      <c r="D65" s="1164">
        <v>0.25</v>
      </c>
      <c r="E65" s="260">
        <f>'数据-汇总表'!E15</f>
        <v>0</v>
      </c>
      <c r="F65" s="1103">
        <f t="shared" si="15"/>
        <v>0</v>
      </c>
      <c r="G65" s="2704" t="s">
        <v>2777</v>
      </c>
      <c r="H65" s="1114">
        <f>项目基本情况!C37</f>
        <v>0</v>
      </c>
      <c r="I65" s="1110">
        <f>SUMIF(修正!A45:A56,H65,修正!H45:H56)</f>
        <v>0</v>
      </c>
      <c r="J65" s="1113"/>
      <c r="K65" s="1144"/>
      <c r="L65" s="941"/>
      <c r="M65" s="941"/>
      <c r="N65" s="941"/>
      <c r="O65" s="941"/>
    </row>
    <row r="66" spans="1:17" s="691" customFormat="1" ht="13.5" thickBot="1">
      <c r="A66" s="694" t="s">
        <v>2784</v>
      </c>
      <c r="B66" s="695" t="s">
        <v>28</v>
      </c>
      <c r="C66" s="695" t="s">
        <v>29</v>
      </c>
      <c r="D66" s="695" t="s">
        <v>1029</v>
      </c>
      <c r="E66" s="695">
        <f>IF(B46="楼面地价",SUM(E56:E65),'数据-汇总表'!D3)</f>
        <v>62122.420000000006</v>
      </c>
      <c r="F66" s="696">
        <f>IF(B46="楼面地价",SUM(F56:F65),ROUND(C48*E66/10000,0))</f>
        <v>67038</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2677</v>
      </c>
      <c r="B69" s="757"/>
      <c r="C69" s="762"/>
      <c r="D69" s="762"/>
      <c r="E69" s="762"/>
      <c r="F69" s="763"/>
      <c r="G69" s="763"/>
      <c r="H69" s="762"/>
      <c r="I69" s="762"/>
      <c r="J69" s="1159"/>
      <c r="K69" s="1160"/>
      <c r="L69" s="1161"/>
      <c r="M69" s="1159"/>
      <c r="N69" s="1159"/>
      <c r="O69" s="1159"/>
      <c r="P69" s="502"/>
      <c r="Q69" s="503"/>
    </row>
    <row r="70" spans="1:17" s="507" customFormat="1" ht="15">
      <c r="A70" s="2705" t="s">
        <v>2785</v>
      </c>
      <c r="B70" s="1359"/>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6"/>
    </row>
    <row r="71" spans="1:17" s="116" customFormat="1" ht="30" customHeight="1">
      <c r="A71" s="2706" t="s">
        <v>2786</v>
      </c>
      <c r="B71" s="331" t="str">
        <f>"北京市平均增长率"&amp;TEXT(SUMIF(基准地价修正!N21:N25,A71,基准地价修正!P21:P25),"0.00%")</f>
        <v>北京市平均增长率2.78%</v>
      </c>
      <c r="C71" s="602">
        <v>100</v>
      </c>
      <c r="D71" s="594">
        <v>99.5</v>
      </c>
      <c r="E71" s="2940">
        <v>99</v>
      </c>
      <c r="F71" s="594">
        <v>98.5</v>
      </c>
      <c r="G71" s="2940">
        <v>98</v>
      </c>
      <c r="H71" s="594">
        <v>97.5</v>
      </c>
      <c r="I71" s="2940">
        <v>97</v>
      </c>
      <c r="J71" s="594">
        <v>96.5</v>
      </c>
      <c r="K71" s="2940">
        <v>96</v>
      </c>
      <c r="L71" s="594">
        <v>95.5</v>
      </c>
      <c r="M71" s="1567"/>
      <c r="N71" s="594"/>
      <c r="O71" s="1568"/>
      <c r="P71" s="503"/>
    </row>
    <row r="72" spans="1:17" s="116" customFormat="1" ht="15.75" thickBot="1">
      <c r="A72" s="514" t="s">
        <v>2588</v>
      </c>
      <c r="B72" s="515"/>
      <c r="C72" s="516"/>
      <c r="D72" s="517"/>
      <c r="E72" s="517"/>
      <c r="F72" s="517"/>
      <c r="G72" s="517"/>
      <c r="H72" s="517"/>
      <c r="I72" s="517"/>
      <c r="J72" s="517"/>
      <c r="K72" s="517"/>
      <c r="L72" s="517"/>
      <c r="M72" s="518"/>
      <c r="N72" s="517"/>
      <c r="O72" s="1162"/>
      <c r="P72" s="503"/>
      <c r="Q72" s="503"/>
    </row>
    <row r="73" spans="1:17" s="116" customFormat="1" ht="15">
      <c r="A73" s="520" t="s">
        <v>2553</v>
      </c>
      <c r="B73" s="509"/>
      <c r="C73" s="521" t="s">
        <v>2655</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2591</v>
      </c>
      <c r="B75" s="527" t="s">
        <v>2557</v>
      </c>
      <c r="C75" s="2941" t="s">
        <v>3109</v>
      </c>
      <c r="D75" s="529"/>
      <c r="E75" s="529"/>
      <c r="F75" s="529"/>
      <c r="G75" s="529"/>
      <c r="H75" s="529"/>
      <c r="I75" s="529"/>
      <c r="J75" s="529"/>
      <c r="K75" s="530"/>
      <c r="L75" s="531"/>
      <c r="M75" s="532"/>
      <c r="N75" s="1152"/>
      <c r="O75" s="1152"/>
      <c r="P75" s="45"/>
      <c r="Q75" s="503"/>
    </row>
    <row r="76" spans="1:17" ht="15.75" thickBot="1">
      <c r="A76" s="533"/>
      <c r="B76" s="534"/>
      <c r="C76" s="535">
        <v>100</v>
      </c>
      <c r="D76" s="535"/>
      <c r="E76" s="535"/>
      <c r="F76" s="535"/>
      <c r="G76" s="535"/>
      <c r="H76" s="535"/>
      <c r="I76" s="535"/>
      <c r="J76" s="535"/>
      <c r="K76" s="535"/>
      <c r="L76" s="535"/>
      <c r="M76" s="536"/>
      <c r="N76" s="1153"/>
      <c r="O76" s="1153"/>
      <c r="P76" s="45"/>
      <c r="Q76" s="503"/>
    </row>
    <row r="77" spans="1:17" ht="15.75" thickTop="1">
      <c r="A77" s="533"/>
      <c r="B77" s="537" t="s">
        <v>2560</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2561</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v>1</v>
      </c>
      <c r="D80" s="548">
        <v>2</v>
      </c>
      <c r="E80" s="548">
        <v>3</v>
      </c>
      <c r="F80" s="548">
        <v>4</v>
      </c>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2"/>
      <c r="O88" s="1152"/>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3"/>
      <c r="O89" s="1153"/>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2"/>
      <c r="O90" s="1152"/>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3"/>
      <c r="O91" s="1153"/>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2"/>
      <c r="O94" s="1152"/>
      <c r="P94" s="45"/>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3"/>
      <c r="O95" s="1153"/>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51"/>
      <c r="O96" s="1151"/>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3"/>
      <c r="O97" s="1153"/>
      <c r="P97" s="45"/>
      <c r="Q97" s="503"/>
    </row>
    <row r="98" spans="1:17" s="116" customFormat="1" ht="15.75" thickTop="1">
      <c r="A98" s="578"/>
      <c r="B98" s="537" t="s">
        <v>2789</v>
      </c>
      <c r="C98" s="572" t="s">
        <v>2600</v>
      </c>
      <c r="D98" s="572" t="s">
        <v>2601</v>
      </c>
      <c r="E98" s="572" t="s">
        <v>2602</v>
      </c>
      <c r="F98" s="572" t="s">
        <v>2603</v>
      </c>
      <c r="G98" s="572" t="s">
        <v>2604</v>
      </c>
      <c r="H98" s="577"/>
      <c r="I98" s="577"/>
      <c r="J98" s="577"/>
      <c r="K98" s="577"/>
      <c r="L98" s="577"/>
      <c r="M98" s="621"/>
      <c r="N98" s="1151"/>
      <c r="O98" s="1151"/>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3"/>
      <c r="O99" s="1153"/>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4"/>
      <c r="O100" s="1154"/>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4"/>
      <c r="O101" s="1154"/>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5"/>
      <c r="N102" s="1154"/>
      <c r="O102" s="1154"/>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5"/>
      <c r="N103" s="1154"/>
      <c r="O103" s="1154"/>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2"/>
      <c r="O104" s="1152"/>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3"/>
      <c r="O105" s="1153"/>
      <c r="P105" s="45"/>
      <c r="Q105" s="503"/>
    </row>
    <row r="106" spans="1:17" ht="27.75" thickTop="1">
      <c r="A106" s="533"/>
      <c r="B106" s="537" t="s">
        <v>2694</v>
      </c>
      <c r="C106" s="2942" t="s">
        <v>3115</v>
      </c>
      <c r="D106" s="2942" t="s">
        <v>3117</v>
      </c>
      <c r="E106" s="2942" t="s">
        <v>3119</v>
      </c>
      <c r="F106" s="2942" t="s">
        <v>3120</v>
      </c>
      <c r="G106" s="553"/>
      <c r="H106" s="582"/>
      <c r="I106" s="582"/>
      <c r="J106" s="582"/>
      <c r="K106" s="583"/>
      <c r="L106" s="584"/>
      <c r="M106" s="585"/>
      <c r="N106" s="1152"/>
      <c r="O106" s="1152"/>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3"/>
      <c r="O107" s="1153"/>
      <c r="P107" s="45"/>
      <c r="Q107" s="503"/>
    </row>
    <row r="108" spans="1:17" ht="15.75" thickTop="1">
      <c r="A108" s="533"/>
      <c r="B108" s="537" t="s">
        <v>2753</v>
      </c>
      <c r="C108" s="2942" t="s">
        <v>3115</v>
      </c>
      <c r="D108" s="2942" t="s">
        <v>3117</v>
      </c>
      <c r="E108" s="2942" t="s">
        <v>3119</v>
      </c>
      <c r="F108" s="2942" t="s">
        <v>3120</v>
      </c>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2566</v>
      </c>
      <c r="B116" s="527" t="s">
        <v>2794</v>
      </c>
      <c r="C116" s="528" t="str">
        <f>C117&amp;"(含)"&amp;"-"&amp;D117</f>
        <v>1(含)-20000</v>
      </c>
      <c r="D116" s="528" t="str">
        <f t="shared" ref="D116:M116" si="25">D117&amp;"(含)"&amp;"-"&amp;E117</f>
        <v>20000(含)-40000</v>
      </c>
      <c r="E116" s="528" t="str">
        <f t="shared" si="25"/>
        <v>40000(含)-60000</v>
      </c>
      <c r="F116" s="528" t="str">
        <f t="shared" si="25"/>
        <v>60000(含)-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v>1</v>
      </c>
      <c r="D117" s="594">
        <v>20000</v>
      </c>
      <c r="E117" s="594">
        <v>40000</v>
      </c>
      <c r="F117" s="594">
        <v>60000</v>
      </c>
      <c r="G117" s="594"/>
      <c r="H117" s="594"/>
      <c r="I117" s="594"/>
      <c r="J117" s="595"/>
      <c r="K117" s="595"/>
      <c r="L117" s="596"/>
      <c r="M117" s="597"/>
      <c r="N117" s="1152"/>
      <c r="O117" s="1152"/>
      <c r="P117" s="45"/>
      <c r="Q117" s="503"/>
    </row>
    <row r="118" spans="1:17" ht="15.75" thickBot="1">
      <c r="A118" s="533"/>
      <c r="B118" s="542"/>
      <c r="C118" s="569">
        <v>100</v>
      </c>
      <c r="D118" s="590">
        <v>102</v>
      </c>
      <c r="E118" s="590">
        <v>104</v>
      </c>
      <c r="F118" s="590">
        <v>106</v>
      </c>
      <c r="G118" s="590"/>
      <c r="H118" s="590"/>
      <c r="I118" s="590"/>
      <c r="J118" s="590"/>
      <c r="K118" s="590"/>
      <c r="L118" s="590"/>
      <c r="M118" s="591"/>
      <c r="N118" s="1153"/>
      <c r="O118" s="1153"/>
      <c r="P118" s="45"/>
      <c r="Q118" s="503"/>
    </row>
    <row r="119" spans="1:17" ht="15" thickTop="1">
      <c r="A119" s="598"/>
      <c r="B119" s="537" t="s">
        <v>2795</v>
      </c>
      <c r="C119" s="2942" t="s">
        <v>3122</v>
      </c>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2796</v>
      </c>
      <c r="C121" s="2943" t="s">
        <v>3127</v>
      </c>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2797</v>
      </c>
      <c r="C123" s="2943" t="s">
        <v>3124</v>
      </c>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2798</v>
      </c>
      <c r="C125" s="2943" t="s">
        <v>3125</v>
      </c>
      <c r="D125" s="2943" t="s">
        <v>3182</v>
      </c>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95</v>
      </c>
      <c r="E126" s="543">
        <f t="shared" si="29"/>
        <v>90</v>
      </c>
      <c r="F126" s="543">
        <f t="shared" si="29"/>
        <v>85</v>
      </c>
      <c r="G126" s="543">
        <f t="shared" si="29"/>
        <v>80</v>
      </c>
      <c r="H126" s="543">
        <f t="shared" si="29"/>
        <v>75</v>
      </c>
      <c r="I126" s="543">
        <f t="shared" si="29"/>
        <v>70</v>
      </c>
      <c r="J126" s="543">
        <f t="shared" si="29"/>
        <v>65</v>
      </c>
      <c r="K126" s="543">
        <f t="shared" si="29"/>
        <v>60</v>
      </c>
      <c r="L126" s="543">
        <f t="shared" si="29"/>
        <v>55</v>
      </c>
      <c r="M126" s="544">
        <f t="shared" si="29"/>
        <v>50</v>
      </c>
      <c r="N126" s="1153"/>
      <c r="O126" s="1153"/>
      <c r="P126" s="45"/>
      <c r="Q126" s="503"/>
    </row>
    <row r="127" spans="1:17" ht="15" thickTop="1">
      <c r="A127" s="598"/>
      <c r="B127" s="537" t="str">
        <f>B43</f>
        <v>是否坡地</v>
      </c>
      <c r="C127" s="2943" t="s">
        <v>3180</v>
      </c>
      <c r="D127" s="2943" t="s">
        <v>3181</v>
      </c>
      <c r="E127" s="553"/>
      <c r="F127" s="553"/>
      <c r="G127" s="553"/>
      <c r="H127" s="582"/>
      <c r="I127" s="582"/>
      <c r="J127" s="582"/>
      <c r="K127" s="583"/>
      <c r="L127" s="584"/>
      <c r="M127" s="585"/>
      <c r="N127" s="1152"/>
      <c r="O127" s="1152"/>
      <c r="P127" s="45"/>
      <c r="Q127" s="503"/>
    </row>
    <row r="128" spans="1:17" ht="15.75" thickBot="1">
      <c r="A128" s="533"/>
      <c r="B128" s="542"/>
      <c r="C128" s="559">
        <v>100</v>
      </c>
      <c r="D128" s="559">
        <v>105</v>
      </c>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00B0F0"/>
    <pageSetUpPr fitToPage="1"/>
  </sheetPr>
  <dimension ref="A1:AG34"/>
  <sheetViews>
    <sheetView workbookViewId="0">
      <selection activeCell="L22" sqref="L22"/>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2465</v>
      </c>
      <c r="B1" s="1580"/>
      <c r="C1" s="1581"/>
      <c r="D1" s="1579"/>
      <c r="E1" s="319"/>
      <c r="F1" s="319"/>
      <c r="G1" s="1580"/>
      <c r="H1" s="319"/>
      <c r="I1" s="319"/>
      <c r="J1" s="319"/>
      <c r="K1" s="319">
        <f>MATCH(C1,'数据-取费表'!A6:A16,0)+5</f>
        <v>11</v>
      </c>
    </row>
    <row r="2" spans="1:33" ht="18" customHeight="1">
      <c r="A2" s="244" t="s">
        <v>2333</v>
      </c>
      <c r="B2" s="247">
        <f ca="1">C32</f>
        <v>77407</v>
      </c>
      <c r="C2" s="319" t="s">
        <v>2466</v>
      </c>
      <c r="D2" s="319"/>
      <c r="E2" s="319"/>
      <c r="F2" s="319"/>
      <c r="G2" s="319"/>
      <c r="H2" s="319"/>
      <c r="I2" s="319"/>
      <c r="J2" s="319"/>
      <c r="K2" s="319"/>
    </row>
    <row r="3" spans="1:33" ht="18" customHeight="1" thickBot="1">
      <c r="A3" s="246" t="s">
        <v>2335</v>
      </c>
      <c r="B3" s="247">
        <f ca="1">ROUND(B2*10000/IF(C1="",'数据-汇总表'!E3,INDIRECT("'数据-取费表'!K"&amp;$K$1)),0)</f>
        <v>11988</v>
      </c>
      <c r="C3" s="319" t="s">
        <v>2467</v>
      </c>
      <c r="D3" s="319"/>
      <c r="E3" s="319"/>
      <c r="F3" s="319"/>
      <c r="G3" s="319"/>
      <c r="H3" s="319"/>
      <c r="I3" s="319"/>
      <c r="J3" s="319"/>
      <c r="K3" s="319"/>
    </row>
    <row r="4" spans="1:33" s="956" customFormat="1" ht="16.5" customHeight="1">
      <c r="A4" s="953" t="s">
        <v>2468</v>
      </c>
      <c r="B4" s="954"/>
      <c r="C4" s="996">
        <f ca="1">SUM(C8:K8)</f>
        <v>128025.95</v>
      </c>
      <c r="D4" s="954"/>
      <c r="E4" s="954"/>
      <c r="F4" s="954"/>
      <c r="G4" s="954"/>
      <c r="H4" s="954"/>
      <c r="I4" s="954"/>
      <c r="J4" s="954"/>
      <c r="K4" s="955"/>
    </row>
    <row r="5" spans="1:33" s="960" customFormat="1" ht="15">
      <c r="A5" s="957" t="s">
        <v>2469</v>
      </c>
      <c r="B5" s="958" t="s">
        <v>2470</v>
      </c>
      <c r="C5" s="2551" t="s">
        <v>3101</v>
      </c>
      <c r="D5" s="2551" t="s">
        <v>3102</v>
      </c>
      <c r="E5" s="2551" t="s">
        <v>3104</v>
      </c>
      <c r="F5" s="2551" t="s">
        <v>3103</v>
      </c>
      <c r="G5" s="2551" t="s">
        <v>3173</v>
      </c>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'比较法-住宅'!B3</f>
        <v>23620</v>
      </c>
      <c r="D6" s="962">
        <v>4500</v>
      </c>
      <c r="E6" s="962">
        <f ca="1">收益法!B3</f>
        <v>2740</v>
      </c>
      <c r="F6" s="962">
        <f>'比较法-住宅 (2)'!B3</f>
        <v>25097</v>
      </c>
      <c r="G6" s="962">
        <f ca="1">'收益法 (底商)'!B3</f>
        <v>20747</v>
      </c>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20">
        <f>SUMIF('数据-汇总表'!$C19:$C33,假设开发法!C5,'数据-汇总表'!$E19:$E33)</f>
        <v>13243.629999999997</v>
      </c>
      <c r="D7" s="320">
        <f>SUMIF('数据-汇总表'!$C19:$C33,假设开发法!D5,'数据-汇总表'!$E19:$E33)</f>
        <v>2971</v>
      </c>
      <c r="E7" s="320">
        <f>SUMIF('数据-汇总表'!$C19:$C33,假设开发法!E5,'数据-汇总表'!$E19:$E33)</f>
        <v>7513.65</v>
      </c>
      <c r="F7" s="320">
        <f>SUMIF('数据-汇总表'!$C19:$C33,假设开发法!F5,'数据-汇总表'!$E19:$E33)</f>
        <v>32914.340000000004</v>
      </c>
      <c r="G7" s="320">
        <f>SUMIF('数据-汇总表'!$C19:$C33,假设开发法!G5,'数据-汇总表'!$E19:$E33)</f>
        <v>5178.66</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2474</v>
      </c>
      <c r="B8" s="176" t="s">
        <v>2475</v>
      </c>
      <c r="C8" s="997">
        <f>'比较法-住宅'!B2</f>
        <v>31281</v>
      </c>
      <c r="D8" s="997">
        <f>D6*D7/10000</f>
        <v>1336.95</v>
      </c>
      <c r="E8" s="997">
        <f ca="1">收益法!B2</f>
        <v>2059</v>
      </c>
      <c r="F8" s="997">
        <f>'比较法-住宅 (2)'!B2</f>
        <v>82605</v>
      </c>
      <c r="G8" s="998">
        <f ca="1">'收益法 (底商)'!B2</f>
        <v>10744</v>
      </c>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1335</v>
      </c>
      <c r="B11" s="972" t="s">
        <v>2483</v>
      </c>
      <c r="C11" s="322">
        <f ca="1">IF(C1="",'数据-取费表'!P16,INDIRECT("'数据-取费表'!p"&amp;$K$1)+INDIRECT("'数据-取费表'!ar"&amp;$K$1))</f>
        <v>14750</v>
      </c>
      <c r="D11" s="973"/>
      <c r="E11" s="374"/>
      <c r="F11" s="974">
        <f ca="1">1-IF('数据-取费表'!B24=0,1,IF(C1="",'数据-取费表'!N16,INDIRECT("'数据-取费表'!n"&amp;$K$1)))</f>
        <v>0.90500000000000003</v>
      </c>
      <c r="G11" s="8"/>
      <c r="H11" s="968"/>
      <c r="I11" s="968"/>
      <c r="J11" s="968"/>
      <c r="K11" s="969"/>
    </row>
    <row r="12" spans="1:33" s="975" customFormat="1" ht="13.5" customHeight="1">
      <c r="A12" s="971" t="s">
        <v>1336</v>
      </c>
      <c r="B12" s="972" t="s">
        <v>2484</v>
      </c>
      <c r="C12" s="24">
        <f ca="1">ROUND(C11*F12,0)</f>
        <v>443</v>
      </c>
      <c r="D12" s="973"/>
      <c r="E12" s="374"/>
      <c r="F12" s="976">
        <f>'数据-取费表'!B33</f>
        <v>0.03</v>
      </c>
      <c r="G12" s="8" t="s">
        <v>2485</v>
      </c>
      <c r="H12" s="968"/>
      <c r="I12" s="968"/>
      <c r="J12" s="968"/>
      <c r="K12" s="969"/>
    </row>
    <row r="13" spans="1:33" s="975" customFormat="1" ht="13.5" customHeight="1">
      <c r="A13" s="971" t="s">
        <v>1337</v>
      </c>
      <c r="B13" s="972" t="s">
        <v>2486</v>
      </c>
      <c r="C13" s="24">
        <f ca="1">ROUND(IF(C1="",SUMIF('数据-取费表'!C:C,"住宅",'数据-取费表'!P:P)*F13,IF(INDIRECT("'数据-取费表'!c"&amp;$K$1)="住宅",INDIRECT("'数据-取费表'!P"&amp;$K$1)*F13,0)),0)</f>
        <v>581</v>
      </c>
      <c r="D13" s="1033"/>
      <c r="E13" s="374"/>
      <c r="F13" s="976">
        <f>'数据-取费表'!B34</f>
        <v>0.05</v>
      </c>
      <c r="G13" s="8" t="s">
        <v>2487</v>
      </c>
      <c r="H13" s="968"/>
      <c r="I13" s="968"/>
      <c r="J13" s="968"/>
      <c r="K13" s="969"/>
    </row>
    <row r="14" spans="1:33" s="977" customFormat="1" ht="13.5" customHeight="1">
      <c r="A14" s="971" t="s">
        <v>1338</v>
      </c>
      <c r="B14" s="972" t="s">
        <v>2488</v>
      </c>
      <c r="C14" s="24">
        <f ca="1">ROUND(D14*E14*F11/10000,0)</f>
        <v>1169</v>
      </c>
      <c r="D14" s="1033">
        <f ca="1">IF(C1="",'数据-汇总表'!E3,INDIRECT("'数据-取费表'!K"&amp;$K$1)+INDIRECT("'数据-取费表'!S"&amp;$K$1))</f>
        <v>64569.140000000007</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2490</v>
      </c>
      <c r="C15" s="983">
        <f ca="1">ROUND(C11*F15,0)</f>
        <v>221</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17164</v>
      </c>
      <c r="D16" s="978"/>
      <c r="E16" s="983"/>
      <c r="F16" s="984"/>
      <c r="G16" s="138"/>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646</v>
      </c>
      <c r="D17" s="1033">
        <f ca="1">D14</f>
        <v>64569.140000000007</v>
      </c>
      <c r="E17" s="24">
        <f>'数据-取费表'!B32</f>
        <v>100</v>
      </c>
      <c r="F17" s="978"/>
      <c r="G17" s="138" t="s">
        <v>2494</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2495</v>
      </c>
      <c r="C18" s="24">
        <f ca="1">C19+C20-IF(C1="",'数据-取费表'!B29,IF(G18="已全部缴纳",C19+C20,H18))</f>
        <v>1246</v>
      </c>
      <c r="D18" s="1033"/>
      <c r="E18" s="24"/>
      <c r="F18" s="976"/>
      <c r="G18" s="2977" t="s">
        <v>3190</v>
      </c>
      <c r="H18" s="2978">
        <f>成本法!H9</f>
        <v>342</v>
      </c>
      <c r="I18" s="2553" t="s">
        <v>2496</v>
      </c>
      <c r="J18" s="979"/>
      <c r="K18" s="980"/>
    </row>
    <row r="19" spans="1:33" s="975" customFormat="1" ht="13.5" customHeight="1">
      <c r="A19" s="971" t="s">
        <v>805</v>
      </c>
      <c r="B19" s="972" t="s">
        <v>2497</v>
      </c>
      <c r="C19" s="24">
        <f ca="1">ROUND(D19*E19/10000,0)</f>
        <v>1135</v>
      </c>
      <c r="D19" s="1033">
        <f ca="1">IF(C1="",'数据-汇总表'!E5,IF(INDIRECT("'数据-取费表'!c"&amp;$K$1)="住宅",INDIRECT("'数据-取费表'!k"&amp;$K$1),0))</f>
        <v>46157.97</v>
      </c>
      <c r="E19" s="24">
        <f>'数据-取费表'!B27</f>
        <v>246</v>
      </c>
      <c r="F19" s="976"/>
      <c r="G19" s="15"/>
      <c r="H19" s="1578"/>
      <c r="I19" s="981"/>
      <c r="J19" s="981"/>
      <c r="K19" s="982"/>
    </row>
    <row r="20" spans="1:33" s="975" customFormat="1" ht="13.5" customHeight="1">
      <c r="A20" s="971" t="s">
        <v>806</v>
      </c>
      <c r="B20" s="972" t="s">
        <v>2498</v>
      </c>
      <c r="C20" s="24">
        <f ca="1">ROUND(D20*E20/10000,0)</f>
        <v>453</v>
      </c>
      <c r="D20" s="1033">
        <f ca="1">IF(C1="",'数据-汇总表'!E6,IF(INDIRECT("'数据-取费表'!c"&amp;$K$1)="住宅",INDIRECT("'数据-取费表'!s"&amp;$K$1),INDIRECT("'数据-取费表'!k"&amp;$K$1)+INDIRECT("'数据-取费表'!s"&amp;$K$1)))</f>
        <v>18411.170000000006</v>
      </c>
      <c r="E20" s="24">
        <f>'数据-取费表'!B28</f>
        <v>246</v>
      </c>
      <c r="F20" s="976"/>
      <c r="G20" s="15"/>
      <c r="H20" s="981"/>
      <c r="I20" s="981"/>
      <c r="J20" s="981"/>
      <c r="K20" s="982"/>
    </row>
    <row r="21" spans="1:33" s="975" customFormat="1" ht="13.5" customHeight="1">
      <c r="A21" s="961" t="s">
        <v>802</v>
      </c>
      <c r="B21" s="985" t="s">
        <v>2499</v>
      </c>
      <c r="C21" s="986">
        <f ca="1">C16+C17+C18</f>
        <v>19056</v>
      </c>
      <c r="D21" s="987"/>
      <c r="E21" s="324"/>
      <c r="F21" s="324"/>
      <c r="G21" s="138" t="s">
        <v>2500</v>
      </c>
      <c r="H21" s="979"/>
      <c r="I21" s="979"/>
      <c r="J21" s="979"/>
      <c r="K21" s="980"/>
    </row>
    <row r="22" spans="1:33" s="975" customFormat="1" ht="13.5" customHeight="1">
      <c r="A22" s="961" t="s">
        <v>2472</v>
      </c>
      <c r="B22" s="985" t="s">
        <v>2501</v>
      </c>
      <c r="C22" s="986">
        <f ca="1">ROUND(C21*F22,0)</f>
        <v>286</v>
      </c>
      <c r="D22" s="324"/>
      <c r="E22" s="324"/>
      <c r="F22" s="988">
        <f>'数据-取费表'!B37</f>
        <v>1.4999999999999999E-2</v>
      </c>
      <c r="G22" s="8" t="s">
        <v>2502</v>
      </c>
      <c r="H22" s="968"/>
      <c r="I22" s="968"/>
      <c r="J22" s="968"/>
      <c r="K22" s="969"/>
    </row>
    <row r="23" spans="1:33" s="975" customFormat="1" ht="13.5" customHeight="1">
      <c r="A23" s="961" t="s">
        <v>2474</v>
      </c>
      <c r="B23" s="985" t="s">
        <v>2503</v>
      </c>
      <c r="C23" s="986">
        <f ca="1">ROUND(C4*F23*F11,0)</f>
        <v>2897</v>
      </c>
      <c r="D23" s="324"/>
      <c r="E23" s="324"/>
      <c r="F23" s="988">
        <f>'数据-取费表'!B38</f>
        <v>2.5000000000000001E-2</v>
      </c>
      <c r="G23" s="8" t="s">
        <v>2504</v>
      </c>
      <c r="H23" s="968"/>
      <c r="I23" s="968"/>
      <c r="J23" s="968"/>
      <c r="K23" s="969"/>
    </row>
    <row r="24" spans="1:33" s="975" customFormat="1" ht="13.5" customHeight="1">
      <c r="A24" s="961" t="s">
        <v>2505</v>
      </c>
      <c r="B24" s="985" t="s">
        <v>2506</v>
      </c>
      <c r="C24" s="323">
        <f>ROUND(F24/(1+'数据-取费表'!C42),4)</f>
        <v>3.8600000000000002E-2</v>
      </c>
      <c r="D24" s="324" t="s">
        <v>15</v>
      </c>
      <c r="E24" s="324"/>
      <c r="F24" s="988">
        <f>'数据-取费表'!B48+'数据-取费表'!B49</f>
        <v>4.0500000000000001E-2</v>
      </c>
      <c r="G24" s="8" t="s">
        <v>2507</v>
      </c>
      <c r="H24" s="990"/>
      <c r="I24" s="990"/>
      <c r="J24" s="990"/>
      <c r="K24" s="991"/>
    </row>
    <row r="25" spans="1:33" s="975" customFormat="1" ht="13.5" customHeight="1">
      <c r="A25" s="961" t="s">
        <v>2508</v>
      </c>
      <c r="B25" s="987" t="s">
        <v>2509</v>
      </c>
      <c r="C25" s="1356">
        <f ca="1">C27</f>
        <v>788</v>
      </c>
      <c r="D25" s="323">
        <f ca="1">C26</f>
        <v>7.4899999999999994E-2</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7.4899999999999994E-2</v>
      </c>
      <c r="D26" s="327"/>
      <c r="E26" s="328"/>
      <c r="F26" s="329"/>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788</v>
      </c>
      <c r="D27" s="327"/>
      <c r="E27" s="328"/>
      <c r="F27" s="329"/>
      <c r="G27" s="2554" t="str">
        <f>IF('数据-取费表'!B22&lt;=1,"（1）-（3）项×年利率×建设期÷2","（1）-（3）项×((1+年利率)^(建设期÷2)-1)")</f>
        <v>（1）-（3）项×((1+年利率)^(建设期÷2)-1)</v>
      </c>
      <c r="H27" s="979"/>
      <c r="I27" s="979"/>
      <c r="J27" s="979"/>
      <c r="K27" s="980"/>
    </row>
    <row r="28" spans="1:33" s="332" customFormat="1" ht="13.5" customHeight="1">
      <c r="A28" s="961" t="s">
        <v>2512</v>
      </c>
      <c r="B28" s="2555" t="s">
        <v>2513</v>
      </c>
      <c r="C28" s="330">
        <f ca="1">C30</f>
        <v>3781</v>
      </c>
      <c r="D28" s="323">
        <f ca="1">C29</f>
        <v>0.10589999999999999</v>
      </c>
      <c r="E28" s="325" t="s">
        <v>15</v>
      </c>
      <c r="F28" s="331">
        <f ca="1">IF(C1="",'数据-取费表'!Q16,INDIRECT("'数据-取费表'!q"&amp;$K$1))</f>
        <v>0.17</v>
      </c>
      <c r="G28" s="989"/>
      <c r="H28" s="990"/>
      <c r="I28" s="990"/>
      <c r="J28" s="990"/>
      <c r="K28" s="991"/>
    </row>
    <row r="29" spans="1:33" s="334" customFormat="1" ht="13.5" customHeight="1">
      <c r="A29" s="971" t="s">
        <v>803</v>
      </c>
      <c r="B29" s="994" t="s">
        <v>2514</v>
      </c>
      <c r="C29" s="327">
        <f ca="1">ROUND((1+C24)*F28*'数据-取费表'!B24/'数据-取费表'!B20,4)</f>
        <v>0.10589999999999999</v>
      </c>
      <c r="D29" s="327"/>
      <c r="E29" s="328"/>
      <c r="F29" s="333"/>
      <c r="G29" s="138" t="s">
        <v>2515</v>
      </c>
      <c r="H29" s="979"/>
      <c r="I29" s="979"/>
      <c r="J29" s="979"/>
      <c r="K29" s="980"/>
    </row>
    <row r="30" spans="1:33" s="334" customFormat="1" ht="13.5" customHeight="1">
      <c r="A30" s="971" t="s">
        <v>804</v>
      </c>
      <c r="B30" s="994" t="s">
        <v>2516</v>
      </c>
      <c r="C30" s="335">
        <f ca="1">ROUND((C21+C22+C23)*F28,0)</f>
        <v>3781</v>
      </c>
      <c r="D30" s="327"/>
      <c r="E30" s="328"/>
      <c r="F30" s="333"/>
      <c r="G30" s="138"/>
      <c r="H30" s="979"/>
      <c r="I30" s="979"/>
      <c r="J30" s="979"/>
      <c r="K30" s="980"/>
    </row>
    <row r="31" spans="1:33" s="975" customFormat="1" ht="13.5" customHeight="1" thickBot="1">
      <c r="A31" s="2556" t="s">
        <v>2517</v>
      </c>
      <c r="B31" s="1005" t="s">
        <v>2518</v>
      </c>
      <c r="C31" s="1006">
        <f ca="1">ROUND(C4*F31/(1+'数据-取费表'!C42),0)</f>
        <v>6828</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77407</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F10" sqref="F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t="s">
        <v>3173</v>
      </c>
      <c r="D1" s="1819" t="s">
        <v>3136</v>
      </c>
      <c r="E1" s="1820" t="s">
        <v>1388</v>
      </c>
      <c r="F1" s="1283">
        <f ca="1">J53</f>
        <v>36.31</v>
      </c>
      <c r="G1" s="1835">
        <f>MATCH(C1,'数据-取费表'!A6:A16,0)+5</f>
        <v>10</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10744</v>
      </c>
      <c r="C2" s="1844" t="s">
        <v>1518</v>
      </c>
      <c r="D2" s="1844"/>
      <c r="E2" s="1845"/>
      <c r="F2" s="1846"/>
      <c r="G2" s="1847"/>
      <c r="H2" s="1839"/>
      <c r="I2" s="1839"/>
      <c r="J2" s="1839"/>
      <c r="K2" s="1840"/>
      <c r="L2" s="1839"/>
      <c r="M2" s="1839"/>
    </row>
    <row r="3" spans="1:37" ht="18" customHeight="1" thickBot="1">
      <c r="A3" s="1848" t="s">
        <v>1519</v>
      </c>
      <c r="B3" s="1849">
        <f ca="1">IF(ISERROR(B2*10000/F43),0,ROUND(B2*10000/F43,0))</f>
        <v>20747</v>
      </c>
      <c r="C3" s="1844" t="s">
        <v>1520</v>
      </c>
      <c r="D3" s="1844"/>
      <c r="E3" s="1845"/>
      <c r="F3" s="1846"/>
      <c r="G3" s="1847"/>
      <c r="H3" s="742"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2">
        <f ca="1">C6+C10+C12</f>
        <v>563</v>
      </c>
      <c r="D5" s="1821" t="s">
        <v>1403</v>
      </c>
      <c r="E5" s="1293"/>
      <c r="F5" s="1294"/>
      <c r="G5" s="1850"/>
      <c r="H5" s="343">
        <v>1</v>
      </c>
      <c r="I5" s="344" t="s">
        <v>1402</v>
      </c>
      <c r="J5" s="1292">
        <f ca="1">J6+J10+J12</f>
        <v>0</v>
      </c>
      <c r="K5" s="1821" t="s">
        <v>1403</v>
      </c>
      <c r="L5" s="1293"/>
      <c r="M5" s="1294"/>
    </row>
    <row r="6" spans="1:37" ht="18" customHeight="1">
      <c r="A6" s="1291" t="s">
        <v>1035</v>
      </c>
      <c r="B6" s="3214" t="s">
        <v>1404</v>
      </c>
      <c r="C6" s="1296">
        <f ca="1">ROUND(F6*F8*F7*(1-F9)/10000,0)</f>
        <v>562</v>
      </c>
      <c r="D6" s="163" t="s">
        <v>3039</v>
      </c>
      <c r="E6" s="346" t="s">
        <v>1406</v>
      </c>
      <c r="F6" s="347">
        <f ca="1">INDIRECT("'数据-取费表'!u"&amp;$G$1)</f>
        <v>3.5</v>
      </c>
      <c r="G6" s="1850"/>
      <c r="H6" s="1291" t="s">
        <v>1035</v>
      </c>
      <c r="I6" s="3214" t="s">
        <v>1404</v>
      </c>
      <c r="J6" s="345">
        <f ca="1">ROUND(M6*M8*M7*(1-M9)/10000,0)</f>
        <v>0</v>
      </c>
      <c r="K6" s="163" t="s">
        <v>3038</v>
      </c>
      <c r="L6" s="346" t="s">
        <v>1406</v>
      </c>
      <c r="M6" s="347">
        <f ca="1">INDIRECT("'数据-取费表'!z"&amp;$G$1)</f>
        <v>0</v>
      </c>
    </row>
    <row r="7" spans="1:37" ht="18" customHeight="1">
      <c r="A7" s="1295"/>
      <c r="B7" s="3215"/>
      <c r="C7" s="1297"/>
      <c r="D7" s="351"/>
      <c r="E7" s="2958" t="s">
        <v>1407</v>
      </c>
      <c r="F7" s="347">
        <f ca="1">IF(INDIRECT("'数据-取费表'!ah"&amp;$G$1)="",INDIRECT("'数据-取费表'!k"&amp;$G$1),INDIRECT("'数据-取费表'!ah"&amp;$G$1))</f>
        <v>5178.66</v>
      </c>
      <c r="G7" s="1850"/>
      <c r="H7" s="348"/>
      <c r="I7" s="3215"/>
      <c r="J7" s="350"/>
      <c r="K7" s="351"/>
      <c r="L7" s="346" t="s">
        <v>1407</v>
      </c>
      <c r="M7" s="347">
        <f ca="1">F7</f>
        <v>5178.66</v>
      </c>
    </row>
    <row r="8" spans="1:37" ht="18" customHeight="1">
      <c r="A8" s="348"/>
      <c r="B8" s="3215"/>
      <c r="C8" s="350"/>
      <c r="D8" s="351"/>
      <c r="E8" s="346" t="s">
        <v>1408</v>
      </c>
      <c r="F8" s="347">
        <f ca="1">INDIRECT("'数据-取费表'!ai"&amp;$G$1)</f>
        <v>365</v>
      </c>
      <c r="G8" s="1850"/>
      <c r="H8" s="348"/>
      <c r="I8" s="3215"/>
      <c r="J8" s="350"/>
      <c r="K8" s="351"/>
      <c r="L8" s="346" t="s">
        <v>1408</v>
      </c>
      <c r="M8" s="347">
        <f ca="1">INDIRECT("'数据-取费表'!ai"&amp;$G$1)</f>
        <v>365</v>
      </c>
    </row>
    <row r="9" spans="1:37" ht="18" customHeight="1">
      <c r="A9" s="348"/>
      <c r="B9" s="3216"/>
      <c r="C9" s="350"/>
      <c r="D9" s="351"/>
      <c r="E9" s="346" t="s">
        <v>1409</v>
      </c>
      <c r="F9" s="356">
        <f ca="1">INDIRECT("'数据-取费表'!w"&amp;$G$1)</f>
        <v>0.15</v>
      </c>
      <c r="G9" s="1850"/>
      <c r="H9" s="348"/>
      <c r="I9" s="3216"/>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ROUND(IF(F10="押一",F6*F8*F7/12*F11,IF(F10="押二",F6*F8*F7/12*2*F11,IF(F10="押三",F6*F8*F7/12*3*F11,C11*F11)))/10000,0)</f>
        <v>1</v>
      </c>
      <c r="D10" s="1823" t="s">
        <v>3035</v>
      </c>
      <c r="E10" s="357" t="s">
        <v>1412</v>
      </c>
      <c r="F10" s="2979" t="s">
        <v>3191</v>
      </c>
      <c r="G10" s="1850"/>
      <c r="H10" s="1291" t="s">
        <v>1039</v>
      </c>
      <c r="I10" s="1822" t="s">
        <v>1410</v>
      </c>
      <c r="J10" s="345">
        <f ca="1">ROUND(IF(M10="押一",M6*M8*M7/12*M11,IF(M10="押二",M6*M8*M7/12*2*M11,IF(M10="押三",M6*M8*M7/12*3*M11,J11*M11)))/10000,0)</f>
        <v>0</v>
      </c>
      <c r="K10" s="1823" t="s">
        <v>3035</v>
      </c>
      <c r="L10" s="357" t="s">
        <v>1412</v>
      </c>
      <c r="M10" s="1366" t="s">
        <v>1413</v>
      </c>
    </row>
    <row r="11" spans="1:37" ht="18" customHeight="1">
      <c r="A11" s="352"/>
      <c r="B11" s="1824" t="s">
        <v>1389</v>
      </c>
      <c r="C11" s="1178"/>
      <c r="D11" s="1825"/>
      <c r="E11" s="357" t="s">
        <v>1414</v>
      </c>
      <c r="F11" s="358">
        <f ca="1">'数据-取费表'!B39</f>
        <v>1.4999999999999999E-2</v>
      </c>
      <c r="G11" s="1850"/>
      <c r="H11" s="1299"/>
      <c r="I11" s="1824" t="s">
        <v>1389</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1888</v>
      </c>
      <c r="D13" s="1331" t="s">
        <v>1417</v>
      </c>
      <c r="E13" s="1331" t="s">
        <v>1418</v>
      </c>
      <c r="F13" s="1332">
        <f ca="1">INDIRECT("'数据-取费表'!y"&amp;$G$1)</f>
        <v>1</v>
      </c>
      <c r="G13" s="1850"/>
      <c r="H13" s="1329">
        <v>2</v>
      </c>
      <c r="I13" s="1330" t="s">
        <v>1416</v>
      </c>
      <c r="J13" s="1290">
        <f ca="1">ROUND(J14*J15,0)</f>
        <v>0</v>
      </c>
      <c r="K13" s="1337" t="s">
        <v>1417</v>
      </c>
      <c r="L13" s="1851"/>
      <c r="M13" s="1852"/>
    </row>
    <row r="14" spans="1:37" ht="18" customHeight="1">
      <c r="A14" s="1201" t="s">
        <v>1034</v>
      </c>
      <c r="B14" s="346" t="s">
        <v>1419</v>
      </c>
      <c r="C14" s="362">
        <f ca="1">INDIRECT("'数据-取费表'!m"&amp;$G$1)+INDIRECT("'数据-取费表'!t"&amp;$G$1)</f>
        <v>1249</v>
      </c>
      <c r="D14" s="2952" t="s">
        <v>1420</v>
      </c>
      <c r="E14" s="2950"/>
      <c r="F14" s="363"/>
      <c r="G14" s="1850"/>
      <c r="H14" s="1201" t="s">
        <v>1035</v>
      </c>
      <c r="I14" s="346" t="s">
        <v>1421</v>
      </c>
      <c r="J14" s="24">
        <f ca="1">C29</f>
        <v>1888</v>
      </c>
      <c r="K14" s="2957"/>
      <c r="L14" s="979"/>
      <c r="M14" s="980"/>
    </row>
    <row r="15" spans="1:37" s="1857" customFormat="1" ht="18" customHeight="1" thickBot="1">
      <c r="A15" s="1201" t="s">
        <v>1036</v>
      </c>
      <c r="B15" s="346" t="s">
        <v>1422</v>
      </c>
      <c r="C15" s="24">
        <f ca="1">ROUND(C14*F15,0)</f>
        <v>37</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0"/>
      <c r="H16" s="1329" t="s">
        <v>1030</v>
      </c>
      <c r="I16" s="1330" t="s">
        <v>1426</v>
      </c>
      <c r="J16" s="354">
        <f ca="1">ROUND(J17+J22+J23+J24,0)</f>
        <v>56</v>
      </c>
      <c r="K16" s="1337" t="s">
        <v>1427</v>
      </c>
      <c r="L16" s="2953"/>
      <c r="M16" s="1294"/>
    </row>
    <row r="17" spans="1:37" s="1857" customFormat="1" ht="18" customHeight="1">
      <c r="A17" s="1201" t="s">
        <v>1391</v>
      </c>
      <c r="B17" s="346" t="s">
        <v>1428</v>
      </c>
      <c r="C17" s="24">
        <f ca="1">ROUND(F17*(F43+INDIRECT("'数据-取费表'!S"&amp;$G$1))/10000,0)</f>
        <v>104</v>
      </c>
      <c r="D17" s="346" t="s">
        <v>1429</v>
      </c>
      <c r="E17" s="346" t="s">
        <v>1430</v>
      </c>
      <c r="F17" s="26">
        <f>'数据-取费表'!B35</f>
        <v>200</v>
      </c>
      <c r="G17" s="1853"/>
      <c r="H17" s="1201" t="s">
        <v>1035</v>
      </c>
      <c r="I17" s="346" t="s">
        <v>1431</v>
      </c>
      <c r="J17" s="24">
        <f ca="1">ROUND(IF(项目基本情况!B11="自然人",J5*M17,J18+J19+J20),1)</f>
        <v>18.5</v>
      </c>
      <c r="K17" s="2952" t="s">
        <v>1432</v>
      </c>
      <c r="L17" s="2951"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19</v>
      </c>
      <c r="D18" s="346" t="s">
        <v>1423</v>
      </c>
      <c r="E18" s="346" t="s">
        <v>1424</v>
      </c>
      <c r="F18" s="366">
        <f>'数据-取费表'!B36</f>
        <v>1.4999999999999999E-2</v>
      </c>
      <c r="G18" s="1853"/>
      <c r="H18" s="1201" t="s">
        <v>1034</v>
      </c>
      <c r="I18" s="346" t="s">
        <v>1435</v>
      </c>
      <c r="J18" s="24">
        <f ca="1">ROUND(J5*M18/(1+'数据-取费表'!C42),2)</f>
        <v>0</v>
      </c>
      <c r="K18" s="2951"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1409</v>
      </c>
      <c r="D19" s="138" t="s">
        <v>1438</v>
      </c>
      <c r="E19" s="2956"/>
      <c r="F19" s="26"/>
      <c r="G19" s="1850"/>
      <c r="H19" s="1201" t="s">
        <v>1036</v>
      </c>
      <c r="I19" s="346" t="s">
        <v>1439</v>
      </c>
      <c r="J19" s="24">
        <f ca="1">IF(K19="按租金收入计税",ROUND(J5*M19,2),ROUND(C29*M19*0.7,2))</f>
        <v>15.86</v>
      </c>
      <c r="K19" s="1827" t="s">
        <v>1440</v>
      </c>
      <c r="L19" s="346" t="s">
        <v>1424</v>
      </c>
      <c r="M19" s="366">
        <f>IF(K19="按租金收入计税",'数据-取费表'!B51,'数据-取费表'!B50)</f>
        <v>1.2E-2</v>
      </c>
    </row>
    <row r="20" spans="1:37" s="1857" customFormat="1" ht="18" customHeight="1">
      <c r="A20" s="1201" t="s">
        <v>1039</v>
      </c>
      <c r="B20" s="346" t="s">
        <v>1441</v>
      </c>
      <c r="C20" s="24">
        <f ca="1">ROUND(C19*F20,0)</f>
        <v>21</v>
      </c>
      <c r="D20" s="368" t="s">
        <v>1442</v>
      </c>
      <c r="E20" s="346" t="s">
        <v>1424</v>
      </c>
      <c r="F20" s="366">
        <f>'数据-取费表'!B37</f>
        <v>1.4999999999999999E-2</v>
      </c>
      <c r="G20" s="1853"/>
      <c r="H20" s="1201" t="s">
        <v>1390</v>
      </c>
      <c r="I20" s="163" t="s">
        <v>1443</v>
      </c>
      <c r="J20" s="25">
        <f ca="1">ROUND(M20*M21/10000,2)</f>
        <v>2.62</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18</v>
      </c>
      <c r="D21" s="368" t="s">
        <v>1447</v>
      </c>
      <c r="E21" s="346" t="s">
        <v>1448</v>
      </c>
      <c r="F21" s="366">
        <f>'数据-取费表'!B38</f>
        <v>2.5000000000000001E-2</v>
      </c>
      <c r="G21" s="1853"/>
      <c r="H21" s="371"/>
      <c r="I21" s="355"/>
      <c r="J21" s="29"/>
      <c r="K21" s="372"/>
      <c r="L21" s="346" t="s">
        <v>1449</v>
      </c>
      <c r="M21" s="347">
        <f ca="1">INDIRECT("'数据-取费表'!r"&amp;$G$1)</f>
        <v>1639.86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2956"/>
      <c r="F22" s="26"/>
      <c r="G22" s="1850"/>
      <c r="H22" s="1201" t="s">
        <v>1039</v>
      </c>
      <c r="I22" s="346" t="s">
        <v>1451</v>
      </c>
      <c r="J22" s="24">
        <f ca="1">ROUND(J14*M22,1)</f>
        <v>37.799999999999997</v>
      </c>
      <c r="K22" s="2951" t="s">
        <v>1452</v>
      </c>
      <c r="L22" s="346" t="s">
        <v>1424</v>
      </c>
      <c r="M22" s="373">
        <f ca="1">INDIRECT("'数据-取费表'!Ak"&amp;$G$1)</f>
        <v>0.02</v>
      </c>
    </row>
    <row r="23" spans="1:37" s="1857" customFormat="1" ht="18" customHeight="1">
      <c r="A23" s="1201" t="s">
        <v>1034</v>
      </c>
      <c r="B23" s="346" t="s">
        <v>1453</v>
      </c>
      <c r="C23" s="24">
        <f ca="1">IF('数据-取费表'!B22&lt;=1,ROUND(C19*F24*F23/2,0)+ROUND(C20*F24*F23/2,0),ROUND(C19*(POWER((1+F24),F23/2)-1),0)+ROUND(C20*(POWER((1+F24),F23/2)-1),0))</f>
        <v>85</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ROUND(J13*M23,1)</f>
        <v>0</v>
      </c>
      <c r="K23" s="2951" t="s">
        <v>1456</v>
      </c>
      <c r="L23" s="346" t="s">
        <v>1424</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1393</v>
      </c>
      <c r="I24" s="1340" t="s">
        <v>1441</v>
      </c>
      <c r="J24" s="1341">
        <f ca="1">ROUND(J5*M24,1)</f>
        <v>0</v>
      </c>
      <c r="K24" s="1342" t="s">
        <v>1461</v>
      </c>
      <c r="L24" s="1340" t="s">
        <v>1424</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6" t="s">
        <v>1463</v>
      </c>
      <c r="C25" s="24"/>
      <c r="D25" s="138" t="s">
        <v>1464</v>
      </c>
      <c r="E25" s="2956"/>
      <c r="F25" s="26"/>
      <c r="G25" s="1850"/>
      <c r="H25" s="1329" t="s">
        <v>1031</v>
      </c>
      <c r="I25" s="1344" t="s">
        <v>1465</v>
      </c>
      <c r="J25" s="354">
        <f ca="1">J5-J16</f>
        <v>-56</v>
      </c>
      <c r="K25" s="1345" t="s">
        <v>1466</v>
      </c>
      <c r="L25" s="1346"/>
      <c r="M25" s="1347"/>
    </row>
    <row r="26" spans="1:37">
      <c r="A26" s="1201" t="s">
        <v>1034</v>
      </c>
      <c r="B26" s="346" t="s">
        <v>1467</v>
      </c>
      <c r="C26" s="24">
        <f ca="1">ROUND((C19+C20)*F26,0)</f>
        <v>215</v>
      </c>
      <c r="D26" s="368" t="s">
        <v>1468</v>
      </c>
      <c r="E26" s="357" t="s">
        <v>1469</v>
      </c>
      <c r="F26" s="356">
        <f ca="1">INDIRECT("'数据-取费表'!q"&amp;$G$1)</f>
        <v>0.15</v>
      </c>
      <c r="G26" s="1850"/>
      <c r="H26" s="343" t="s">
        <v>1032</v>
      </c>
      <c r="I26" s="344" t="s">
        <v>1470</v>
      </c>
      <c r="J26" s="345">
        <f ca="1">IF(J5&lt;&gt;0,ROUND(J25*(1-((1+M28)/(1+M26))^M27)/(M26-M28),0),0)</f>
        <v>0</v>
      </c>
      <c r="K26" s="369" t="s">
        <v>1471</v>
      </c>
      <c r="L26" s="346" t="s">
        <v>1472</v>
      </c>
      <c r="M26" s="356">
        <f ca="1">INDIRECT("'数据-取费表'!I"&amp;$G$1)</f>
        <v>5.5E-2</v>
      </c>
    </row>
    <row r="27" spans="1:37" ht="18" customHeight="1">
      <c r="A27" s="1201" t="s">
        <v>1036</v>
      </c>
      <c r="B27" s="346" t="s">
        <v>1473</v>
      </c>
      <c r="C27" s="24">
        <f ca="1">ROUND(F21*F26,4)</f>
        <v>3.8E-3</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1888</v>
      </c>
      <c r="D29" s="1342"/>
      <c r="E29" s="1340"/>
      <c r="F29" s="1343"/>
      <c r="G29" s="1853"/>
      <c r="H29" s="379" t="s">
        <v>1033</v>
      </c>
      <c r="I29" s="380" t="s">
        <v>1481</v>
      </c>
      <c r="J29" s="381">
        <f ca="1">ROUND(J26/(1+F40)^F41,0)</f>
        <v>0</v>
      </c>
      <c r="K29" s="382" t="s">
        <v>1482</v>
      </c>
      <c r="L29" s="383"/>
      <c r="M29" s="384">
        <f ca="1">INDIRECT("'数据-取费表'!k"&amp;$G$1)</f>
        <v>5178.66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101</v>
      </c>
      <c r="D30" s="1337" t="s">
        <v>1427</v>
      </c>
      <c r="E30" s="2953"/>
      <c r="F30" s="1294"/>
      <c r="G30" s="1850"/>
      <c r="H30" s="743"/>
      <c r="I30" s="744"/>
      <c r="J30" s="745"/>
      <c r="K30" s="746"/>
      <c r="L30" s="747"/>
      <c r="M30" s="748"/>
    </row>
    <row r="31" spans="1:37" ht="18" customHeight="1">
      <c r="A31" s="1201" t="s">
        <v>1035</v>
      </c>
      <c r="B31" s="346" t="s">
        <v>1431</v>
      </c>
      <c r="C31" s="24">
        <f ca="1">ROUND(IF(项目基本情况!B11="自然人",C5*F31,C32+C33+C34),1)</f>
        <v>48.5</v>
      </c>
      <c r="D31" s="2952" t="s">
        <v>1432</v>
      </c>
      <c r="E31" s="2951"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IF(项目基本情况!B11="自然人","——",ROUND(C5*F32/(1+'数据-取费表'!C42),2))</f>
        <v>30.03</v>
      </c>
      <c r="D32" s="2951"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IF(项目基本情况!B11="自然人","——",IF(D33="按租金收入计税",ROUND(C5*F33,2),IF(D33="按房产原值计税",ROUND(C29*F33*0.7,2),INDIRECT("'数据-取费表'!Aj"&amp;$G$1))))</f>
        <v>15.86</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IF(项目基本情况!B11="自然人","——",ROUND(F34*F35/10000,2))</f>
        <v>2.62</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1639.86</v>
      </c>
      <c r="G35" s="1850"/>
      <c r="H35" s="743"/>
      <c r="I35" s="1859"/>
      <c r="J35" s="1860"/>
      <c r="K35" s="1861"/>
      <c r="L35" s="1858"/>
      <c r="M35" s="1858"/>
    </row>
    <row r="36" spans="1:18" ht="18" customHeight="1">
      <c r="A36" s="1352" t="s">
        <v>1039</v>
      </c>
      <c r="B36" s="346" t="s">
        <v>1451</v>
      </c>
      <c r="C36" s="24">
        <f ca="1">ROUND(C29*F36,1)</f>
        <v>37.799999999999997</v>
      </c>
      <c r="D36" s="2951" t="s">
        <v>1484</v>
      </c>
      <c r="E36" s="346" t="s">
        <v>1424</v>
      </c>
      <c r="F36" s="373">
        <f ca="1">INDIRECT("'数据-取费表'!Ak"&amp;$G$1)</f>
        <v>0.02</v>
      </c>
      <c r="G36" s="1850"/>
      <c r="H36" s="1858"/>
      <c r="I36" s="1859"/>
      <c r="J36" s="1860"/>
      <c r="K36" s="749"/>
      <c r="L36" s="1858"/>
      <c r="M36" s="1858"/>
    </row>
    <row r="37" spans="1:18" ht="18" customHeight="1">
      <c r="A37" s="1201" t="s">
        <v>1075</v>
      </c>
      <c r="B37" s="346" t="s">
        <v>1455</v>
      </c>
      <c r="C37" s="24">
        <f ca="1">ROUND(C13*F37,1)</f>
        <v>3.8</v>
      </c>
      <c r="D37" s="2951" t="s">
        <v>1456</v>
      </c>
      <c r="E37" s="346" t="s">
        <v>1424</v>
      </c>
      <c r="F37" s="375">
        <f ca="1">INDIRECT("'数据-取费表'!Al"&amp;$G$1)</f>
        <v>2E-3</v>
      </c>
      <c r="G37" s="1850"/>
      <c r="H37" s="1858"/>
      <c r="I37" s="1859"/>
      <c r="J37" s="1860"/>
      <c r="K37" s="749"/>
      <c r="L37" s="1858"/>
      <c r="M37" s="1858"/>
    </row>
    <row r="38" spans="1:18" ht="18" customHeight="1" thickBot="1">
      <c r="A38" s="1339" t="s">
        <v>1393</v>
      </c>
      <c r="B38" s="1340" t="s">
        <v>1441</v>
      </c>
      <c r="C38" s="1341">
        <f ca="1">ROUND(C5*F38,1)</f>
        <v>11.3</v>
      </c>
      <c r="D38" s="1342" t="s">
        <v>1461</v>
      </c>
      <c r="E38" s="1340" t="s">
        <v>1424</v>
      </c>
      <c r="F38" s="1336">
        <f ca="1">INDIRECT("'数据-取费表'!Am"&amp;$G$1)</f>
        <v>0.02</v>
      </c>
      <c r="G38" s="1850"/>
      <c r="H38" s="1858"/>
      <c r="I38" s="1859"/>
      <c r="J38" s="1860"/>
      <c r="K38" s="1864"/>
      <c r="L38" s="1858"/>
      <c r="M38" s="1858"/>
    </row>
    <row r="39" spans="1:18" ht="24.6" customHeight="1" thickTop="1">
      <c r="A39" s="1329" t="s">
        <v>1031</v>
      </c>
      <c r="B39" s="1344" t="s">
        <v>1465</v>
      </c>
      <c r="C39" s="354">
        <f ca="1">C5-C30</f>
        <v>462</v>
      </c>
      <c r="D39" s="1345" t="s">
        <v>1466</v>
      </c>
      <c r="E39" s="1346"/>
      <c r="F39" s="1347"/>
      <c r="G39" s="1850"/>
      <c r="H39" s="1858"/>
      <c r="I39" s="1859"/>
      <c r="J39" s="1860"/>
      <c r="K39" s="1864"/>
      <c r="L39" s="1858"/>
      <c r="M39" s="1858"/>
    </row>
    <row r="40" spans="1:18" ht="18" customHeight="1">
      <c r="A40" s="343" t="s">
        <v>1032</v>
      </c>
      <c r="B40" s="344" t="s">
        <v>1487</v>
      </c>
      <c r="C40" s="345">
        <f ca="1">ROUND(C39*(1-((1+F42)/(1+F40))^F41)/(F40-F42),0)</f>
        <v>10744</v>
      </c>
      <c r="D40" s="369" t="s">
        <v>1471</v>
      </c>
      <c r="E40" s="346" t="s">
        <v>1472</v>
      </c>
      <c r="F40" s="356">
        <f ca="1">INDIRECT("'数据-取费表'!I"&amp;$G$1)</f>
        <v>5.5E-2</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36.31</v>
      </c>
      <c r="G41" s="1850"/>
      <c r="H41" s="730"/>
      <c r="I41" s="1859"/>
      <c r="J41" s="1860"/>
      <c r="K41" s="749"/>
      <c r="L41" s="730"/>
      <c r="M41" s="730"/>
    </row>
    <row r="42" spans="1:18" ht="18" customHeight="1">
      <c r="A42" s="352"/>
      <c r="B42" s="353"/>
      <c r="C42" s="354"/>
      <c r="D42" s="372"/>
      <c r="E42" s="346" t="s">
        <v>1479</v>
      </c>
      <c r="F42" s="356">
        <f ca="1">INDIRECT("'数据-取费表'!v"&amp;$G$1)</f>
        <v>0.03</v>
      </c>
      <c r="G42" s="1850"/>
      <c r="H42" s="730"/>
      <c r="I42" s="1859"/>
      <c r="J42" s="1860"/>
      <c r="K42" s="749"/>
      <c r="L42" s="730"/>
      <c r="M42" s="730"/>
    </row>
    <row r="43" spans="1:18" ht="18" customHeight="1" thickBot="1">
      <c r="A43" s="379" t="s">
        <v>1033</v>
      </c>
      <c r="B43" s="380" t="s">
        <v>1489</v>
      </c>
      <c r="C43" s="381">
        <f ca="1">ROUND(C40*10000/F43,0)</f>
        <v>20747</v>
      </c>
      <c r="D43" s="382" t="s">
        <v>1490</v>
      </c>
      <c r="E43" s="383" t="s">
        <v>1491</v>
      </c>
      <c r="F43" s="384">
        <f ca="1">INDIRECT("'数据-取费表'!k"&amp;$G$1)</f>
        <v>5178.66</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-11679</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0"/>
      <c r="I47" s="1879" t="s">
        <v>1528</v>
      </c>
      <c r="J47" s="1880" t="s">
        <v>3134</v>
      </c>
      <c r="K47" s="1881" t="s">
        <v>1529</v>
      </c>
      <c r="L47" s="1882">
        <f ca="1">INDIRECT("'数据-取费表'!d"&amp;$G$1)</f>
        <v>40</v>
      </c>
      <c r="M47" s="1837" t="str">
        <f>IF(ISNUMBER(FIND("住宅",C1)),"住宅","非住宅")</f>
        <v>非住宅</v>
      </c>
      <c r="O47" s="1883" t="s">
        <v>1040</v>
      </c>
      <c r="P47" s="1884" t="s">
        <v>1530</v>
      </c>
      <c r="Q47" s="1885">
        <f ca="1">C40+J29</f>
        <v>10744</v>
      </c>
      <c r="R47" s="1885" t="s">
        <v>1531</v>
      </c>
    </row>
    <row r="48" spans="1:18" s="1841" customFormat="1" ht="28.5" thickBot="1">
      <c r="A48" s="1360" t="s">
        <v>1135</v>
      </c>
      <c r="B48" s="344" t="s">
        <v>1402</v>
      </c>
      <c r="C48" s="2955">
        <f ca="1">C49+C53+C55</f>
        <v>0</v>
      </c>
      <c r="D48" s="1362"/>
      <c r="E48" s="1363"/>
      <c r="F48" s="1181"/>
      <c r="G48" s="790"/>
      <c r="H48" s="791"/>
      <c r="I48" s="1886" t="s">
        <v>1532</v>
      </c>
      <c r="J48" s="1887" t="s">
        <v>3135</v>
      </c>
      <c r="K48" s="1888" t="s">
        <v>1533</v>
      </c>
      <c r="L48" s="1889">
        <f ca="1">INDIRECT("'数据-取费表'!f"&amp;$G$1)</f>
        <v>37.81</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1"/>
      <c r="I49" s="1886" t="s">
        <v>1536</v>
      </c>
      <c r="J49" s="1891">
        <v>2019</v>
      </c>
      <c r="K49" s="1888" t="s">
        <v>1537</v>
      </c>
      <c r="L49" s="1892"/>
      <c r="O49" s="1893" t="s">
        <v>1042</v>
      </c>
      <c r="P49" s="1884" t="s">
        <v>1538</v>
      </c>
      <c r="Q49" s="1885">
        <f ca="1">C29</f>
        <v>1888</v>
      </c>
      <c r="R49" s="1885" t="s">
        <v>1531</v>
      </c>
    </row>
    <row r="50" spans="1:18" s="1841" customFormat="1" ht="13.5" thickBot="1">
      <c r="A50" s="1195"/>
      <c r="B50" s="1198"/>
      <c r="C50" s="1368"/>
      <c r="D50" s="1172"/>
      <c r="E50" s="1277" t="s">
        <v>1407</v>
      </c>
      <c r="F50" s="1278">
        <f ca="1">F7</f>
        <v>5178.66</v>
      </c>
      <c r="H50" s="791"/>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7">
        <f ca="1">F8</f>
        <v>365</v>
      </c>
      <c r="I51" s="1897" t="s">
        <v>1542</v>
      </c>
      <c r="J51" s="1898">
        <f>IF(J49="",J50,J49+J50-YEAR('数据-取费表'!B2))</f>
        <v>62</v>
      </c>
      <c r="K51" s="1899" t="s">
        <v>1543</v>
      </c>
      <c r="L51" s="1900">
        <f ca="1">ROUND(-PV(INDIRECT("'数据-取费表'!h"&amp;$G$1),L48,(C39-C13*C76),0),0)</f>
        <v>5432</v>
      </c>
      <c r="M51" s="1901"/>
      <c r="O51" s="1893" t="s">
        <v>1044</v>
      </c>
      <c r="P51" s="1884" t="s">
        <v>1544</v>
      </c>
      <c r="Q51" s="1896">
        <f>J52</f>
        <v>0.09</v>
      </c>
      <c r="R51" s="1885"/>
    </row>
    <row r="52" spans="1:18" s="1841" customFormat="1" ht="13.5" thickBot="1">
      <c r="A52" s="1196"/>
      <c r="B52" s="1198"/>
      <c r="C52" s="1199"/>
      <c r="D52" s="1172"/>
      <c r="E52" s="1200" t="s">
        <v>1409</v>
      </c>
      <c r="F52" s="1275"/>
      <c r="I52" s="1902" t="s">
        <v>1545</v>
      </c>
      <c r="J52" s="1903">
        <v>0.09</v>
      </c>
      <c r="K52" s="1902" t="s">
        <v>1546</v>
      </c>
      <c r="L52" s="1903"/>
      <c r="O52" s="1893" t="s">
        <v>1045</v>
      </c>
      <c r="P52" s="1884" t="s">
        <v>1547</v>
      </c>
      <c r="Q52" s="1885">
        <f ca="1">J53</f>
        <v>36.31</v>
      </c>
      <c r="R52" s="1885" t="s">
        <v>1548</v>
      </c>
    </row>
    <row r="53" spans="1:18" s="1841" customFormat="1" ht="24.75" thickBot="1">
      <c r="A53" s="1404" t="s">
        <v>1137</v>
      </c>
      <c r="B53" s="1830" t="s">
        <v>1410</v>
      </c>
      <c r="C53" s="360">
        <f ca="1">ROUND(IF(F53="押一",F49*F51*F50/12*F11,IF(F53="押二",F49*F51*F50/12*2*F11,IF(F53="押三",F49*F51*F50/12*3*F11,C54*F11)))/10000,0)</f>
        <v>0</v>
      </c>
      <c r="D53" s="1823" t="s">
        <v>3035</v>
      </c>
      <c r="E53" s="357" t="s">
        <v>1412</v>
      </c>
      <c r="F53" s="1366"/>
      <c r="I53" s="1904" t="s">
        <v>1549</v>
      </c>
      <c r="J53" s="1905">
        <f ca="1">IF(M47="住宅",J51,IF(D1="——",MIN(J51,L48),IF(D1="在建（套用方法）",MIN(J51,L48-'数据-取费表'!B24),IF(D1="土地（套用方法）",MIN(J51,L48-'数据-取费表'!B20)))))</f>
        <v>36.31</v>
      </c>
      <c r="K53" s="3217" t="s">
        <v>1550</v>
      </c>
      <c r="L53" s="3218"/>
      <c r="O53" s="1883" t="s">
        <v>1046</v>
      </c>
      <c r="P53" s="1884" t="s">
        <v>1551</v>
      </c>
      <c r="Q53" s="1885">
        <f ca="1">Q47+Q48</f>
        <v>10744</v>
      </c>
      <c r="R53" s="1885" t="s">
        <v>1047</v>
      </c>
    </row>
    <row r="54" spans="1:18" s="1841" customFormat="1" ht="13.5" thickBot="1">
      <c r="A54" s="1405"/>
      <c r="B54" s="1824" t="s">
        <v>1389</v>
      </c>
      <c r="C54" s="1178"/>
      <c r="D54" s="1823"/>
      <c r="E54" s="295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54"/>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5">
        <f ca="1">C13</f>
        <v>1888</v>
      </c>
      <c r="D56" s="1913"/>
      <c r="E56" s="1914"/>
      <c r="F56" s="1906"/>
      <c r="I56" s="1915" t="s">
        <v>1556</v>
      </c>
      <c r="J56" s="1916" t="s">
        <v>3082</v>
      </c>
      <c r="K56" s="1886" t="s">
        <v>1557</v>
      </c>
      <c r="L56" s="1889" t="str">
        <f ca="1">IF(L48&lt;J51,"——",L48-J53)</f>
        <v>——</v>
      </c>
      <c r="O56" s="1883" t="s">
        <v>1040</v>
      </c>
      <c r="P56" s="1884" t="s">
        <v>1530</v>
      </c>
      <c r="Q56" s="1885">
        <f ca="1">C40+J29</f>
        <v>10744</v>
      </c>
      <c r="R56" s="1885" t="s">
        <v>1531</v>
      </c>
    </row>
    <row r="57" spans="1:18" s="1841" customFormat="1" ht="24.75" thickBot="1">
      <c r="A57" s="1917"/>
      <c r="B57" s="1169" t="s">
        <v>1480</v>
      </c>
      <c r="C57" s="281">
        <f ca="1">C29</f>
        <v>1888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7" t="s">
        <v>1426</v>
      </c>
      <c r="C58" s="360">
        <f ca="1">ROUND(C59+C64+C65+C66,0)</f>
        <v>60</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18.5</v>
      </c>
      <c r="D59" s="1182" t="s">
        <v>1432</v>
      </c>
      <c r="E59" s="1183"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4">
        <f ca="1">IF(项目基本情况!B11="自然人","——",IF(D61="按租金收入计税",ROUND(C48*F61,2),IF(D61="按房产原值计税",ROUND(C57*F61*0.7,2),INDIRECT("'数据-取费表'!Aj"&amp;$G$1))))</f>
        <v>15.86</v>
      </c>
      <c r="D61" s="1827" t="s">
        <v>1440</v>
      </c>
      <c r="E61" s="1169" t="s">
        <v>1424</v>
      </c>
      <c r="F61" s="366">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201" t="s">
        <v>1497</v>
      </c>
      <c r="B62" s="1168" t="s">
        <v>1443</v>
      </c>
      <c r="C62" s="25">
        <f ca="1">IF(项目基本情况!B11="自然人","——",ROUND(F62*F63/10000,2))</f>
        <v>2.62</v>
      </c>
      <c r="D62" s="1184" t="s">
        <v>1444</v>
      </c>
      <c r="E62" s="1169" t="s">
        <v>1445</v>
      </c>
      <c r="F62" s="370">
        <f t="shared" si="0"/>
        <v>16</v>
      </c>
      <c r="I62" s="1928" t="s">
        <v>1572</v>
      </c>
      <c r="J62" s="1929" t="s">
        <v>1573</v>
      </c>
      <c r="K62" s="1929" t="s">
        <v>1574</v>
      </c>
      <c r="L62" s="1929" t="s">
        <v>1575</v>
      </c>
      <c r="M62" s="1930" t="s">
        <v>1576</v>
      </c>
      <c r="O62" s="1883" t="s">
        <v>1046</v>
      </c>
      <c r="P62" s="1884" t="s">
        <v>1551</v>
      </c>
      <c r="Q62" s="1885">
        <f ca="1">Q56+Q57</f>
        <v>10744</v>
      </c>
      <c r="R62" s="1885" t="s">
        <v>1047</v>
      </c>
    </row>
    <row r="63" spans="1:18" s="1841" customFormat="1" ht="13.5" thickBot="1">
      <c r="A63" s="371"/>
      <c r="B63" s="1175"/>
      <c r="C63" s="29"/>
      <c r="D63" s="1185"/>
      <c r="E63" s="1169" t="s">
        <v>1449</v>
      </c>
      <c r="F63" s="347">
        <f t="shared" ca="1" si="0"/>
        <v>1639.86</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4">
        <f ca="1">ROUND(C57*F64,1)</f>
        <v>37.799999999999997</v>
      </c>
      <c r="D64" s="1183" t="s">
        <v>1484</v>
      </c>
      <c r="E64" s="1169" t="s">
        <v>1424</v>
      </c>
      <c r="F64" s="373">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3.8</v>
      </c>
      <c r="D65" s="1183" t="s">
        <v>1456</v>
      </c>
      <c r="E65" s="1169" t="s">
        <v>1424</v>
      </c>
      <c r="F65" s="375">
        <f t="shared" ca="1" si="0"/>
        <v>2E-3</v>
      </c>
      <c r="I65" s="1928" t="s">
        <v>1581</v>
      </c>
      <c r="J65" s="1929">
        <v>40</v>
      </c>
      <c r="K65" s="1929">
        <v>30</v>
      </c>
      <c r="L65" s="1929">
        <v>50</v>
      </c>
      <c r="M65" s="1931">
        <v>0.02</v>
      </c>
      <c r="O65" s="1883" t="s">
        <v>1040</v>
      </c>
      <c r="P65" s="1884" t="s">
        <v>1530</v>
      </c>
      <c r="Q65" s="1885">
        <f ca="1">C40+J29</f>
        <v>10744</v>
      </c>
      <c r="R65" s="1885" t="s">
        <v>1531</v>
      </c>
    </row>
    <row r="66" spans="1:18" s="1841" customFormat="1" ht="16.5" thickBot="1">
      <c r="A66" s="1201" t="s">
        <v>1506</v>
      </c>
      <c r="B66" s="1169" t="s">
        <v>1441</v>
      </c>
      <c r="C66" s="24">
        <f ca="1">ROUND(C48*F66,1)</f>
        <v>0</v>
      </c>
      <c r="D66" s="1183" t="s">
        <v>1461</v>
      </c>
      <c r="E66" s="1169" t="s">
        <v>1424</v>
      </c>
      <c r="F66" s="356">
        <f t="shared" ca="1" si="0"/>
        <v>0.02</v>
      </c>
      <c r="O66" s="1883" t="s">
        <v>1041</v>
      </c>
      <c r="P66" s="1884" t="s">
        <v>1560</v>
      </c>
      <c r="Q66" s="1885">
        <f ca="1">L60</f>
        <v>0</v>
      </c>
      <c r="R66" s="1885" t="s">
        <v>1583</v>
      </c>
    </row>
    <row r="67" spans="1:18" s="1841" customFormat="1" ht="16.5" thickBot="1">
      <c r="A67" s="1176" t="s">
        <v>1031</v>
      </c>
      <c r="B67" s="1186" t="s">
        <v>1465</v>
      </c>
      <c r="C67" s="360">
        <f ca="1">C48-C58</f>
        <v>-60</v>
      </c>
      <c r="D67" s="1182" t="s">
        <v>1466</v>
      </c>
      <c r="E67" s="1187"/>
      <c r="F67" s="1188"/>
      <c r="O67" s="1893" t="s">
        <v>1042</v>
      </c>
      <c r="P67" s="1884" t="s">
        <v>1564</v>
      </c>
      <c r="Q67" s="1932">
        <f ca="1">L51</f>
        <v>5432</v>
      </c>
      <c r="R67" s="1885" t="s">
        <v>1584</v>
      </c>
    </row>
    <row r="68" spans="1:18" s="1841" customFormat="1" ht="16.5" thickBot="1">
      <c r="A68" s="1166" t="s">
        <v>1032</v>
      </c>
      <c r="B68" s="1167" t="s">
        <v>1487</v>
      </c>
      <c r="C68" s="345">
        <f ca="1">ROUND(C67*(1-((1+F70)/(1+F68))^F69)/(F68-F70),0)</f>
        <v>-935</v>
      </c>
      <c r="D68" s="1184" t="s">
        <v>1471</v>
      </c>
      <c r="E68" s="1169" t="s">
        <v>1472</v>
      </c>
      <c r="F68" s="356">
        <f ca="1">F40</f>
        <v>5.5E-2</v>
      </c>
      <c r="O68" s="1893" t="s">
        <v>1043</v>
      </c>
      <c r="P68" s="1933" t="s">
        <v>1585</v>
      </c>
      <c r="Q68" s="1885">
        <f ca="1">ROUND(Q69-Q70*Q71,0)</f>
        <v>302</v>
      </c>
      <c r="R68" s="1885" t="s">
        <v>1051</v>
      </c>
    </row>
    <row r="69" spans="1:18" s="1841" customFormat="1" ht="13.5" thickBot="1">
      <c r="A69" s="1170"/>
      <c r="B69" s="1171"/>
      <c r="C69" s="350"/>
      <c r="D69" s="1189" t="s">
        <v>1475</v>
      </c>
      <c r="E69" s="1169" t="s">
        <v>1476</v>
      </c>
      <c r="F69" s="378">
        <f ca="1">F41</f>
        <v>36.31</v>
      </c>
      <c r="O69" s="1893" t="s">
        <v>1048</v>
      </c>
      <c r="P69" s="1933" t="s">
        <v>1586</v>
      </c>
      <c r="Q69" s="1885">
        <f ca="1">C39</f>
        <v>462</v>
      </c>
      <c r="R69" s="1885" t="s">
        <v>1531</v>
      </c>
    </row>
    <row r="70" spans="1:18" s="1841" customFormat="1" ht="13.5" thickBot="1">
      <c r="A70" s="1173"/>
      <c r="B70" s="1174"/>
      <c r="C70" s="354"/>
      <c r="D70" s="1185"/>
      <c r="E70" s="1169" t="s">
        <v>1479</v>
      </c>
      <c r="F70" s="1275"/>
      <c r="O70" s="1893" t="s">
        <v>1049</v>
      </c>
      <c r="P70" s="1933" t="s">
        <v>1587</v>
      </c>
      <c r="Q70" s="1885">
        <f ca="1">C13</f>
        <v>1888</v>
      </c>
      <c r="R70" s="1885" t="s">
        <v>1531</v>
      </c>
    </row>
    <row r="71" spans="1:18" s="1841" customFormat="1" ht="13.5" thickBot="1">
      <c r="A71" s="1190" t="s">
        <v>1033</v>
      </c>
      <c r="B71" s="1191" t="s">
        <v>1489</v>
      </c>
      <c r="C71" s="381">
        <f ca="1">ROUND(C68*10000/F71,0)</f>
        <v>-1805</v>
      </c>
      <c r="D71" s="1192" t="s">
        <v>1490</v>
      </c>
      <c r="E71" s="1193" t="s">
        <v>1491</v>
      </c>
      <c r="F71" s="384">
        <f ca="1">F43</f>
        <v>5178.66</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5" t="s">
        <v>1508</v>
      </c>
      <c r="C75" s="386">
        <f ca="1">ROUND(C13*C76,0)</f>
        <v>160</v>
      </c>
      <c r="D75" s="1841"/>
      <c r="E75" s="1841"/>
      <c r="F75" s="1841"/>
      <c r="K75" s="1867"/>
      <c r="L75" s="1841"/>
      <c r="O75" s="1883" t="s">
        <v>1046</v>
      </c>
      <c r="P75" s="1884" t="s">
        <v>1551</v>
      </c>
      <c r="Q75" s="1885">
        <f ca="1">Q65+Q66</f>
        <v>10744</v>
      </c>
      <c r="R75" s="1885" t="s">
        <v>1047</v>
      </c>
    </row>
    <row r="76" spans="1:18">
      <c r="B76" s="387" t="s">
        <v>1509</v>
      </c>
      <c r="C76" s="388">
        <f ca="1">INDIRECT("'数据-取费表'!j"&amp;$G$1)</f>
        <v>8.5000000000000006E-2</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0.65400000000000003</v>
      </c>
    </row>
    <row r="80" spans="1:18">
      <c r="B80" s="385" t="s">
        <v>1513</v>
      </c>
      <c r="C80" s="317">
        <f ca="1">ROUND(C75/C39,3)</f>
        <v>0.34599999999999997</v>
      </c>
    </row>
    <row r="81" spans="2:3">
      <c r="B81" s="313" t="s">
        <v>1514</v>
      </c>
      <c r="C81" s="281"/>
    </row>
    <row r="82" spans="2:3">
      <c r="B82" s="316" t="s">
        <v>1515</v>
      </c>
      <c r="C82" s="318">
        <f ca="1">1-C83</f>
        <v>0.82400000000000007</v>
      </c>
    </row>
    <row r="83" spans="2:3">
      <c r="B83" s="316" t="s">
        <v>1516</v>
      </c>
      <c r="C83" s="317">
        <f ca="1">ROUND(C13/C40,3)</f>
        <v>0.17599999999999999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t="s">
        <v>3104</v>
      </c>
      <c r="D1" s="1819" t="s">
        <v>3136</v>
      </c>
      <c r="E1" s="1820" t="s">
        <v>1388</v>
      </c>
      <c r="F1" s="1283">
        <f ca="1">J53</f>
        <v>36.31</v>
      </c>
      <c r="G1" s="1835">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1517</v>
      </c>
      <c r="B2" s="1843">
        <f ca="1">C40+J29+L46</f>
        <v>2059</v>
      </c>
      <c r="C2" s="1844" t="s">
        <v>1518</v>
      </c>
      <c r="D2" s="1844"/>
      <c r="E2" s="1845"/>
      <c r="F2" s="1846"/>
      <c r="G2" s="1847"/>
      <c r="H2" s="1839"/>
      <c r="I2" s="1839"/>
      <c r="J2" s="1839"/>
      <c r="K2" s="1840"/>
      <c r="L2" s="1839"/>
      <c r="M2" s="1839"/>
    </row>
    <row r="3" spans="1:37" ht="18" customHeight="1" thickBot="1">
      <c r="A3" s="1848" t="s">
        <v>1519</v>
      </c>
      <c r="B3" s="1849">
        <f ca="1">IF(ISERROR(B2*10000/F43),0,ROUND(B2*10000/F43,0))</f>
        <v>2740</v>
      </c>
      <c r="C3" s="1844" t="s">
        <v>1520</v>
      </c>
      <c r="D3" s="1844"/>
      <c r="E3" s="1845"/>
      <c r="F3" s="1846"/>
      <c r="G3" s="1847"/>
      <c r="H3" s="742" t="s">
        <v>1590</v>
      </c>
      <c r="I3" s="1839"/>
      <c r="J3" s="1839"/>
      <c r="K3" s="1840"/>
      <c r="L3" s="1839"/>
      <c r="M3" s="1839"/>
    </row>
    <row r="4" spans="1:37" ht="18" customHeight="1">
      <c r="A4" s="339" t="s">
        <v>1397</v>
      </c>
      <c r="B4" s="340" t="s">
        <v>1398</v>
      </c>
      <c r="C4" s="340" t="s">
        <v>1399</v>
      </c>
      <c r="D4" s="340" t="s">
        <v>1400</v>
      </c>
      <c r="E4" s="341" t="s">
        <v>1401</v>
      </c>
      <c r="F4" s="342"/>
      <c r="G4" s="1850"/>
      <c r="H4" s="339" t="s">
        <v>1397</v>
      </c>
      <c r="I4" s="340" t="s">
        <v>1398</v>
      </c>
      <c r="J4" s="340" t="s">
        <v>1399</v>
      </c>
      <c r="K4" s="340" t="s">
        <v>1400</v>
      </c>
      <c r="L4" s="341" t="s">
        <v>1401</v>
      </c>
      <c r="M4" s="342"/>
    </row>
    <row r="5" spans="1:37" ht="18" customHeight="1">
      <c r="A5" s="343">
        <v>1</v>
      </c>
      <c r="B5" s="344" t="s">
        <v>1402</v>
      </c>
      <c r="C5" s="1292">
        <f ca="1">C6+C10+C12</f>
        <v>174</v>
      </c>
      <c r="D5" s="1821" t="s">
        <v>1403</v>
      </c>
      <c r="E5" s="1293"/>
      <c r="F5" s="1294"/>
      <c r="G5" s="1850"/>
      <c r="H5" s="343">
        <v>1</v>
      </c>
      <c r="I5" s="344" t="s">
        <v>1402</v>
      </c>
      <c r="J5" s="1292">
        <f ca="1">J6+J10+J12</f>
        <v>0</v>
      </c>
      <c r="K5" s="1821" t="s">
        <v>1403</v>
      </c>
      <c r="L5" s="1293"/>
      <c r="M5" s="1294"/>
    </row>
    <row r="6" spans="1:37" ht="18" customHeight="1">
      <c r="A6" s="1291" t="s">
        <v>1035</v>
      </c>
      <c r="B6" s="3214" t="s">
        <v>1404</v>
      </c>
      <c r="C6" s="1296">
        <f ca="1">ROUND(F6*F8*F7*(1-F9)/10000,0)</f>
        <v>174</v>
      </c>
      <c r="D6" s="163" t="s">
        <v>3039</v>
      </c>
      <c r="E6" s="346" t="s">
        <v>1406</v>
      </c>
      <c r="F6" s="347">
        <f ca="1">INDIRECT("'数据-取费表'!u"&amp;$G$1)</f>
        <v>600</v>
      </c>
      <c r="G6" s="1850"/>
      <c r="H6" s="1291" t="s">
        <v>1035</v>
      </c>
      <c r="I6" s="3214" t="s">
        <v>1404</v>
      </c>
      <c r="J6" s="345">
        <f ca="1">ROUND(M6*M8*M7*(1-M9)/10000,0)</f>
        <v>0</v>
      </c>
      <c r="K6" s="163" t="s">
        <v>3038</v>
      </c>
      <c r="L6" s="346" t="s">
        <v>1406</v>
      </c>
      <c r="M6" s="347">
        <f ca="1">INDIRECT("'数据-取费表'!z"&amp;$G$1)</f>
        <v>0</v>
      </c>
    </row>
    <row r="7" spans="1:37" ht="18" customHeight="1">
      <c r="A7" s="1295"/>
      <c r="B7" s="3215"/>
      <c r="C7" s="1297"/>
      <c r="D7" s="351"/>
      <c r="E7" s="1298" t="s">
        <v>1407</v>
      </c>
      <c r="F7" s="347">
        <f ca="1">IF(INDIRECT("'数据-取费表'!ah"&amp;$G$1)="",INDIRECT("'数据-取费表'!k"&amp;$G$1),INDIRECT("'数据-取费表'!ah"&amp;$G$1))</f>
        <v>268</v>
      </c>
      <c r="G7" s="1850"/>
      <c r="H7" s="348"/>
      <c r="I7" s="3215"/>
      <c r="J7" s="350"/>
      <c r="K7" s="351"/>
      <c r="L7" s="346" t="s">
        <v>1407</v>
      </c>
      <c r="M7" s="347">
        <f ca="1">F7</f>
        <v>268</v>
      </c>
    </row>
    <row r="8" spans="1:37" ht="18" customHeight="1">
      <c r="A8" s="348"/>
      <c r="B8" s="3215"/>
      <c r="C8" s="350"/>
      <c r="D8" s="351"/>
      <c r="E8" s="346" t="s">
        <v>1408</v>
      </c>
      <c r="F8" s="347">
        <f ca="1">INDIRECT("'数据-取费表'!ai"&amp;$G$1)</f>
        <v>12</v>
      </c>
      <c r="G8" s="1850"/>
      <c r="H8" s="348"/>
      <c r="I8" s="3215"/>
      <c r="J8" s="350"/>
      <c r="K8" s="351"/>
      <c r="L8" s="346" t="s">
        <v>1408</v>
      </c>
      <c r="M8" s="347">
        <f ca="1">INDIRECT("'数据-取费表'!ai"&amp;$G$1)</f>
        <v>12</v>
      </c>
    </row>
    <row r="9" spans="1:37" ht="18" customHeight="1">
      <c r="A9" s="348"/>
      <c r="B9" s="3216"/>
      <c r="C9" s="350"/>
      <c r="D9" s="351"/>
      <c r="E9" s="346" t="s">
        <v>1409</v>
      </c>
      <c r="F9" s="356">
        <f ca="1">INDIRECT("'数据-取费表'!w"&amp;$G$1)</f>
        <v>0.1</v>
      </c>
      <c r="G9" s="1850"/>
      <c r="H9" s="348"/>
      <c r="I9" s="3216"/>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ROUND(IF(F10="押一",F6*F8*F7/12*F11,IF(F10="押二",F6*F8*F7/12*2*F11,IF(F10="押三",F6*F8*F7/12*3*F11,C11*F11)))/10000,0)</f>
        <v>0</v>
      </c>
      <c r="D10" s="1823" t="s">
        <v>3040</v>
      </c>
      <c r="E10" s="357" t="s">
        <v>1412</v>
      </c>
      <c r="F10" s="1366" t="s">
        <v>3133</v>
      </c>
      <c r="G10" s="1850"/>
      <c r="H10" s="1291" t="s">
        <v>1039</v>
      </c>
      <c r="I10" s="1822" t="s">
        <v>1410</v>
      </c>
      <c r="J10" s="345">
        <f ca="1">ROUND(IF(M10="押一",M6*M8*M7/12*M11,IF(M10="押二",M6*M8*M7/12*2*M11,IF(M10="押三",M6*M8*M7/12*3*M11,J11*M11)))/10000,0)</f>
        <v>0</v>
      </c>
      <c r="K10" s="1823" t="s">
        <v>3041</v>
      </c>
      <c r="L10" s="357" t="s">
        <v>1412</v>
      </c>
      <c r="M10" s="1366" t="s">
        <v>1413</v>
      </c>
    </row>
    <row r="11" spans="1:37" ht="18" customHeight="1">
      <c r="A11" s="352"/>
      <c r="B11" s="1824" t="s">
        <v>1389</v>
      </c>
      <c r="C11" s="1178"/>
      <c r="D11" s="1825"/>
      <c r="E11" s="357" t="s">
        <v>1414</v>
      </c>
      <c r="F11" s="358">
        <f ca="1">'数据-取费表'!B39</f>
        <v>1.4999999999999999E-2</v>
      </c>
      <c r="G11" s="1850"/>
      <c r="H11" s="1299"/>
      <c r="I11" s="1824" t="s">
        <v>1389</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2271</v>
      </c>
      <c r="D13" s="1331" t="s">
        <v>1417</v>
      </c>
      <c r="E13" s="1331" t="s">
        <v>1418</v>
      </c>
      <c r="F13" s="1332">
        <f ca="1">INDIRECT("'数据-取费表'!y"&amp;$G$1)</f>
        <v>1</v>
      </c>
      <c r="G13" s="1850"/>
      <c r="H13" s="1329">
        <v>2</v>
      </c>
      <c r="I13" s="1330" t="s">
        <v>1416</v>
      </c>
      <c r="J13" s="1290">
        <f ca="1">ROUND(J14*J15,0)</f>
        <v>0</v>
      </c>
      <c r="K13" s="1337" t="s">
        <v>1417</v>
      </c>
      <c r="L13" s="1851"/>
      <c r="M13" s="1852"/>
    </row>
    <row r="14" spans="1:37" ht="18" customHeight="1">
      <c r="A14" s="1201" t="s">
        <v>1034</v>
      </c>
      <c r="B14" s="346" t="s">
        <v>1419</v>
      </c>
      <c r="C14" s="362">
        <f ca="1">INDIRECT("'数据-取费表'!m"&amp;$G$1)+INDIRECT("'数据-取费表'!t"&amp;$G$1)</f>
        <v>1662</v>
      </c>
      <c r="D14" s="1799" t="s">
        <v>1420</v>
      </c>
      <c r="E14" s="1793"/>
      <c r="F14" s="363"/>
      <c r="G14" s="1850"/>
      <c r="H14" s="1201" t="s">
        <v>1035</v>
      </c>
      <c r="I14" s="346" t="s">
        <v>1421</v>
      </c>
      <c r="J14" s="24">
        <f ca="1">C29</f>
        <v>2271</v>
      </c>
      <c r="K14" s="15"/>
      <c r="L14" s="979"/>
      <c r="M14" s="980"/>
    </row>
    <row r="15" spans="1:37" s="1857" customFormat="1" ht="18" customHeight="1" thickBot="1">
      <c r="A15" s="1201" t="s">
        <v>1036</v>
      </c>
      <c r="B15" s="346" t="s">
        <v>1422</v>
      </c>
      <c r="C15" s="24">
        <f ca="1">ROUND(C14*F15,0)</f>
        <v>50</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ROUND(INDIRECT("'数据-取费表'!m"&amp;$G$1)*F16,0)</f>
        <v>0</v>
      </c>
      <c r="D16" s="346" t="s">
        <v>1423</v>
      </c>
      <c r="E16" s="346" t="s">
        <v>1424</v>
      </c>
      <c r="F16" s="366">
        <f ca="1">IF(INDIRECT("'数据-取费表'!c"&amp;$G$1)="住宅",'数据-取费表'!B34,0)</f>
        <v>0</v>
      </c>
      <c r="G16" s="1850"/>
      <c r="H16" s="1329" t="s">
        <v>1030</v>
      </c>
      <c r="I16" s="1330" t="s">
        <v>1426</v>
      </c>
      <c r="J16" s="354">
        <f ca="1">ROUND(J17+J22+J23+J24,0)</f>
        <v>68</v>
      </c>
      <c r="K16" s="1337" t="s">
        <v>1427</v>
      </c>
      <c r="L16" s="1338"/>
      <c r="M16" s="1294"/>
    </row>
    <row r="17" spans="1:37" s="1857" customFormat="1" ht="18" customHeight="1">
      <c r="A17" s="1201" t="s">
        <v>1391</v>
      </c>
      <c r="B17" s="346" t="s">
        <v>1428</v>
      </c>
      <c r="C17" s="24">
        <f ca="1">ROUND(F17*(F43+INDIRECT("'数据-取费表'!S"&amp;$G$1))/10000,0)</f>
        <v>151</v>
      </c>
      <c r="D17" s="346" t="s">
        <v>1429</v>
      </c>
      <c r="E17" s="346" t="s">
        <v>1430</v>
      </c>
      <c r="F17" s="26">
        <f>'数据-取费表'!B35</f>
        <v>200</v>
      </c>
      <c r="G17" s="1853"/>
      <c r="H17" s="1201" t="s">
        <v>1035</v>
      </c>
      <c r="I17" s="346" t="s">
        <v>1431</v>
      </c>
      <c r="J17" s="24">
        <f ca="1">ROUND(IF(项目基本情况!B11="自然人",J5*M17,J18+J19+J20),1)</f>
        <v>22.9</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25</v>
      </c>
      <c r="D18" s="346" t="s">
        <v>1423</v>
      </c>
      <c r="E18" s="346" t="s">
        <v>1424</v>
      </c>
      <c r="F18" s="366">
        <f>'数据-取费表'!B36</f>
        <v>1.4999999999999999E-2</v>
      </c>
      <c r="G18" s="1853"/>
      <c r="H18" s="1201" t="s">
        <v>1034</v>
      </c>
      <c r="I18" s="346" t="s">
        <v>1435</v>
      </c>
      <c r="J18" s="24">
        <f ca="1">ROUND(J5*M18/(1+'数据-取费表'!C42),2)</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1888</v>
      </c>
      <c r="D19" s="138" t="s">
        <v>1438</v>
      </c>
      <c r="E19" s="1817"/>
      <c r="F19" s="26"/>
      <c r="G19" s="1850"/>
      <c r="H19" s="1201" t="s">
        <v>1036</v>
      </c>
      <c r="I19" s="346" t="s">
        <v>1439</v>
      </c>
      <c r="J19" s="24">
        <f ca="1">IF(K19="按租金收入计税",ROUND(J5*M19,2),ROUND(C29*M19*0.7,2))</f>
        <v>19.079999999999998</v>
      </c>
      <c r="K19" s="1827" t="s">
        <v>1440</v>
      </c>
      <c r="L19" s="346" t="s">
        <v>1424</v>
      </c>
      <c r="M19" s="366">
        <f>IF(K19="按租金收入计税",'数据-取费表'!B51,'数据-取费表'!B50)</f>
        <v>1.2E-2</v>
      </c>
    </row>
    <row r="20" spans="1:37" s="1857" customFormat="1" ht="18" customHeight="1">
      <c r="A20" s="1201" t="s">
        <v>1039</v>
      </c>
      <c r="B20" s="346" t="s">
        <v>1441</v>
      </c>
      <c r="C20" s="24">
        <f ca="1">ROUND(C19*F20,0)</f>
        <v>28</v>
      </c>
      <c r="D20" s="368" t="s">
        <v>1442</v>
      </c>
      <c r="E20" s="346" t="s">
        <v>1424</v>
      </c>
      <c r="F20" s="366">
        <f>'数据-取费表'!B37</f>
        <v>1.4999999999999999E-2</v>
      </c>
      <c r="G20" s="1853"/>
      <c r="H20" s="1201" t="s">
        <v>1390</v>
      </c>
      <c r="I20" s="163" t="s">
        <v>1443</v>
      </c>
      <c r="J20" s="25">
        <f ca="1">ROUND(M20*M21/10000,2)</f>
        <v>3.81</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18</v>
      </c>
      <c r="D21" s="368" t="s">
        <v>1447</v>
      </c>
      <c r="E21" s="346" t="s">
        <v>1448</v>
      </c>
      <c r="F21" s="366">
        <f>'数据-取费表'!B38</f>
        <v>2.5000000000000001E-2</v>
      </c>
      <c r="G21" s="1853"/>
      <c r="H21" s="371"/>
      <c r="I21" s="355"/>
      <c r="J21" s="29"/>
      <c r="K21" s="372"/>
      <c r="L21" s="346" t="s">
        <v>1449</v>
      </c>
      <c r="M21" s="347">
        <f ca="1">INDIRECT("'数据-取费表'!r"&amp;$G$1)</f>
        <v>2379.2600000000002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1817"/>
      <c r="F22" s="26"/>
      <c r="G22" s="1850"/>
      <c r="H22" s="1201" t="s">
        <v>1039</v>
      </c>
      <c r="I22" s="346" t="s">
        <v>1451</v>
      </c>
      <c r="J22" s="24">
        <f ca="1">ROUND(J14*M22,1)</f>
        <v>45.4</v>
      </c>
      <c r="K22" s="1797" t="s">
        <v>1452</v>
      </c>
      <c r="L22" s="346" t="s">
        <v>1424</v>
      </c>
      <c r="M22" s="373">
        <f ca="1">INDIRECT("'数据-取费表'!Ak"&amp;$G$1)</f>
        <v>0.02</v>
      </c>
    </row>
    <row r="23" spans="1:37" s="1857" customFormat="1" ht="18" customHeight="1">
      <c r="A23" s="1201" t="s">
        <v>1034</v>
      </c>
      <c r="B23" s="346" t="s">
        <v>1453</v>
      </c>
      <c r="C23" s="24">
        <f ca="1">IF('数据-取费表'!B22&lt;=1,ROUND(C19*F24*F23/2,0)+ROUND(C20*F24*F23/2,0),ROUND(C19*(POWER((1+F24),F23/2)-1),0)+ROUND(C20*(POWER((1+F24),F23/2)-1),0))</f>
        <v>115</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ROUND(J13*M23,1)</f>
        <v>0</v>
      </c>
      <c r="K23" s="1797" t="s">
        <v>1456</v>
      </c>
      <c r="L23" s="346" t="s">
        <v>1457</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1394</v>
      </c>
      <c r="I24" s="1340" t="s">
        <v>1441</v>
      </c>
      <c r="J24" s="1341">
        <f ca="1">ROUND(J5*M24,1)</f>
        <v>0</v>
      </c>
      <c r="K24" s="1342" t="s">
        <v>1461</v>
      </c>
      <c r="L24" s="1340" t="s">
        <v>1457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6" t="s">
        <v>1463</v>
      </c>
      <c r="C25" s="24"/>
      <c r="D25" s="138" t="s">
        <v>1464</v>
      </c>
      <c r="E25" s="1817"/>
      <c r="F25" s="26"/>
      <c r="G25" s="1850"/>
      <c r="H25" s="1329" t="s">
        <v>1031</v>
      </c>
      <c r="I25" s="1344" t="s">
        <v>1465</v>
      </c>
      <c r="J25" s="354">
        <f ca="1">J5-J16</f>
        <v>-68</v>
      </c>
      <c r="K25" s="1345" t="s">
        <v>1466</v>
      </c>
      <c r="L25" s="1346"/>
      <c r="M25" s="1347"/>
    </row>
    <row r="26" spans="1:37">
      <c r="A26" s="1201" t="s">
        <v>1034</v>
      </c>
      <c r="B26" s="346" t="s">
        <v>1467</v>
      </c>
      <c r="C26" s="24">
        <f ca="1">ROUND((C19+C20)*F26,0)</f>
        <v>57</v>
      </c>
      <c r="D26" s="368" t="s">
        <v>1468</v>
      </c>
      <c r="E26" s="357" t="s">
        <v>1469</v>
      </c>
      <c r="F26" s="356">
        <f ca="1">INDIRECT("'数据-取费表'!q"&amp;$G$1)</f>
        <v>0.03</v>
      </c>
      <c r="G26" s="1850"/>
      <c r="H26" s="343" t="s">
        <v>1032</v>
      </c>
      <c r="I26" s="344" t="s">
        <v>1470</v>
      </c>
      <c r="J26" s="345">
        <f ca="1">IF(J5&lt;&gt;0,ROUND(J25*(1-((1+M28)/(1+M26))^M27)/(M26-M28),0),0)</f>
        <v>0</v>
      </c>
      <c r="K26" s="369" t="s">
        <v>1471</v>
      </c>
      <c r="L26" s="346" t="s">
        <v>1472</v>
      </c>
      <c r="M26" s="356">
        <f ca="1">INDIRECT("'数据-取费表'!I"&amp;$G$1)</f>
        <v>4.4999999999999998E-2</v>
      </c>
    </row>
    <row r="27" spans="1:37" ht="18" customHeight="1">
      <c r="A27" s="1201" t="s">
        <v>1036</v>
      </c>
      <c r="B27" s="346" t="s">
        <v>1473</v>
      </c>
      <c r="C27" s="24">
        <f ca="1">ROUND(F21*F26,4)</f>
        <v>8.0000000000000004E-4</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2271</v>
      </c>
      <c r="D29" s="1342"/>
      <c r="E29" s="1340"/>
      <c r="F29" s="1343"/>
      <c r="G29" s="1853"/>
      <c r="H29" s="379" t="s">
        <v>1033</v>
      </c>
      <c r="I29" s="380" t="s">
        <v>1481</v>
      </c>
      <c r="J29" s="381">
        <f ca="1">ROUND(J26/(1+F40)^F41,0)</f>
        <v>0</v>
      </c>
      <c r="K29" s="382" t="s">
        <v>1482</v>
      </c>
      <c r="L29" s="383"/>
      <c r="M29" s="384">
        <f ca="1">INDIRECT("'数据-取费表'!k"&amp;$G$1)</f>
        <v>7513.65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86</v>
      </c>
      <c r="D30" s="1337" t="s">
        <v>1427</v>
      </c>
      <c r="E30" s="1338"/>
      <c r="F30" s="1294"/>
      <c r="G30" s="1850"/>
      <c r="H30" s="743"/>
      <c r="I30" s="744"/>
      <c r="J30" s="745"/>
      <c r="K30" s="746"/>
      <c r="L30" s="747"/>
      <c r="M30" s="748"/>
    </row>
    <row r="31" spans="1:37" ht="18" customHeight="1">
      <c r="A31" s="1201" t="s">
        <v>1035</v>
      </c>
      <c r="B31" s="346" t="s">
        <v>1431</v>
      </c>
      <c r="C31" s="24">
        <f ca="1">ROUND(IF(项目基本情况!B11="自然人",C5*F31,C32+C33+C34),1)</f>
        <v>32.200000000000003</v>
      </c>
      <c r="D31" s="1799" t="s">
        <v>1432</v>
      </c>
      <c r="E31" s="1797"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IF(项目基本情况!B11="自然人","——",ROUND(C5*F32/(1+'数据-取费表'!C42),2))</f>
        <v>9.2799999999999994</v>
      </c>
      <c r="D32" s="1797"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IF(项目基本情况!B11="自然人","——",IF(D33="按租金收入计税",ROUND(C5*F33,2),IF(D33="按房产原值计税",ROUND(C29*F33*0.7,2),INDIRECT("'数据-取费表'!Aj"&amp;$G$1))))</f>
        <v>19.079999999999998</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IF(项目基本情况!B11="自然人","——",ROUND(F34*F35/10000,2))</f>
        <v>3.81</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2379.2600000000002</v>
      </c>
      <c r="G35" s="1850"/>
      <c r="H35" s="743"/>
      <c r="I35" s="1859"/>
      <c r="J35" s="1860"/>
      <c r="K35" s="1861"/>
      <c r="L35" s="1858"/>
      <c r="M35" s="1858"/>
    </row>
    <row r="36" spans="1:18" ht="18" customHeight="1">
      <c r="A36" s="1352" t="s">
        <v>1039</v>
      </c>
      <c r="B36" s="346" t="s">
        <v>1451</v>
      </c>
      <c r="C36" s="24">
        <f ca="1">ROUND(C29*F36,1)</f>
        <v>45.4</v>
      </c>
      <c r="D36" s="1797" t="s">
        <v>1484</v>
      </c>
      <c r="E36" s="346" t="s">
        <v>1424</v>
      </c>
      <c r="F36" s="373">
        <f ca="1">INDIRECT("'数据-取费表'!Ak"&amp;$G$1)</f>
        <v>0.02</v>
      </c>
      <c r="G36" s="1850"/>
      <c r="H36" s="1858"/>
      <c r="I36" s="1859"/>
      <c r="J36" s="1860"/>
      <c r="K36" s="749"/>
      <c r="L36" s="1858"/>
      <c r="M36" s="1858"/>
    </row>
    <row r="37" spans="1:18" ht="18" customHeight="1">
      <c r="A37" s="1201" t="s">
        <v>1075</v>
      </c>
      <c r="B37" s="346" t="s">
        <v>1455</v>
      </c>
      <c r="C37" s="24">
        <f ca="1">ROUND(C13*F37,1)</f>
        <v>4.5</v>
      </c>
      <c r="D37" s="1797" t="s">
        <v>1456</v>
      </c>
      <c r="E37" s="346" t="s">
        <v>1457</v>
      </c>
      <c r="F37" s="375">
        <f ca="1">INDIRECT("'数据-取费表'!Al"&amp;$G$1)</f>
        <v>2E-3</v>
      </c>
      <c r="G37" s="1850"/>
      <c r="H37" s="1858"/>
      <c r="I37" s="1859"/>
      <c r="J37" s="1860"/>
      <c r="K37" s="749"/>
      <c r="L37" s="1858"/>
      <c r="M37" s="1858"/>
    </row>
    <row r="38" spans="1:18" ht="18" customHeight="1" thickBot="1">
      <c r="A38" s="1339" t="s">
        <v>1394</v>
      </c>
      <c r="B38" s="1340" t="s">
        <v>1441</v>
      </c>
      <c r="C38" s="1341">
        <f ca="1">ROUND(C5*F38,1)</f>
        <v>3.5</v>
      </c>
      <c r="D38" s="1342" t="s">
        <v>1461</v>
      </c>
      <c r="E38" s="1340" t="s">
        <v>1457</v>
      </c>
      <c r="F38" s="1336">
        <f ca="1">INDIRECT("'数据-取费表'!Am"&amp;$G$1)</f>
        <v>0.02</v>
      </c>
      <c r="G38" s="1850"/>
      <c r="H38" s="1858"/>
      <c r="I38" s="1859"/>
      <c r="J38" s="1860"/>
      <c r="K38" s="1864"/>
      <c r="L38" s="1858"/>
      <c r="M38" s="1858"/>
    </row>
    <row r="39" spans="1:18" ht="24.6" customHeight="1" thickTop="1">
      <c r="A39" s="1329" t="s">
        <v>1031</v>
      </c>
      <c r="B39" s="1344" t="s">
        <v>1485</v>
      </c>
      <c r="C39" s="354">
        <f ca="1">C5-C30</f>
        <v>88</v>
      </c>
      <c r="D39" s="1345" t="s">
        <v>1486</v>
      </c>
      <c r="E39" s="1346"/>
      <c r="F39" s="1347"/>
      <c r="G39" s="1850"/>
      <c r="H39" s="1858"/>
      <c r="I39" s="1859"/>
      <c r="J39" s="1860"/>
      <c r="K39" s="1864"/>
      <c r="L39" s="1858"/>
      <c r="M39" s="1858"/>
    </row>
    <row r="40" spans="1:18" ht="18" customHeight="1">
      <c r="A40" s="343" t="s">
        <v>1032</v>
      </c>
      <c r="B40" s="344" t="s">
        <v>1487</v>
      </c>
      <c r="C40" s="345">
        <f ca="1">ROUND(C39*(1-((1+F42)/(1+F40))^F41)/(F40-F42),0)</f>
        <v>2059</v>
      </c>
      <c r="D40" s="369" t="s">
        <v>1471</v>
      </c>
      <c r="E40" s="346" t="s">
        <v>1472</v>
      </c>
      <c r="F40" s="356">
        <f ca="1">INDIRECT("'数据-取费表'!I"&amp;$G$1)</f>
        <v>4.4999999999999998E-2</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36.31</v>
      </c>
      <c r="G41" s="1850"/>
      <c r="H41" s="730"/>
      <c r="I41" s="1859"/>
      <c r="J41" s="1860"/>
      <c r="K41" s="749"/>
      <c r="L41" s="730"/>
      <c r="M41" s="730"/>
    </row>
    <row r="42" spans="1:18" ht="18" customHeight="1">
      <c r="A42" s="352"/>
      <c r="B42" s="353"/>
      <c r="C42" s="354"/>
      <c r="D42" s="372"/>
      <c r="E42" s="346" t="s">
        <v>1479</v>
      </c>
      <c r="F42" s="356">
        <f ca="1">INDIRECT("'数据-取费表'!v"&amp;$G$1)</f>
        <v>0.02</v>
      </c>
      <c r="G42" s="1850"/>
      <c r="H42" s="730"/>
      <c r="I42" s="1859"/>
      <c r="J42" s="1860"/>
      <c r="K42" s="749"/>
      <c r="L42" s="730"/>
      <c r="M42" s="730"/>
    </row>
    <row r="43" spans="1:18" ht="18" customHeight="1" thickBot="1">
      <c r="A43" s="379" t="s">
        <v>1033</v>
      </c>
      <c r="B43" s="380" t="s">
        <v>1489</v>
      </c>
      <c r="C43" s="381">
        <f ca="1">ROUND(C40*10000/F43,0)</f>
        <v>2740</v>
      </c>
      <c r="D43" s="382" t="s">
        <v>1490</v>
      </c>
      <c r="E43" s="383" t="s">
        <v>1491</v>
      </c>
      <c r="F43" s="384">
        <f ca="1">INDIRECT("'数据-取费表'!k"&amp;$G$1)</f>
        <v>7513.65</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1521</v>
      </c>
      <c r="P45" s="1838"/>
      <c r="Q45" s="1838"/>
      <c r="R45" s="1838"/>
    </row>
    <row r="46" spans="1:18" s="1841" customFormat="1" ht="13.5" thickBot="1">
      <c r="A46" s="1869" t="s">
        <v>1522</v>
      </c>
      <c r="C46" s="1870">
        <f ca="1">C68-C40</f>
        <v>-3353</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0"/>
      <c r="I47" s="1879" t="s">
        <v>1528</v>
      </c>
      <c r="J47" s="1880" t="s">
        <v>3134</v>
      </c>
      <c r="K47" s="1881" t="s">
        <v>1529</v>
      </c>
      <c r="L47" s="1882">
        <f ca="1">INDIRECT("'数据-取费表'!d"&amp;$G$1)</f>
        <v>40</v>
      </c>
      <c r="M47" s="1837" t="str">
        <f>IF(ISNUMBER(FIND("住宅",C1)),"住宅","非住宅")</f>
        <v>非住宅</v>
      </c>
      <c r="O47" s="1883" t="s">
        <v>1040</v>
      </c>
      <c r="P47" s="1884" t="s">
        <v>1530</v>
      </c>
      <c r="Q47" s="1885">
        <f ca="1">C40+J29</f>
        <v>2059</v>
      </c>
      <c r="R47" s="1885" t="s">
        <v>1531</v>
      </c>
    </row>
    <row r="48" spans="1:18" s="1841" customFormat="1" ht="28.5" thickBot="1">
      <c r="A48" s="1360" t="s">
        <v>1135</v>
      </c>
      <c r="B48" s="344" t="s">
        <v>1402</v>
      </c>
      <c r="C48" s="1816">
        <f ca="1">C49+C53+C55</f>
        <v>0</v>
      </c>
      <c r="D48" s="1362"/>
      <c r="E48" s="1363"/>
      <c r="F48" s="1181"/>
      <c r="G48" s="790"/>
      <c r="H48" s="791"/>
      <c r="I48" s="1886" t="s">
        <v>1532</v>
      </c>
      <c r="J48" s="1887" t="s">
        <v>3135</v>
      </c>
      <c r="K48" s="1888" t="s">
        <v>1533</v>
      </c>
      <c r="L48" s="1889">
        <f ca="1">INDIRECT("'数据-取费表'!f"&amp;$G$1)</f>
        <v>37.81</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3042</v>
      </c>
      <c r="E49" s="1829" t="s">
        <v>1493</v>
      </c>
      <c r="F49" s="1281"/>
      <c r="G49" s="1890"/>
      <c r="H49" s="791"/>
      <c r="I49" s="1886" t="s">
        <v>1536</v>
      </c>
      <c r="J49" s="1891">
        <v>2019</v>
      </c>
      <c r="K49" s="1888" t="s">
        <v>1537</v>
      </c>
      <c r="L49" s="1892"/>
      <c r="O49" s="1893" t="s">
        <v>1042</v>
      </c>
      <c r="P49" s="1884" t="s">
        <v>1538</v>
      </c>
      <c r="Q49" s="1885">
        <f ca="1">C29</f>
        <v>2271</v>
      </c>
      <c r="R49" s="1885" t="s">
        <v>1531</v>
      </c>
    </row>
    <row r="50" spans="1:18" s="1841" customFormat="1" ht="13.5" thickBot="1">
      <c r="A50" s="1195"/>
      <c r="B50" s="1198"/>
      <c r="C50" s="1368"/>
      <c r="D50" s="1172"/>
      <c r="E50" s="1277" t="s">
        <v>1407</v>
      </c>
      <c r="F50" s="1278">
        <f ca="1">F7</f>
        <v>268</v>
      </c>
      <c r="H50" s="791"/>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7">
        <f ca="1">F8</f>
        <v>12</v>
      </c>
      <c r="I51" s="1897" t="s">
        <v>1542</v>
      </c>
      <c r="J51" s="1898">
        <f>IF(J49="",J50,J49+J50-YEAR('数据-取费表'!B2))</f>
        <v>62</v>
      </c>
      <c r="K51" s="1899" t="s">
        <v>1543</v>
      </c>
      <c r="L51" s="1900">
        <f ca="1">ROUND(-PV(INDIRECT("'数据-取费表'!h"&amp;$G$1),L48,(C39-C13*C76),0),0)</f>
        <v>-2030</v>
      </c>
      <c r="M51" s="1901"/>
      <c r="O51" s="1893" t="s">
        <v>1044</v>
      </c>
      <c r="P51" s="1884" t="s">
        <v>1544</v>
      </c>
      <c r="Q51" s="1896">
        <f>J52</f>
        <v>0.09</v>
      </c>
      <c r="R51" s="1885"/>
    </row>
    <row r="52" spans="1:18" s="1841" customFormat="1" ht="13.5" thickBot="1">
      <c r="A52" s="1196"/>
      <c r="B52" s="1198"/>
      <c r="C52" s="1199"/>
      <c r="D52" s="1172"/>
      <c r="E52" s="1200" t="s">
        <v>1409</v>
      </c>
      <c r="F52" s="1275"/>
      <c r="I52" s="1902" t="s">
        <v>1545</v>
      </c>
      <c r="J52" s="1903">
        <v>0.09</v>
      </c>
      <c r="K52" s="1902" t="s">
        <v>1546</v>
      </c>
      <c r="L52" s="1903"/>
      <c r="O52" s="1893" t="s">
        <v>1045</v>
      </c>
      <c r="P52" s="1884" t="s">
        <v>1547</v>
      </c>
      <c r="Q52" s="1885">
        <f ca="1">J53</f>
        <v>36.31</v>
      </c>
      <c r="R52" s="1885" t="s">
        <v>1548</v>
      </c>
    </row>
    <row r="53" spans="1:18" s="1841" customFormat="1" ht="24.75" thickBot="1">
      <c r="A53" s="1404" t="s">
        <v>1137</v>
      </c>
      <c r="B53" s="1830" t="s">
        <v>1410</v>
      </c>
      <c r="C53" s="360">
        <f ca="1">ROUND(IF(F53="押一",F49*F51*F50/12*F11,IF(F53="押二",F49*F51*F50/12*2*F11,IF(F53="押三",F49*F51*F50/12*3*F11,C54*F11)))/10000,0)</f>
        <v>0</v>
      </c>
      <c r="D53" s="1823" t="s">
        <v>3040</v>
      </c>
      <c r="E53" s="357" t="s">
        <v>1412</v>
      </c>
      <c r="F53" s="1366"/>
      <c r="I53" s="1904" t="s">
        <v>1549</v>
      </c>
      <c r="J53" s="1905">
        <f ca="1">IF(M47="住宅",J51,IF(D1="——",MIN(J51,L48),IF(D1="在建（套用方法）",MIN(J51,L48-'数据-取费表'!B24),IF(D1="土地（套用方法）",MIN(J51,L48-'数据-取费表'!B20)))))</f>
        <v>36.31</v>
      </c>
      <c r="K53" s="3217" t="s">
        <v>1550</v>
      </c>
      <c r="L53" s="3218"/>
      <c r="O53" s="1883" t="s">
        <v>1046</v>
      </c>
      <c r="P53" s="1884" t="s">
        <v>1551</v>
      </c>
      <c r="Q53" s="1885">
        <f ca="1">Q47+Q48</f>
        <v>2059</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5">
        <f ca="1">C13</f>
        <v>2271</v>
      </c>
      <c r="D56" s="1913"/>
      <c r="E56" s="1914"/>
      <c r="F56" s="1906"/>
      <c r="I56" s="1915" t="s">
        <v>1556</v>
      </c>
      <c r="J56" s="1916" t="s">
        <v>3082</v>
      </c>
      <c r="K56" s="1886" t="s">
        <v>1557</v>
      </c>
      <c r="L56" s="1889" t="str">
        <f ca="1">IF(L48&lt;J51,"——",L48-J53)</f>
        <v>——</v>
      </c>
      <c r="O56" s="1883" t="s">
        <v>1040</v>
      </c>
      <c r="P56" s="1884" t="s">
        <v>1530</v>
      </c>
      <c r="Q56" s="1885">
        <f ca="1">C40+J29</f>
        <v>2059</v>
      </c>
      <c r="R56" s="1885" t="s">
        <v>1531</v>
      </c>
    </row>
    <row r="57" spans="1:18" s="1841" customFormat="1" ht="24.75" thickBot="1">
      <c r="A57" s="1917"/>
      <c r="B57" s="1169" t="s">
        <v>1480</v>
      </c>
      <c r="C57" s="281">
        <f ca="1">C29</f>
        <v>2271</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59" t="s">
        <v>1030</v>
      </c>
      <c r="B58" s="1177" t="s">
        <v>1426</v>
      </c>
      <c r="C58" s="360">
        <f ca="1">ROUND(C59+C64+C65+C66,0)</f>
        <v>73</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ROUND(IF(项目基本情况!B11="自然人",C48*F59,C60+C61+C62),1)</f>
        <v>22.9</v>
      </c>
      <c r="D59" s="1182" t="s">
        <v>1432</v>
      </c>
      <c r="E59" s="1183" t="s">
        <v>1433</v>
      </c>
      <c r="F59" s="367" t="str">
        <f ca="1">IF(项目基本情况!B11="企业","",IF(INDIRECT("'数据-取费表'!c"&amp;$G$1)="住宅",5%,IF(F49*F50*F51/12/(1+'数据-取费表'!C42)&gt;20000,12%,7%)))</f>
        <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IF(项目基本情况!B11="自然人","——",ROUND(C48*F60/(1+'数据-取费表'!C42),2))</f>
        <v>0</v>
      </c>
      <c r="D60" s="1183" t="s">
        <v>1436</v>
      </c>
      <c r="E60" s="1169" t="s">
        <v>1424</v>
      </c>
      <c r="F60" s="376">
        <f t="shared" ref="F60:F66" si="0">F32</f>
        <v>5.6000000000000001E-2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IF(项目基本情况!B11="自然人","——",IF(D61="按租金收入计税",ROUND(C48*F61,2),IF(D61="按房产原值计税",ROUND(C57*F61*0.7,2),INDIRECT("'数据-取费表'!Aj"&amp;$G$1))))</f>
        <v>19.079999999999998</v>
      </c>
      <c r="D61" s="1827" t="s">
        <v>1440</v>
      </c>
      <c r="E61" s="1169" t="s">
        <v>1496</v>
      </c>
      <c r="F61" s="366">
        <f t="shared" si="0"/>
        <v>1.2E-2</v>
      </c>
      <c r="I61" s="1927"/>
      <c r="J61" s="1927"/>
      <c r="K61" s="1927"/>
      <c r="L61" s="1927"/>
      <c r="O61" s="1893" t="s">
        <v>1045</v>
      </c>
      <c r="P61" s="1884" t="str">
        <f>K59</f>
        <v>续建工期及建筑物耐用年限下的土地年期修正系数Kn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IF(项目基本情况!B11="自然人","——",ROUND(F62*F63/10000,2))</f>
        <v>3.81</v>
      </c>
      <c r="D62" s="1184" t="s">
        <v>1499</v>
      </c>
      <c r="E62" s="1169" t="s">
        <v>1500</v>
      </c>
      <c r="F62" s="370">
        <f t="shared" si="0"/>
        <v>16</v>
      </c>
      <c r="I62" s="1928" t="s">
        <v>1572</v>
      </c>
      <c r="J62" s="1929" t="s">
        <v>1573</v>
      </c>
      <c r="K62" s="1929" t="s">
        <v>1574</v>
      </c>
      <c r="L62" s="1929" t="s">
        <v>1575</v>
      </c>
      <c r="M62" s="1930" t="s">
        <v>1576</v>
      </c>
      <c r="O62" s="1883" t="s">
        <v>1046</v>
      </c>
      <c r="P62" s="1884" t="s">
        <v>1577</v>
      </c>
      <c r="Q62" s="1885">
        <f ca="1">Q56+Q57</f>
        <v>2059</v>
      </c>
      <c r="R62" s="1885" t="s">
        <v>1047</v>
      </c>
    </row>
    <row r="63" spans="1:18" s="1841" customFormat="1" ht="13.5" thickBot="1">
      <c r="A63" s="371"/>
      <c r="B63" s="1175"/>
      <c r="C63" s="29"/>
      <c r="D63" s="1185"/>
      <c r="E63" s="1169" t="s">
        <v>1501</v>
      </c>
      <c r="F63" s="347">
        <f t="shared" ca="1" si="0"/>
        <v>2379.2600000000002</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ROUND(C57*F64,1)</f>
        <v>45.4</v>
      </c>
      <c r="D64" s="1183" t="s">
        <v>1504</v>
      </c>
      <c r="E64" s="1169" t="s">
        <v>1496</v>
      </c>
      <c r="F64" s="373">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ROUND(C56*F65,1)</f>
        <v>4.5</v>
      </c>
      <c r="D65" s="1183" t="s">
        <v>1456</v>
      </c>
      <c r="E65" s="1169" t="s">
        <v>1457</v>
      </c>
      <c r="F65" s="375">
        <f t="shared" ca="1" si="0"/>
        <v>2E-3</v>
      </c>
      <c r="I65" s="1928" t="s">
        <v>1581</v>
      </c>
      <c r="J65" s="1929">
        <v>40</v>
      </c>
      <c r="K65" s="1929">
        <v>30</v>
      </c>
      <c r="L65" s="1929">
        <v>50</v>
      </c>
      <c r="M65" s="1931">
        <v>0.02</v>
      </c>
      <c r="O65" s="1883" t="s">
        <v>1040</v>
      </c>
      <c r="P65" s="1884" t="s">
        <v>1582</v>
      </c>
      <c r="Q65" s="1885">
        <f ca="1">C40+J29</f>
        <v>2059</v>
      </c>
      <c r="R65" s="1885" t="s">
        <v>1531</v>
      </c>
    </row>
    <row r="66" spans="1:18" s="1841" customFormat="1" ht="16.5" thickBot="1">
      <c r="A66" s="1201" t="s">
        <v>1506</v>
      </c>
      <c r="B66" s="1169" t="s">
        <v>1441</v>
      </c>
      <c r="C66" s="24">
        <f ca="1">ROUND(C48*F66,1)</f>
        <v>0</v>
      </c>
      <c r="D66" s="1183" t="s">
        <v>1507</v>
      </c>
      <c r="E66" s="1169" t="s">
        <v>1424</v>
      </c>
      <c r="F66" s="356">
        <f t="shared" ca="1" si="0"/>
        <v>0.02</v>
      </c>
      <c r="O66" s="1883" t="s">
        <v>1041</v>
      </c>
      <c r="P66" s="1884" t="s">
        <v>1560</v>
      </c>
      <c r="Q66" s="1885">
        <f ca="1">L60</f>
        <v>0</v>
      </c>
      <c r="R66" s="1885" t="s">
        <v>1583</v>
      </c>
    </row>
    <row r="67" spans="1:18" s="1841" customFormat="1" ht="16.5" thickBot="1">
      <c r="A67" s="1176" t="s">
        <v>1031</v>
      </c>
      <c r="B67" s="1186" t="s">
        <v>1465</v>
      </c>
      <c r="C67" s="360">
        <f ca="1">C48-C58</f>
        <v>-73</v>
      </c>
      <c r="D67" s="1182" t="s">
        <v>1466</v>
      </c>
      <c r="E67" s="1187"/>
      <c r="F67" s="1188"/>
      <c r="O67" s="1893" t="s">
        <v>1042</v>
      </c>
      <c r="P67" s="1884" t="s">
        <v>1564</v>
      </c>
      <c r="Q67" s="1932">
        <f ca="1">L51</f>
        <v>-2030</v>
      </c>
      <c r="R67" s="1885" t="s">
        <v>1584</v>
      </c>
    </row>
    <row r="68" spans="1:18" s="1841" customFormat="1" ht="16.5" thickBot="1">
      <c r="A68" s="1166" t="s">
        <v>1032</v>
      </c>
      <c r="B68" s="1167" t="s">
        <v>1487</v>
      </c>
      <c r="C68" s="345">
        <f ca="1">ROUND(C67*(1-((1+F70)/(1+F68))^F69)/(F68-F70),0)</f>
        <v>-1294</v>
      </c>
      <c r="D68" s="1184" t="s">
        <v>1471</v>
      </c>
      <c r="E68" s="1169" t="s">
        <v>1472</v>
      </c>
      <c r="F68" s="356">
        <f ca="1">F40</f>
        <v>4.4999999999999998E-2</v>
      </c>
      <c r="O68" s="1893" t="s">
        <v>1043</v>
      </c>
      <c r="P68" s="1933" t="s">
        <v>1585</v>
      </c>
      <c r="Q68" s="1885">
        <f ca="1">ROUND(Q69-Q70*Q71,0)</f>
        <v>-105</v>
      </c>
      <c r="R68" s="1885" t="s">
        <v>1051</v>
      </c>
    </row>
    <row r="69" spans="1:18" s="1841" customFormat="1" ht="13.5" thickBot="1">
      <c r="A69" s="1170"/>
      <c r="B69" s="1171"/>
      <c r="C69" s="350"/>
      <c r="D69" s="1189" t="s">
        <v>1475</v>
      </c>
      <c r="E69" s="1169" t="s">
        <v>1476</v>
      </c>
      <c r="F69" s="378">
        <f ca="1">F41</f>
        <v>36.31</v>
      </c>
      <c r="O69" s="1893" t="s">
        <v>1048</v>
      </c>
      <c r="P69" s="1933" t="s">
        <v>1586</v>
      </c>
      <c r="Q69" s="1885">
        <f ca="1">C39</f>
        <v>88</v>
      </c>
      <c r="R69" s="1885" t="s">
        <v>1531</v>
      </c>
    </row>
    <row r="70" spans="1:18" s="1841" customFormat="1" ht="13.5" thickBot="1">
      <c r="A70" s="1173"/>
      <c r="B70" s="1174"/>
      <c r="C70" s="354"/>
      <c r="D70" s="1185"/>
      <c r="E70" s="1169" t="s">
        <v>1479</v>
      </c>
      <c r="F70" s="1275"/>
      <c r="O70" s="1893" t="s">
        <v>1049</v>
      </c>
      <c r="P70" s="1933" t="s">
        <v>1587</v>
      </c>
      <c r="Q70" s="1885">
        <f ca="1">C13</f>
        <v>2271</v>
      </c>
      <c r="R70" s="1885" t="s">
        <v>1531</v>
      </c>
    </row>
    <row r="71" spans="1:18" s="1841" customFormat="1" ht="13.5" thickBot="1">
      <c r="A71" s="1190" t="s">
        <v>1033</v>
      </c>
      <c r="B71" s="1191" t="s">
        <v>1489</v>
      </c>
      <c r="C71" s="381">
        <f ca="1">ROUND(C68*10000/F71,0)</f>
        <v>-1722</v>
      </c>
      <c r="D71" s="1192" t="s">
        <v>1490</v>
      </c>
      <c r="E71" s="1193" t="s">
        <v>1491</v>
      </c>
      <c r="F71" s="384">
        <f ca="1">F43</f>
        <v>7513.65</v>
      </c>
      <c r="O71" s="1893" t="s">
        <v>1050</v>
      </c>
      <c r="P71" s="1933" t="s">
        <v>1588</v>
      </c>
      <c r="Q71" s="1896">
        <f ca="1">C76</f>
        <v>8.5000000000000006E-2</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续建工期及建筑物耐用年限下的土地年期修正系数Kn</v>
      </c>
      <c r="Q74" s="1885" t="e">
        <f ca="1">L59</f>
        <v>#DIV/0!</v>
      </c>
      <c r="R74" s="1885" t="s">
        <v>1571</v>
      </c>
    </row>
    <row r="75" spans="1:18" ht="13.5" thickBot="1">
      <c r="A75" s="1841"/>
      <c r="B75" s="385" t="s">
        <v>1508</v>
      </c>
      <c r="C75" s="386">
        <f ca="1">ROUND(C13*C76,0)</f>
        <v>193</v>
      </c>
      <c r="D75" s="1841"/>
      <c r="E75" s="1841"/>
      <c r="F75" s="1841"/>
      <c r="K75" s="1867"/>
      <c r="L75" s="1841"/>
      <c r="O75" s="1883" t="s">
        <v>1046</v>
      </c>
      <c r="P75" s="1884" t="s">
        <v>1551</v>
      </c>
      <c r="Q75" s="1885">
        <f ca="1">Q65+Q66</f>
        <v>2059</v>
      </c>
      <c r="R75" s="1885" t="s">
        <v>1047</v>
      </c>
    </row>
    <row r="76" spans="1:18">
      <c r="B76" s="387" t="s">
        <v>1509</v>
      </c>
      <c r="C76" s="388">
        <f ca="1">INDIRECT("'数据-取费表'!j"&amp;$G$1)</f>
        <v>8.5000000000000006E-2</v>
      </c>
      <c r="I76" s="1841"/>
      <c r="J76" s="1841"/>
      <c r="K76" s="1867"/>
      <c r="L76" s="1841"/>
    </row>
    <row r="77" spans="1:18">
      <c r="B77" s="389" t="s">
        <v>1510</v>
      </c>
      <c r="C77" s="390"/>
      <c r="I77" s="1841"/>
      <c r="J77" s="1841"/>
      <c r="K77" s="1867"/>
      <c r="L77" s="1841"/>
    </row>
    <row r="78" spans="1:18">
      <c r="B78" s="313" t="s">
        <v>1511</v>
      </c>
      <c r="C78" s="391"/>
    </row>
    <row r="79" spans="1:18">
      <c r="B79" s="385" t="s">
        <v>1512</v>
      </c>
      <c r="C79" s="317">
        <f ca="1">1-C80</f>
        <v>-1.1930000000000001</v>
      </c>
    </row>
    <row r="80" spans="1:18">
      <c r="B80" s="385" t="s">
        <v>1513</v>
      </c>
      <c r="C80" s="317">
        <f ca="1">ROUND(C75/C39,3)</f>
        <v>2.1930000000000001</v>
      </c>
    </row>
    <row r="81" spans="2:3">
      <c r="B81" s="313" t="s">
        <v>1514</v>
      </c>
      <c r="C81" s="281"/>
    </row>
    <row r="82" spans="2:3">
      <c r="B82" s="316" t="s">
        <v>1515</v>
      </c>
      <c r="C82" s="318">
        <f ca="1">1-C83</f>
        <v>-0.10299999999999998</v>
      </c>
    </row>
    <row r="83" spans="2:3">
      <c r="B83" s="316" t="s">
        <v>1516</v>
      </c>
      <c r="C83" s="317">
        <f ca="1">ROUND(C13/C40,3)</f>
        <v>1.103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AC148"/>
  <sheetViews>
    <sheetView topLeftCell="A18" zoomScale="90" zoomScaleNormal="90" workbookViewId="0">
      <selection activeCell="I2" sqref="I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t="s">
        <v>3103</v>
      </c>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7">
        <f>IF(C2="——",ROUND(C49*D3/10000,0),ROUND(C49*D3/10000,0)-D2)</f>
        <v>82605</v>
      </c>
      <c r="C2" s="2582" t="s">
        <v>70</v>
      </c>
      <c r="D2" s="1365" t="e">
        <f ca="1">SUMIF(INDIRECT("'"&amp;F2&amp;"'"&amp;"!A:A"),"承租人权益价值",INDIRECT("'"&amp;F2&amp;"'"&amp;"!c:c"))</f>
        <v>#REF!</v>
      </c>
      <c r="E2" s="2583" t="s">
        <v>2334</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f>IF(C2="——",C49,ROUND(B2*10000/D3,0))</f>
        <v>25097</v>
      </c>
      <c r="C3" s="399" t="s">
        <v>2537</v>
      </c>
      <c r="D3" s="398">
        <f>IF(D1="",'数据-汇总表'!E3,SUMIF('数据-汇总表'!$C19:$C33,D1,'数据-汇总表'!$E19:$E33))</f>
        <v>32914.340000000004</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0" t="s">
        <v>2538</v>
      </c>
      <c r="B4" s="401"/>
      <c r="C4" s="3173" t="s">
        <v>2539</v>
      </c>
      <c r="D4" s="3186"/>
      <c r="E4" s="3187" t="s">
        <v>2540</v>
      </c>
      <c r="F4" s="3188"/>
      <c r="G4" s="3173" t="s">
        <v>2541</v>
      </c>
      <c r="H4" s="3186"/>
      <c r="I4" s="3173" t="s">
        <v>2542</v>
      </c>
      <c r="J4" s="3186"/>
      <c r="K4" s="2592" t="s">
        <v>2543</v>
      </c>
      <c r="L4" s="1130"/>
      <c r="M4" s="1131"/>
      <c r="N4" s="1131"/>
      <c r="O4" s="1131"/>
      <c r="P4" s="3189" t="s">
        <v>2544</v>
      </c>
      <c r="Q4" s="3190"/>
      <c r="R4" s="3195" t="s">
        <v>2540</v>
      </c>
      <c r="S4" s="3196"/>
      <c r="T4" s="3195" t="s">
        <v>2541</v>
      </c>
      <c r="U4" s="3196"/>
      <c r="V4" s="3182" t="s">
        <v>2542</v>
      </c>
      <c r="W4" s="3182"/>
      <c r="X4" s="2935"/>
      <c r="Y4" s="3195" t="s">
        <v>2544</v>
      </c>
      <c r="Z4" s="3196"/>
      <c r="AA4" s="3183" t="s">
        <v>2540</v>
      </c>
      <c r="AB4" s="3183" t="s">
        <v>2541</v>
      </c>
      <c r="AC4" s="3183" t="s">
        <v>2542</v>
      </c>
    </row>
    <row r="5" spans="1:29" ht="15">
      <c r="A5" s="403"/>
      <c r="B5" s="404"/>
      <c r="C5" s="3208" t="s">
        <v>2545</v>
      </c>
      <c r="D5" s="3204"/>
      <c r="E5" s="3212" t="s">
        <v>3138</v>
      </c>
      <c r="F5" s="3213"/>
      <c r="G5" s="3203" t="s">
        <v>3155</v>
      </c>
      <c r="H5" s="3204"/>
      <c r="I5" s="3203" t="s">
        <v>3157</v>
      </c>
      <c r="J5" s="3204"/>
      <c r="K5" s="2593"/>
      <c r="L5" s="1130"/>
      <c r="M5" s="1131"/>
      <c r="N5" s="1131"/>
      <c r="O5" s="1131"/>
      <c r="P5" s="3191"/>
      <c r="Q5" s="3192"/>
      <c r="R5" s="3197"/>
      <c r="S5" s="3198"/>
      <c r="T5" s="3197"/>
      <c r="U5" s="3198"/>
      <c r="V5" s="3182"/>
      <c r="W5" s="3182"/>
      <c r="X5" s="2935"/>
      <c r="Y5" s="3197"/>
      <c r="Z5" s="3198"/>
      <c r="AA5" s="3184"/>
      <c r="AB5" s="3184"/>
      <c r="AC5" s="3184"/>
    </row>
    <row r="6" spans="1:29" ht="15.75" thickBot="1">
      <c r="A6" s="405"/>
      <c r="B6" s="406"/>
      <c r="C6" s="3209" t="s">
        <v>2549</v>
      </c>
      <c r="D6" s="3202"/>
      <c r="E6" s="3210" t="s">
        <v>3137</v>
      </c>
      <c r="F6" s="3211"/>
      <c r="G6" s="3201" t="s">
        <v>3156</v>
      </c>
      <c r="H6" s="3202"/>
      <c r="I6" s="3201" t="s">
        <v>3158</v>
      </c>
      <c r="J6" s="3202"/>
      <c r="K6" s="2593" t="s">
        <v>2550</v>
      </c>
      <c r="L6" s="1130"/>
      <c r="M6" s="1131"/>
      <c r="N6" s="1131"/>
      <c r="O6" s="1131"/>
      <c r="P6" s="3193"/>
      <c r="Q6" s="3194"/>
      <c r="R6" s="3197"/>
      <c r="S6" s="3198"/>
      <c r="T6" s="3199"/>
      <c r="U6" s="3200"/>
      <c r="V6" s="3182"/>
      <c r="W6" s="3182"/>
      <c r="X6" s="2935"/>
      <c r="Y6" s="3199"/>
      <c r="Z6" s="3200"/>
      <c r="AA6" s="3185"/>
      <c r="AB6" s="3185"/>
      <c r="AC6" s="3185"/>
    </row>
    <row r="7" spans="1:29" s="116" customFormat="1" ht="15.75" thickBot="1">
      <c r="A7" s="407" t="s">
        <v>2551</v>
      </c>
      <c r="B7" s="408"/>
      <c r="C7" s="409">
        <f>'数据-取费表'!B2</f>
        <v>43056</v>
      </c>
      <c r="D7" s="410">
        <v>100</v>
      </c>
      <c r="E7" s="411">
        <f>C7</f>
        <v>43056</v>
      </c>
      <c r="F7" s="412">
        <f>SUMIF(58:58,YEAR(E7)&amp;"-"&amp;MONTH(E7),59:59)</f>
        <v>100</v>
      </c>
      <c r="G7" s="411">
        <f>C7</f>
        <v>43056</v>
      </c>
      <c r="H7" s="410">
        <f>SUMIF(58:58,YEAR(G7)&amp;"-"&amp;MONTH(G7),59:59)</f>
        <v>100</v>
      </c>
      <c r="I7" s="411">
        <f>C7</f>
        <v>43056</v>
      </c>
      <c r="J7" s="410">
        <f>SUMIF(58:58,YEAR(I7)&amp;"-"&amp;MONTH(I7),59:59)</f>
        <v>100</v>
      </c>
      <c r="K7" s="2594"/>
      <c r="L7" s="1132"/>
      <c r="M7" s="1133"/>
      <c r="N7" s="1133"/>
      <c r="O7" s="1133"/>
      <c r="P7" s="3205" t="s">
        <v>2552</v>
      </c>
      <c r="Q7" s="3207"/>
      <c r="R7" s="768" t="s">
        <v>23</v>
      </c>
      <c r="S7" s="769">
        <f t="shared" ref="S7:S15" si="0">F7</f>
        <v>100</v>
      </c>
      <c r="T7" s="768" t="s">
        <v>23</v>
      </c>
      <c r="U7" s="769">
        <f t="shared" ref="U7:U15" si="1">H7</f>
        <v>100</v>
      </c>
      <c r="V7" s="768" t="s">
        <v>23</v>
      </c>
      <c r="W7" s="769">
        <f t="shared" ref="W7:W15" si="2">J7</f>
        <v>100</v>
      </c>
      <c r="X7" s="770"/>
      <c r="Y7" s="3205" t="s">
        <v>2552</v>
      </c>
      <c r="Z7" s="3206"/>
      <c r="AA7" s="771">
        <f>D7/F7</f>
        <v>1</v>
      </c>
      <c r="AB7" s="771">
        <f>D7/H7</f>
        <v>1</v>
      </c>
      <c r="AC7" s="771">
        <f>D7/J7</f>
        <v>1</v>
      </c>
    </row>
    <row r="8" spans="1:29" s="116" customFormat="1" ht="15.75" thickBot="1">
      <c r="A8" s="407" t="s">
        <v>2553</v>
      </c>
      <c r="B8" s="408"/>
      <c r="C8" s="413" t="s">
        <v>2554</v>
      </c>
      <c r="D8" s="410">
        <v>100</v>
      </c>
      <c r="E8" s="2595" t="s">
        <v>3106</v>
      </c>
      <c r="F8" s="412">
        <f>SUMIF(61:61,E8,62:62)-SUMIF(61:61,C8,62:62)+100</f>
        <v>100</v>
      </c>
      <c r="G8" s="413" t="s">
        <v>3106</v>
      </c>
      <c r="H8" s="410">
        <f>SUMIF(61:61,G8,62:62)-SUMIF(61:61,C8,62:62)+100</f>
        <v>100</v>
      </c>
      <c r="I8" s="2595" t="s">
        <v>3106</v>
      </c>
      <c r="J8" s="410">
        <f>SUMIF(61:61,I8,62:62)-SUMIF(61:61,C8,62:62)+100</f>
        <v>100</v>
      </c>
      <c r="K8" s="2594"/>
      <c r="L8" s="1132"/>
      <c r="M8" s="1133"/>
      <c r="N8" s="1133"/>
      <c r="O8" s="1133"/>
      <c r="P8" s="3205" t="s">
        <v>2555</v>
      </c>
      <c r="Q8" s="3206"/>
      <c r="R8" s="768" t="s">
        <v>23</v>
      </c>
      <c r="S8" s="769">
        <f t="shared" si="0"/>
        <v>100</v>
      </c>
      <c r="T8" s="768" t="s">
        <v>23</v>
      </c>
      <c r="U8" s="769">
        <f t="shared" si="1"/>
        <v>100</v>
      </c>
      <c r="V8" s="768" t="s">
        <v>23</v>
      </c>
      <c r="W8" s="769">
        <f t="shared" si="2"/>
        <v>100</v>
      </c>
      <c r="X8" s="770"/>
      <c r="Y8" s="3205" t="s">
        <v>2555</v>
      </c>
      <c r="Z8" s="3206"/>
      <c r="AA8" s="771">
        <f t="shared" ref="AA8:AA19" si="3">D8/F8</f>
        <v>1</v>
      </c>
      <c r="AB8" s="771">
        <f t="shared" ref="AB8:AB19" si="4">D8/H8</f>
        <v>1</v>
      </c>
      <c r="AC8" s="771">
        <f t="shared" ref="AC8:AC19" si="5">D8/J8</f>
        <v>1</v>
      </c>
    </row>
    <row r="9" spans="1:29" s="116" customFormat="1">
      <c r="A9" s="414" t="s">
        <v>2556</v>
      </c>
      <c r="B9" s="70" t="s">
        <v>2557</v>
      </c>
      <c r="C9" s="2948" t="s">
        <v>3139</v>
      </c>
      <c r="D9" s="133">
        <v>100</v>
      </c>
      <c r="E9" s="416" t="s">
        <v>3079</v>
      </c>
      <c r="F9" s="417">
        <f>SUMIF(63:63,E9,64:64)-SUMIF(63:63,C9,64:64)+100</f>
        <v>100</v>
      </c>
      <c r="G9" s="418" t="s">
        <v>3079</v>
      </c>
      <c r="H9" s="133">
        <f>SUMIF(63:63,G9,64:64)-SUMIF(63:63,C9,64:64)+100</f>
        <v>100</v>
      </c>
      <c r="I9" s="418" t="s">
        <v>3079</v>
      </c>
      <c r="J9" s="133">
        <f>SUMIF(63:63,I9,64:64)-SUMIF(63:63,C9,64:64)+100</f>
        <v>100</v>
      </c>
      <c r="K9" s="2594"/>
      <c r="L9" s="1132"/>
      <c r="M9" s="1133"/>
      <c r="N9" s="1133"/>
      <c r="O9" s="1133"/>
      <c r="P9" s="3175" t="s">
        <v>2558</v>
      </c>
      <c r="Q9" s="2932" t="str">
        <f t="shared" ref="Q9:Q15" si="6">B9</f>
        <v>用途</v>
      </c>
      <c r="R9" s="768" t="s">
        <v>17</v>
      </c>
      <c r="S9" s="769">
        <f t="shared" si="0"/>
        <v>100</v>
      </c>
      <c r="T9" s="768" t="s">
        <v>17</v>
      </c>
      <c r="U9" s="769">
        <f t="shared" si="1"/>
        <v>100</v>
      </c>
      <c r="V9" s="768" t="s">
        <v>17</v>
      </c>
      <c r="W9" s="769">
        <f t="shared" si="2"/>
        <v>100</v>
      </c>
      <c r="X9" s="770"/>
      <c r="Y9" s="3024" t="s">
        <v>2559</v>
      </c>
      <c r="Z9" s="2933" t="str">
        <f t="shared" ref="Z9:Z15" si="7">Q9</f>
        <v>用途</v>
      </c>
      <c r="AA9" s="771">
        <f t="shared" si="3"/>
        <v>1</v>
      </c>
      <c r="AB9" s="771">
        <f t="shared" si="4"/>
        <v>1</v>
      </c>
      <c r="AC9" s="771">
        <f t="shared" si="5"/>
        <v>1</v>
      </c>
    </row>
    <row r="10" spans="1:29" s="426" customFormat="1" ht="27">
      <c r="A10" s="420"/>
      <c r="B10" s="2934" t="s">
        <v>2560</v>
      </c>
      <c r="C10" s="422" t="s">
        <v>3140</v>
      </c>
      <c r="D10" s="134">
        <v>100</v>
      </c>
      <c r="E10" s="423" t="s">
        <v>3140</v>
      </c>
      <c r="F10" s="424">
        <f>SUMIF(65:65,E10,66:66)-SUMIF(65:65,C10,66:66)+100</f>
        <v>100</v>
      </c>
      <c r="G10" s="422" t="s">
        <v>3140</v>
      </c>
      <c r="H10" s="134">
        <f>SUMIF(65:65,G10,66:66)-SUMIF(65:65,C10,66:66)+100</f>
        <v>100</v>
      </c>
      <c r="I10" s="422" t="s">
        <v>3140</v>
      </c>
      <c r="J10" s="134">
        <f>SUMIF(65:65,I10,66:66)-SUMIF(65:65,C10,66:66)+100</f>
        <v>100</v>
      </c>
      <c r="K10" s="425">
        <v>2</v>
      </c>
      <c r="L10" s="1135"/>
      <c r="M10" s="1136"/>
      <c r="N10" s="1136"/>
      <c r="O10" s="1136"/>
      <c r="P10" s="3175"/>
      <c r="Q10" s="2932" t="str">
        <f t="shared" si="6"/>
        <v>土地使用年限（年）</v>
      </c>
      <c r="R10" s="768" t="s">
        <v>17</v>
      </c>
      <c r="S10" s="769">
        <f t="shared" si="0"/>
        <v>100</v>
      </c>
      <c r="T10" s="768" t="s">
        <v>17</v>
      </c>
      <c r="U10" s="769">
        <f t="shared" si="1"/>
        <v>100</v>
      </c>
      <c r="V10" s="768" t="s">
        <v>17</v>
      </c>
      <c r="W10" s="769">
        <f t="shared" si="2"/>
        <v>100</v>
      </c>
      <c r="X10" s="770"/>
      <c r="Y10" s="3024"/>
      <c r="Z10" s="2933" t="str">
        <f t="shared" si="7"/>
        <v>土地使用年限（年）</v>
      </c>
      <c r="AA10" s="771">
        <f t="shared" si="3"/>
        <v>1</v>
      </c>
      <c r="AB10" s="771">
        <f t="shared" si="4"/>
        <v>1</v>
      </c>
      <c r="AC10" s="771">
        <f t="shared" si="5"/>
        <v>1</v>
      </c>
    </row>
    <row r="11" spans="1:29" ht="15.75" thickBot="1">
      <c r="A11" s="427"/>
      <c r="B11" s="2934" t="s">
        <v>2561</v>
      </c>
      <c r="C11" s="428">
        <f>'数据-汇总表'!I4</f>
        <v>2.54</v>
      </c>
      <c r="D11" s="134">
        <v>100</v>
      </c>
      <c r="E11" s="429">
        <v>3</v>
      </c>
      <c r="F11" s="424">
        <f>LOOKUP(E11,68:68,69:69)-LOOKUP(C11,68:68,69:69)+100</f>
        <v>98</v>
      </c>
      <c r="G11" s="428">
        <v>3</v>
      </c>
      <c r="H11" s="134">
        <f>LOOKUP(G11,68:68,69:69)-LOOKUP(C11,68:68,69:69)+100</f>
        <v>98</v>
      </c>
      <c r="I11" s="428">
        <v>1.3</v>
      </c>
      <c r="J11" s="134">
        <f>LOOKUP(I11,68:68,69:69)-LOOKUP(C11,68:68,69:69)+100</f>
        <v>102</v>
      </c>
      <c r="K11" s="425">
        <v>2</v>
      </c>
      <c r="L11" s="1138"/>
      <c r="M11" s="1131"/>
      <c r="N11" s="1131"/>
      <c r="O11" s="1131"/>
      <c r="P11" s="3175"/>
      <c r="Q11" s="2932" t="str">
        <f t="shared" si="6"/>
        <v>容积率</v>
      </c>
      <c r="R11" s="768" t="s">
        <v>21</v>
      </c>
      <c r="S11" s="769">
        <f t="shared" si="0"/>
        <v>98</v>
      </c>
      <c r="T11" s="768" t="s">
        <v>21</v>
      </c>
      <c r="U11" s="769">
        <f t="shared" si="1"/>
        <v>98</v>
      </c>
      <c r="V11" s="768" t="s">
        <v>21</v>
      </c>
      <c r="W11" s="769">
        <f t="shared" si="2"/>
        <v>102</v>
      </c>
      <c r="X11" s="770"/>
      <c r="Y11" s="3024"/>
      <c r="Z11" s="2933" t="str">
        <f t="shared" si="7"/>
        <v>容积率</v>
      </c>
      <c r="AA11" s="771">
        <f t="shared" si="3"/>
        <v>1.0204081632653061</v>
      </c>
      <c r="AB11" s="771">
        <f t="shared" si="4"/>
        <v>1.0204081632653061</v>
      </c>
      <c r="AC11" s="771">
        <f t="shared" si="5"/>
        <v>0.98039215686274506</v>
      </c>
    </row>
    <row r="12" spans="1:29" s="116" customFormat="1" ht="15.75" hidden="1" thickBot="1">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2"/>
      <c r="M12" s="1133"/>
      <c r="N12" s="1133"/>
      <c r="O12" s="1133"/>
      <c r="P12" s="3175"/>
      <c r="Q12" s="2932">
        <f t="shared" si="6"/>
        <v>111</v>
      </c>
      <c r="R12" s="768" t="s">
        <v>21</v>
      </c>
      <c r="S12" s="769">
        <f t="shared" si="0"/>
        <v>100</v>
      </c>
      <c r="T12" s="768" t="s">
        <v>21</v>
      </c>
      <c r="U12" s="769">
        <f t="shared" si="1"/>
        <v>100</v>
      </c>
      <c r="V12" s="768" t="s">
        <v>21</v>
      </c>
      <c r="W12" s="769">
        <f t="shared" si="2"/>
        <v>100</v>
      </c>
      <c r="X12" s="770"/>
      <c r="Y12" s="3024"/>
      <c r="Z12" s="2933">
        <f t="shared" si="7"/>
        <v>111</v>
      </c>
      <c r="AA12" s="771">
        <f>D12/F12</f>
        <v>1</v>
      </c>
      <c r="AB12" s="771">
        <f>D12/H12</f>
        <v>1</v>
      </c>
      <c r="AC12" s="771">
        <f>D12/J12</f>
        <v>1</v>
      </c>
    </row>
    <row r="13" spans="1:29" ht="15.75" hidden="1" thickBot="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175"/>
      <c r="Q13" s="2932">
        <f t="shared" si="6"/>
        <v>111</v>
      </c>
      <c r="R13" s="768" t="s">
        <v>21</v>
      </c>
      <c r="S13" s="769">
        <f t="shared" si="0"/>
        <v>100</v>
      </c>
      <c r="T13" s="768" t="s">
        <v>21</v>
      </c>
      <c r="U13" s="769">
        <f t="shared" si="1"/>
        <v>100</v>
      </c>
      <c r="V13" s="768" t="s">
        <v>21</v>
      </c>
      <c r="W13" s="769">
        <f t="shared" si="2"/>
        <v>100</v>
      </c>
      <c r="X13" s="770"/>
      <c r="Y13" s="3024"/>
      <c r="Z13" s="2933">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175"/>
      <c r="Q14" s="2932">
        <f t="shared" si="6"/>
        <v>111</v>
      </c>
      <c r="R14" s="768" t="s">
        <v>21</v>
      </c>
      <c r="S14" s="769">
        <f t="shared" si="0"/>
        <v>100</v>
      </c>
      <c r="T14" s="768" t="s">
        <v>21</v>
      </c>
      <c r="U14" s="769">
        <f t="shared" si="1"/>
        <v>100</v>
      </c>
      <c r="V14" s="768" t="s">
        <v>21</v>
      </c>
      <c r="W14" s="769">
        <f t="shared" si="2"/>
        <v>100</v>
      </c>
      <c r="X14" s="770"/>
      <c r="Y14" s="3024"/>
      <c r="Z14" s="2933">
        <f t="shared" si="7"/>
        <v>111</v>
      </c>
      <c r="AA14" s="771">
        <f t="shared" si="3"/>
        <v>1</v>
      </c>
      <c r="AB14" s="771">
        <f t="shared" si="4"/>
        <v>1</v>
      </c>
      <c r="AC14" s="771">
        <f t="shared" si="5"/>
        <v>1</v>
      </c>
    </row>
    <row r="15" spans="1:29" ht="99.75">
      <c r="A15" s="439" t="s">
        <v>2562</v>
      </c>
      <c r="B15" s="68" t="s">
        <v>2091</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103</v>
      </c>
      <c r="I15" s="441"/>
      <c r="J15" s="440">
        <f>SUMIF(76:76,I16,77:77)-SUMIF(76:76,C16,77:77)+100</f>
        <v>100</v>
      </c>
      <c r="K15" s="444">
        <v>3</v>
      </c>
      <c r="L15" s="1140"/>
      <c r="M15" s="1131"/>
      <c r="N15" s="1131"/>
      <c r="O15" s="1131"/>
      <c r="P15" s="3219" t="s">
        <v>2563</v>
      </c>
      <c r="Q15" s="2937" t="str">
        <f t="shared" si="6"/>
        <v>居住社区成熟度</v>
      </c>
      <c r="R15" s="772" t="s">
        <v>21</v>
      </c>
      <c r="S15" s="773">
        <f t="shared" si="0"/>
        <v>100</v>
      </c>
      <c r="T15" s="772" t="s">
        <v>21</v>
      </c>
      <c r="U15" s="773">
        <f t="shared" si="1"/>
        <v>103</v>
      </c>
      <c r="V15" s="772" t="s">
        <v>21</v>
      </c>
      <c r="W15" s="773">
        <f t="shared" si="2"/>
        <v>100</v>
      </c>
      <c r="X15" s="2935"/>
      <c r="Y15" s="3178" t="s">
        <v>2563</v>
      </c>
      <c r="Z15" s="2936" t="str">
        <f t="shared" si="7"/>
        <v>居住社区成熟度</v>
      </c>
      <c r="AA15" s="2938">
        <f t="shared" si="3"/>
        <v>1</v>
      </c>
      <c r="AB15" s="2938">
        <f t="shared" si="4"/>
        <v>0.970873786407767</v>
      </c>
      <c r="AC15" s="2938">
        <f t="shared" si="5"/>
        <v>1</v>
      </c>
    </row>
    <row r="16" spans="1:29" ht="15">
      <c r="A16" s="427"/>
      <c r="B16" s="445"/>
      <c r="C16" s="446" t="s">
        <v>3110</v>
      </c>
      <c r="D16" s="447"/>
      <c r="E16" s="2600" t="s">
        <v>3110</v>
      </c>
      <c r="F16" s="447"/>
      <c r="G16" s="2601" t="s">
        <v>3111</v>
      </c>
      <c r="H16" s="449"/>
      <c r="I16" s="2601" t="s">
        <v>3110</v>
      </c>
      <c r="J16" s="447"/>
      <c r="K16" s="2602"/>
      <c r="L16" s="1140"/>
      <c r="M16" s="1131"/>
      <c r="N16" s="1131"/>
      <c r="O16" s="1131"/>
      <c r="P16" s="3220"/>
      <c r="Q16" s="2937"/>
      <c r="R16" s="772"/>
      <c r="S16" s="773"/>
      <c r="T16" s="772"/>
      <c r="U16" s="773"/>
      <c r="V16" s="772"/>
      <c r="W16" s="773"/>
      <c r="X16" s="2935"/>
      <c r="Y16" s="3179"/>
      <c r="Z16" s="2936"/>
      <c r="AA16" s="2938">
        <v>1</v>
      </c>
      <c r="AB16" s="2938">
        <v>1</v>
      </c>
      <c r="AC16" s="2938">
        <v>1</v>
      </c>
    </row>
    <row r="17" spans="1:29" ht="85.5">
      <c r="A17" s="427"/>
      <c r="B17" s="450" t="s">
        <v>2103</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40"/>
      <c r="M17" s="1131"/>
      <c r="N17" s="1131"/>
      <c r="O17" s="1131"/>
      <c r="P17" s="3220"/>
      <c r="Q17" s="2937" t="str">
        <f>B17</f>
        <v>交通便捷度</v>
      </c>
      <c r="R17" s="772" t="s">
        <v>21</v>
      </c>
      <c r="S17" s="773">
        <f>F17</f>
        <v>100</v>
      </c>
      <c r="T17" s="772" t="s">
        <v>21</v>
      </c>
      <c r="U17" s="773">
        <f>H17</f>
        <v>100</v>
      </c>
      <c r="V17" s="772" t="s">
        <v>21</v>
      </c>
      <c r="W17" s="773">
        <f>J17</f>
        <v>100</v>
      </c>
      <c r="X17" s="2935"/>
      <c r="Y17" s="3179"/>
      <c r="Z17" s="2936" t="str">
        <f>Q17</f>
        <v>交通便捷度</v>
      </c>
      <c r="AA17" s="2938">
        <f t="shared" si="3"/>
        <v>1</v>
      </c>
      <c r="AB17" s="2938">
        <f t="shared" si="4"/>
        <v>1</v>
      </c>
      <c r="AC17" s="2938">
        <f t="shared" si="5"/>
        <v>1</v>
      </c>
    </row>
    <row r="18" spans="1:29" ht="15">
      <c r="A18" s="427"/>
      <c r="B18" s="455"/>
      <c r="C18" s="2604" t="s">
        <v>3110</v>
      </c>
      <c r="D18" s="449"/>
      <c r="E18" s="2605" t="s">
        <v>3110</v>
      </c>
      <c r="F18" s="449"/>
      <c r="G18" s="2606" t="s">
        <v>3110</v>
      </c>
      <c r="H18" s="447"/>
      <c r="I18" s="2606" t="s">
        <v>3110</v>
      </c>
      <c r="J18" s="447"/>
      <c r="K18" s="2602"/>
      <c r="L18" s="1140"/>
      <c r="M18" s="1131"/>
      <c r="N18" s="1131"/>
      <c r="O18" s="1131"/>
      <c r="P18" s="3220"/>
      <c r="Q18" s="2937"/>
      <c r="R18" s="772"/>
      <c r="S18" s="773"/>
      <c r="T18" s="772"/>
      <c r="U18" s="773"/>
      <c r="V18" s="772"/>
      <c r="W18" s="773"/>
      <c r="X18" s="2935"/>
      <c r="Y18" s="3179"/>
      <c r="Z18" s="2936"/>
      <c r="AA18" s="2938">
        <v>1</v>
      </c>
      <c r="AB18" s="2938">
        <v>1</v>
      </c>
      <c r="AC18" s="2938">
        <v>1</v>
      </c>
    </row>
    <row r="19" spans="1:29" ht="42.75">
      <c r="A19" s="427"/>
      <c r="B19" s="450" t="s">
        <v>2101</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3</v>
      </c>
      <c r="L19" s="1140"/>
      <c r="M19" s="1131"/>
      <c r="N19" s="1131"/>
      <c r="O19" s="1131"/>
      <c r="P19" s="3220"/>
      <c r="Q19" s="2937" t="str">
        <f>B19</f>
        <v>公共配套设施</v>
      </c>
      <c r="R19" s="772" t="s">
        <v>21</v>
      </c>
      <c r="S19" s="773">
        <f>F19</f>
        <v>100</v>
      </c>
      <c r="T19" s="772" t="s">
        <v>21</v>
      </c>
      <c r="U19" s="773">
        <f>H19</f>
        <v>100</v>
      </c>
      <c r="V19" s="772" t="s">
        <v>21</v>
      </c>
      <c r="W19" s="773">
        <f>J19</f>
        <v>100</v>
      </c>
      <c r="X19" s="2935"/>
      <c r="Y19" s="3179"/>
      <c r="Z19" s="2936" t="str">
        <f>Q19</f>
        <v>公共配套设施</v>
      </c>
      <c r="AA19" s="2938">
        <f t="shared" si="3"/>
        <v>1</v>
      </c>
      <c r="AB19" s="2938">
        <f t="shared" si="4"/>
        <v>1</v>
      </c>
      <c r="AC19" s="2938">
        <f t="shared" si="5"/>
        <v>1</v>
      </c>
    </row>
    <row r="20" spans="1:29" ht="15">
      <c r="A20" s="427"/>
      <c r="B20" s="455"/>
      <c r="C20" s="446" t="s">
        <v>3111</v>
      </c>
      <c r="D20" s="447"/>
      <c r="E20" s="2600" t="s">
        <v>3111</v>
      </c>
      <c r="F20" s="447"/>
      <c r="G20" s="2601" t="s">
        <v>3111</v>
      </c>
      <c r="H20" s="447"/>
      <c r="I20" s="2601" t="s">
        <v>3111</v>
      </c>
      <c r="J20" s="447"/>
      <c r="K20" s="2602"/>
      <c r="L20" s="1140"/>
      <c r="M20" s="1131"/>
      <c r="N20" s="1131"/>
      <c r="O20" s="1131"/>
      <c r="P20" s="3220"/>
      <c r="Q20" s="2937"/>
      <c r="R20" s="772"/>
      <c r="S20" s="773"/>
      <c r="T20" s="772"/>
      <c r="U20" s="773"/>
      <c r="V20" s="772"/>
      <c r="W20" s="773"/>
      <c r="X20" s="2935"/>
      <c r="Y20" s="3179"/>
      <c r="Z20" s="2936"/>
      <c r="AA20" s="2938">
        <v>1</v>
      </c>
      <c r="AB20" s="2938">
        <v>1</v>
      </c>
      <c r="AC20" s="2938">
        <v>1</v>
      </c>
    </row>
    <row r="21" spans="1:29" ht="28.5">
      <c r="A21" s="427"/>
      <c r="B21" s="1384" t="s">
        <v>2104</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40"/>
      <c r="M21" s="1131"/>
      <c r="N21" s="1131"/>
      <c r="O21" s="1131"/>
      <c r="P21" s="3220"/>
      <c r="Q21" s="2937" t="str">
        <f>B21</f>
        <v>基础设施水平</v>
      </c>
      <c r="R21" s="772" t="s">
        <v>17</v>
      </c>
      <c r="S21" s="773">
        <f>F21</f>
        <v>100</v>
      </c>
      <c r="T21" s="772" t="s">
        <v>17</v>
      </c>
      <c r="U21" s="773">
        <f>H21</f>
        <v>100</v>
      </c>
      <c r="V21" s="772" t="s">
        <v>17</v>
      </c>
      <c r="W21" s="773">
        <f>J21</f>
        <v>100</v>
      </c>
      <c r="X21" s="2935"/>
      <c r="Y21" s="3179"/>
      <c r="Z21" s="2936" t="str">
        <f>Q21</f>
        <v>基础设施水平</v>
      </c>
      <c r="AA21" s="2938">
        <f t="shared" ref="AA21" si="8">D21/F21</f>
        <v>1</v>
      </c>
      <c r="AB21" s="2938">
        <f t="shared" ref="AB21" si="9">D21/H21</f>
        <v>1</v>
      </c>
      <c r="AC21" s="2938">
        <f t="shared" ref="AC21" si="10">D21/J21</f>
        <v>1</v>
      </c>
    </row>
    <row r="22" spans="1:29" ht="15">
      <c r="A22" s="427"/>
      <c r="B22" s="1384"/>
      <c r="C22" s="2604" t="s">
        <v>3112</v>
      </c>
      <c r="D22" s="447"/>
      <c r="E22" s="446" t="s">
        <v>3112</v>
      </c>
      <c r="F22" s="447"/>
      <c r="G22" s="2607" t="s">
        <v>3112</v>
      </c>
      <c r="H22" s="447"/>
      <c r="I22" s="446" t="s">
        <v>3112</v>
      </c>
      <c r="J22" s="447"/>
      <c r="K22" s="2608"/>
      <c r="L22" s="1140"/>
      <c r="M22" s="1131"/>
      <c r="N22" s="1131"/>
      <c r="O22" s="1131"/>
      <c r="P22" s="3220"/>
      <c r="Q22" s="2937"/>
      <c r="R22" s="772"/>
      <c r="S22" s="773"/>
      <c r="T22" s="772"/>
      <c r="U22" s="773"/>
      <c r="V22" s="772"/>
      <c r="W22" s="773"/>
      <c r="X22" s="2935"/>
      <c r="Y22" s="3179"/>
      <c r="Z22" s="2936"/>
      <c r="AA22" s="2938">
        <v>1</v>
      </c>
      <c r="AB22" s="2938">
        <v>1</v>
      </c>
      <c r="AC22" s="2938">
        <v>1</v>
      </c>
    </row>
    <row r="23" spans="1:29" ht="57">
      <c r="A23" s="427"/>
      <c r="B23" s="450" t="s">
        <v>2108</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0"/>
      <c r="M23" s="1131"/>
      <c r="N23" s="1131"/>
      <c r="O23" s="1131"/>
      <c r="P23" s="3220"/>
      <c r="Q23" s="2937" t="str">
        <f>B23</f>
        <v>自然及人文环境</v>
      </c>
      <c r="R23" s="772" t="s">
        <v>21</v>
      </c>
      <c r="S23" s="773">
        <f>F23</f>
        <v>100</v>
      </c>
      <c r="T23" s="772" t="s">
        <v>21</v>
      </c>
      <c r="U23" s="773">
        <f>H23</f>
        <v>100</v>
      </c>
      <c r="V23" s="772" t="s">
        <v>21</v>
      </c>
      <c r="W23" s="773">
        <f>J23</f>
        <v>100</v>
      </c>
      <c r="X23" s="2935"/>
      <c r="Y23" s="3179"/>
      <c r="Z23" s="2936" t="str">
        <f>Q23</f>
        <v>自然及人文环境</v>
      </c>
      <c r="AA23" s="2938">
        <f>D23/F23</f>
        <v>1</v>
      </c>
      <c r="AB23" s="2938">
        <f>D23/H23</f>
        <v>1</v>
      </c>
      <c r="AC23" s="2938">
        <f>D23/J23</f>
        <v>1</v>
      </c>
    </row>
    <row r="24" spans="1:29" ht="15.75" thickBot="1">
      <c r="A24" s="427"/>
      <c r="B24" s="455"/>
      <c r="C24" s="446" t="s">
        <v>3111</v>
      </c>
      <c r="D24" s="447"/>
      <c r="E24" s="2600" t="s">
        <v>3111</v>
      </c>
      <c r="F24" s="447"/>
      <c r="G24" s="2601" t="s">
        <v>3111</v>
      </c>
      <c r="H24" s="447"/>
      <c r="I24" s="2601" t="s">
        <v>3111</v>
      </c>
      <c r="J24" s="447"/>
      <c r="K24" s="2602"/>
      <c r="L24" s="1140"/>
      <c r="M24" s="1131"/>
      <c r="N24" s="1131"/>
      <c r="O24" s="1131"/>
      <c r="P24" s="3220"/>
      <c r="Q24" s="2937"/>
      <c r="R24" s="772"/>
      <c r="S24" s="773"/>
      <c r="T24" s="772"/>
      <c r="U24" s="773"/>
      <c r="V24" s="772"/>
      <c r="W24" s="773"/>
      <c r="X24" s="2935"/>
      <c r="Y24" s="3179"/>
      <c r="Z24" s="2936"/>
      <c r="AA24" s="2938">
        <v>1</v>
      </c>
      <c r="AB24" s="2938">
        <v>1</v>
      </c>
      <c r="AC24" s="2938">
        <v>1</v>
      </c>
    </row>
    <row r="25" spans="1:29" ht="15.75" hidden="1" thickBot="1">
      <c r="A25" s="427"/>
      <c r="B25" s="2934"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40"/>
      <c r="M25" s="1131"/>
      <c r="N25" s="1131"/>
      <c r="O25" s="1131"/>
      <c r="P25" s="3220"/>
      <c r="Q25" s="2937" t="str">
        <f t="shared" ref="Q25:Q46" si="11">B25</f>
        <v>楼层-1</v>
      </c>
      <c r="R25" s="772" t="s">
        <v>21</v>
      </c>
      <c r="S25" s="773">
        <f t="shared" ref="S25:S46" si="12">F25</f>
        <v>100</v>
      </c>
      <c r="T25" s="772" t="s">
        <v>21</v>
      </c>
      <c r="U25" s="773">
        <f t="shared" ref="U25:U46" si="13">H25</f>
        <v>100</v>
      </c>
      <c r="V25" s="772" t="s">
        <v>21</v>
      </c>
      <c r="W25" s="773">
        <f t="shared" ref="W25:W46" si="14">J25</f>
        <v>100</v>
      </c>
      <c r="X25" s="2935"/>
      <c r="Y25" s="3179"/>
      <c r="Z25" s="2936" t="str">
        <f>Q25</f>
        <v>楼层-1</v>
      </c>
      <c r="AA25" s="2938">
        <f t="shared" ref="AA25:AA46" si="15">D25/F25</f>
        <v>1</v>
      </c>
      <c r="AB25" s="2938">
        <f t="shared" ref="AB25:AB46" si="16">D25/H25</f>
        <v>1</v>
      </c>
      <c r="AC25" s="2938">
        <f t="shared" ref="AC25:AC46" si="17">D25/J25</f>
        <v>1</v>
      </c>
    </row>
    <row r="26" spans="1:29" ht="15.75" hidden="1" thickBot="1">
      <c r="A26" s="427"/>
      <c r="B26" s="2934"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40"/>
      <c r="M26" s="1131"/>
      <c r="N26" s="1131"/>
      <c r="O26" s="1131"/>
      <c r="P26" s="3220"/>
      <c r="Q26" s="2937" t="str">
        <f t="shared" si="11"/>
        <v>朝向</v>
      </c>
      <c r="R26" s="772" t="s">
        <v>21</v>
      </c>
      <c r="S26" s="773">
        <f t="shared" si="12"/>
        <v>100</v>
      </c>
      <c r="T26" s="772" t="s">
        <v>21</v>
      </c>
      <c r="U26" s="773">
        <f t="shared" si="13"/>
        <v>100</v>
      </c>
      <c r="V26" s="772" t="s">
        <v>21</v>
      </c>
      <c r="W26" s="773">
        <f t="shared" si="14"/>
        <v>100</v>
      </c>
      <c r="X26" s="2935"/>
      <c r="Y26" s="3179"/>
      <c r="Z26" s="2936" t="str">
        <f>Q26</f>
        <v>朝向</v>
      </c>
      <c r="AA26" s="2938">
        <f t="shared" si="15"/>
        <v>1</v>
      </c>
      <c r="AB26" s="2938">
        <f t="shared" si="16"/>
        <v>1</v>
      </c>
      <c r="AC26" s="2938">
        <f t="shared" si="17"/>
        <v>1</v>
      </c>
    </row>
    <row r="27" spans="1:29" s="116" customFormat="1" ht="15.75" hidden="1" thickBot="1">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7"/>
      <c r="L27" s="1132"/>
      <c r="M27" s="1133"/>
      <c r="N27" s="1133"/>
      <c r="O27" s="1133"/>
      <c r="P27" s="3220"/>
      <c r="Q27" s="2932">
        <f t="shared" si="11"/>
        <v>111</v>
      </c>
      <c r="R27" s="768" t="s">
        <v>21</v>
      </c>
      <c r="S27" s="769">
        <f t="shared" si="12"/>
        <v>100</v>
      </c>
      <c r="T27" s="768" t="s">
        <v>21</v>
      </c>
      <c r="U27" s="769">
        <f t="shared" si="13"/>
        <v>100</v>
      </c>
      <c r="V27" s="768" t="s">
        <v>21</v>
      </c>
      <c r="W27" s="769">
        <f t="shared" si="14"/>
        <v>100</v>
      </c>
      <c r="X27" s="770"/>
      <c r="Y27" s="3179"/>
      <c r="Z27" s="2933">
        <f>Q27</f>
        <v>111</v>
      </c>
      <c r="AA27" s="2938">
        <f t="shared" si="15"/>
        <v>1</v>
      </c>
      <c r="AB27" s="2938">
        <f t="shared" si="16"/>
        <v>1</v>
      </c>
      <c r="AC27" s="2938">
        <f t="shared" si="17"/>
        <v>1</v>
      </c>
    </row>
    <row r="28" spans="1:29" ht="15.75" hidden="1" thickBot="1">
      <c r="A28" s="427"/>
      <c r="B28" s="1386">
        <v>111</v>
      </c>
      <c r="C28" s="433"/>
      <c r="D28" s="434">
        <v>100</v>
      </c>
      <c r="E28" s="433"/>
      <c r="F28" s="434">
        <f>SUMIF(92:92,E28,93:93)-SUMIF(92:92,C28,93:93)+100</f>
        <v>100</v>
      </c>
      <c r="G28" s="2611"/>
      <c r="H28" s="434">
        <f>SUMIF(92:92,G28,93:93)-SUMIF(92:92,C28,93:93)+100</f>
        <v>100</v>
      </c>
      <c r="I28" s="433"/>
      <c r="J28" s="434">
        <f>SUMIF(92:92,I28,93:93)-SUMIF(92:92,C28,93:93)+100</f>
        <v>100</v>
      </c>
      <c r="K28" s="2597"/>
      <c r="L28" s="1140"/>
      <c r="M28" s="1131"/>
      <c r="N28" s="1131"/>
      <c r="O28" s="1131"/>
      <c r="P28" s="3220"/>
      <c r="Q28" s="2937">
        <f t="shared" si="11"/>
        <v>111</v>
      </c>
      <c r="R28" s="772" t="s">
        <v>21</v>
      </c>
      <c r="S28" s="773">
        <f t="shared" si="12"/>
        <v>100</v>
      </c>
      <c r="T28" s="772" t="s">
        <v>21</v>
      </c>
      <c r="U28" s="773">
        <f t="shared" si="13"/>
        <v>100</v>
      </c>
      <c r="V28" s="772" t="s">
        <v>21</v>
      </c>
      <c r="W28" s="773">
        <f t="shared" si="14"/>
        <v>100</v>
      </c>
      <c r="X28" s="2935"/>
      <c r="Y28" s="3179"/>
      <c r="Z28" s="2936">
        <f t="shared" ref="Z28:Z46" si="18">Q28</f>
        <v>111</v>
      </c>
      <c r="AA28" s="2938">
        <f t="shared" si="15"/>
        <v>1</v>
      </c>
      <c r="AB28" s="2938">
        <f t="shared" si="16"/>
        <v>1</v>
      </c>
      <c r="AC28" s="2938">
        <f t="shared" si="17"/>
        <v>1</v>
      </c>
    </row>
    <row r="29" spans="1:29" ht="15.75" hidden="1" thickBot="1">
      <c r="A29" s="427"/>
      <c r="B29" s="1386">
        <v>111</v>
      </c>
      <c r="C29" s="433"/>
      <c r="D29" s="434">
        <v>100</v>
      </c>
      <c r="E29" s="433"/>
      <c r="F29" s="434">
        <f>SUMIF(94:94,E29,95:95)-SUMIF(94:94,C29,95:95)+100</f>
        <v>100</v>
      </c>
      <c r="G29" s="2611"/>
      <c r="H29" s="434">
        <f>SUMIF(94:94,G29,95:95)-SUMIF(94:94,C29,95:95)+100</f>
        <v>100</v>
      </c>
      <c r="I29" s="433"/>
      <c r="J29" s="434">
        <f>SUMIF(94:94,I29,95:95)-SUMIF(94:94,C29,95:95)+100</f>
        <v>100</v>
      </c>
      <c r="K29" s="2597"/>
      <c r="L29" s="1140"/>
      <c r="M29" s="1131"/>
      <c r="N29" s="1131"/>
      <c r="O29" s="1131"/>
      <c r="P29" s="3220"/>
      <c r="Q29" s="2937">
        <f t="shared" si="11"/>
        <v>111</v>
      </c>
      <c r="R29" s="772" t="s">
        <v>21</v>
      </c>
      <c r="S29" s="773">
        <f t="shared" si="12"/>
        <v>100</v>
      </c>
      <c r="T29" s="772" t="s">
        <v>21</v>
      </c>
      <c r="U29" s="773">
        <f t="shared" si="13"/>
        <v>100</v>
      </c>
      <c r="V29" s="772" t="s">
        <v>21</v>
      </c>
      <c r="W29" s="773">
        <f t="shared" si="14"/>
        <v>100</v>
      </c>
      <c r="X29" s="2935"/>
      <c r="Y29" s="3179"/>
      <c r="Z29" s="2936">
        <f t="shared" si="18"/>
        <v>111</v>
      </c>
      <c r="AA29" s="2938">
        <f t="shared" si="15"/>
        <v>1</v>
      </c>
      <c r="AB29" s="2938">
        <f t="shared" si="16"/>
        <v>1</v>
      </c>
      <c r="AC29" s="2938">
        <f t="shared" si="17"/>
        <v>1</v>
      </c>
    </row>
    <row r="30" spans="1:29" ht="15.75" hidden="1" thickBot="1">
      <c r="A30" s="427"/>
      <c r="B30" s="1386">
        <v>111</v>
      </c>
      <c r="C30" s="433"/>
      <c r="D30" s="434">
        <v>100</v>
      </c>
      <c r="E30" s="433"/>
      <c r="F30" s="434">
        <f>SUMIF(96:96,E30,97:97)-SUMIF(96:96,C30,97:97)+100</f>
        <v>100</v>
      </c>
      <c r="G30" s="2611"/>
      <c r="H30" s="434">
        <f>SUMIF(96:96,G30,97:97)-SUMIF(96:96,C30,97:97)+100</f>
        <v>100</v>
      </c>
      <c r="I30" s="433"/>
      <c r="J30" s="434">
        <f>SUMIF(96:96,I30,97:97)-SUMIF(96:96,C30,97:97)+100</f>
        <v>100</v>
      </c>
      <c r="K30" s="2597"/>
      <c r="L30" s="1140"/>
      <c r="M30" s="1131"/>
      <c r="N30" s="1131"/>
      <c r="O30" s="1131"/>
      <c r="P30" s="3220"/>
      <c r="Q30" s="2937">
        <f t="shared" si="11"/>
        <v>111</v>
      </c>
      <c r="R30" s="772" t="s">
        <v>21</v>
      </c>
      <c r="S30" s="773">
        <f t="shared" si="12"/>
        <v>100</v>
      </c>
      <c r="T30" s="772" t="s">
        <v>21</v>
      </c>
      <c r="U30" s="773">
        <f t="shared" si="13"/>
        <v>100</v>
      </c>
      <c r="V30" s="772" t="s">
        <v>21</v>
      </c>
      <c r="W30" s="773">
        <f t="shared" si="14"/>
        <v>100</v>
      </c>
      <c r="X30" s="2935"/>
      <c r="Y30" s="3179"/>
      <c r="Z30" s="2936">
        <f t="shared" si="18"/>
        <v>111</v>
      </c>
      <c r="AA30" s="2938">
        <f t="shared" si="15"/>
        <v>1</v>
      </c>
      <c r="AB30" s="2938">
        <f t="shared" si="16"/>
        <v>1</v>
      </c>
      <c r="AC30" s="2938">
        <f t="shared" si="17"/>
        <v>1</v>
      </c>
    </row>
    <row r="31" spans="1:29" ht="15.75" hidden="1" thickBot="1">
      <c r="A31" s="435"/>
      <c r="B31" s="1386">
        <v>111</v>
      </c>
      <c r="C31" s="436"/>
      <c r="D31" s="437">
        <v>100</v>
      </c>
      <c r="E31" s="436"/>
      <c r="F31" s="437">
        <f>SUMIF(98:98,E31,99:99)-SUMIF(98:98,C31,99:99)+100</f>
        <v>100</v>
      </c>
      <c r="G31" s="2612"/>
      <c r="H31" s="437">
        <f>SUMIF(98:98,G31,99:99)-SUMIF(98:98,C31,99:99)+100</f>
        <v>100</v>
      </c>
      <c r="I31" s="436"/>
      <c r="J31" s="437">
        <f>SUMIF(98:98,I31,99:99)-SUMIF(98:98,C31,99:99)+100</f>
        <v>100</v>
      </c>
      <c r="K31" s="2597"/>
      <c r="L31" s="1140"/>
      <c r="M31" s="1131"/>
      <c r="N31" s="1131"/>
      <c r="O31" s="1131"/>
      <c r="P31" s="3220"/>
      <c r="Q31" s="2937">
        <f t="shared" si="11"/>
        <v>111</v>
      </c>
      <c r="R31" s="772" t="s">
        <v>21</v>
      </c>
      <c r="S31" s="773">
        <f t="shared" si="12"/>
        <v>100</v>
      </c>
      <c r="T31" s="772" t="s">
        <v>21</v>
      </c>
      <c r="U31" s="773">
        <f t="shared" si="13"/>
        <v>100</v>
      </c>
      <c r="V31" s="772" t="s">
        <v>21</v>
      </c>
      <c r="W31" s="773">
        <f t="shared" si="14"/>
        <v>100</v>
      </c>
      <c r="X31" s="2935"/>
      <c r="Y31" s="3179"/>
      <c r="Z31" s="2936">
        <f t="shared" si="18"/>
        <v>111</v>
      </c>
      <c r="AA31" s="2938">
        <f t="shared" si="15"/>
        <v>1</v>
      </c>
      <c r="AB31" s="2938">
        <f t="shared" si="16"/>
        <v>1</v>
      </c>
      <c r="AC31" s="2938">
        <f t="shared" si="17"/>
        <v>1</v>
      </c>
    </row>
    <row r="32" spans="1:29" ht="15">
      <c r="A32" s="439" t="s">
        <v>2566</v>
      </c>
      <c r="B32" s="70" t="s">
        <v>2567</v>
      </c>
      <c r="C32" s="2613" t="s">
        <v>3141</v>
      </c>
      <c r="D32" s="466">
        <v>100</v>
      </c>
      <c r="E32" s="2613" t="s">
        <v>3141</v>
      </c>
      <c r="F32" s="460">
        <f>SUMIF(100:100,E32,101:101)-SUMIF(100:100,C32,101:101)+100</f>
        <v>100</v>
      </c>
      <c r="G32" s="2613" t="s">
        <v>3141</v>
      </c>
      <c r="H32" s="466">
        <f>SUMIF(100:100,G32,101:101)-SUMIF(100:100,C32,101:101)+100</f>
        <v>100</v>
      </c>
      <c r="I32" s="2613" t="s">
        <v>3141</v>
      </c>
      <c r="J32" s="434">
        <f>SUMIF(100:100,I32,101:101)-SUMIF(100:100,C32,101:101)+100</f>
        <v>100</v>
      </c>
      <c r="K32" s="425"/>
      <c r="L32" s="1140"/>
      <c r="M32" s="1131"/>
      <c r="N32" s="1131"/>
      <c r="O32" s="1131"/>
      <c r="P32" s="3221" t="s">
        <v>2568</v>
      </c>
      <c r="Q32" s="2937" t="str">
        <f t="shared" si="11"/>
        <v>建筑类型</v>
      </c>
      <c r="R32" s="772" t="s">
        <v>21</v>
      </c>
      <c r="S32" s="773">
        <f t="shared" si="12"/>
        <v>100</v>
      </c>
      <c r="T32" s="772" t="s">
        <v>21</v>
      </c>
      <c r="U32" s="773">
        <f t="shared" si="13"/>
        <v>100</v>
      </c>
      <c r="V32" s="772" t="s">
        <v>21</v>
      </c>
      <c r="W32" s="773">
        <f t="shared" si="14"/>
        <v>100</v>
      </c>
      <c r="X32" s="2935"/>
      <c r="Y32" s="3181" t="s">
        <v>2568</v>
      </c>
      <c r="Z32" s="2936" t="str">
        <f t="shared" si="18"/>
        <v>建筑类型</v>
      </c>
      <c r="AA32" s="2938">
        <f t="shared" si="15"/>
        <v>1</v>
      </c>
      <c r="AB32" s="2938">
        <f t="shared" si="16"/>
        <v>1</v>
      </c>
      <c r="AC32" s="2938">
        <f t="shared" si="17"/>
        <v>1</v>
      </c>
    </row>
    <row r="33" spans="1:29" s="470" customFormat="1" ht="15">
      <c r="A33" s="467"/>
      <c r="B33" s="2934" t="s">
        <v>2569</v>
      </c>
      <c r="C33" s="468">
        <f>'数据-基础表'!B3</f>
        <v>131497.4</v>
      </c>
      <c r="D33" s="134">
        <v>100</v>
      </c>
      <c r="E33" s="429">
        <v>450000</v>
      </c>
      <c r="F33" s="424">
        <f>LOOKUP(E33,103:103,104:104)-LOOKUP(C33,103:103,104:104)+100</f>
        <v>102</v>
      </c>
      <c r="G33" s="428">
        <v>477270</v>
      </c>
      <c r="H33" s="134">
        <f>LOOKUP(G33,103:103,104:104)-LOOKUP(C33,103:103,104:104)+100</f>
        <v>102</v>
      </c>
      <c r="I33" s="429">
        <v>387000</v>
      </c>
      <c r="J33" s="134">
        <f>LOOKUP(I33,103:103,104:104)-LOOKUP(C33,103:103,104:104)+100</f>
        <v>101</v>
      </c>
      <c r="K33" s="2597"/>
      <c r="L33" s="1138"/>
      <c r="M33" s="1141"/>
      <c r="N33" s="1141"/>
      <c r="O33" s="1141"/>
      <c r="P33" s="3222"/>
      <c r="Q33" s="774" t="str">
        <f t="shared" si="11"/>
        <v>项目建筑规模</v>
      </c>
      <c r="R33" s="775" t="s">
        <v>21</v>
      </c>
      <c r="S33" s="776">
        <f t="shared" si="12"/>
        <v>102</v>
      </c>
      <c r="T33" s="775" t="s">
        <v>21</v>
      </c>
      <c r="U33" s="776">
        <f t="shared" si="13"/>
        <v>102</v>
      </c>
      <c r="V33" s="775" t="s">
        <v>21</v>
      </c>
      <c r="W33" s="776">
        <f t="shared" si="14"/>
        <v>101</v>
      </c>
      <c r="X33" s="777"/>
      <c r="Y33" s="3181"/>
      <c r="Z33" s="778" t="str">
        <f t="shared" si="18"/>
        <v>项目建筑规模</v>
      </c>
      <c r="AA33" s="2938">
        <f t="shared" si="15"/>
        <v>0.98039215686274506</v>
      </c>
      <c r="AB33" s="2938">
        <f t="shared" si="16"/>
        <v>0.98039215686274506</v>
      </c>
      <c r="AC33" s="2938">
        <f t="shared" si="17"/>
        <v>0.99009900990099009</v>
      </c>
    </row>
    <row r="34" spans="1:29" ht="15">
      <c r="A34" s="471"/>
      <c r="B34" s="2934" t="s">
        <v>2570</v>
      </c>
      <c r="C34" s="2614" t="s">
        <v>3134</v>
      </c>
      <c r="D34" s="434">
        <v>100</v>
      </c>
      <c r="E34" s="2614" t="s">
        <v>3134</v>
      </c>
      <c r="F34" s="460">
        <f>SUMIF(105:105,E34,106:106)-SUMIF(105:105,C34,106:106)+100</f>
        <v>100</v>
      </c>
      <c r="G34" s="2614" t="s">
        <v>3134</v>
      </c>
      <c r="H34" s="434">
        <f>SUMIF(105:105,G34,106:106)-SUMIF(105:105,C34,106:106)+100</f>
        <v>100</v>
      </c>
      <c r="I34" s="2614" t="s">
        <v>3134</v>
      </c>
      <c r="J34" s="434">
        <f>SUMIF(105:105,I34,106:106)-SUMIF(105:105,C34,106:106)+100</f>
        <v>100</v>
      </c>
      <c r="K34" s="425"/>
      <c r="L34" s="1140"/>
      <c r="M34" s="1131"/>
      <c r="N34" s="1131"/>
      <c r="O34" s="1131"/>
      <c r="P34" s="3222"/>
      <c r="Q34" s="2937" t="str">
        <f t="shared" si="11"/>
        <v>建筑结构</v>
      </c>
      <c r="R34" s="772" t="s">
        <v>21</v>
      </c>
      <c r="S34" s="773">
        <f t="shared" si="12"/>
        <v>100</v>
      </c>
      <c r="T34" s="772" t="s">
        <v>21</v>
      </c>
      <c r="U34" s="773">
        <f t="shared" si="13"/>
        <v>100</v>
      </c>
      <c r="V34" s="772" t="s">
        <v>21</v>
      </c>
      <c r="W34" s="773">
        <f t="shared" si="14"/>
        <v>100</v>
      </c>
      <c r="X34" s="2935"/>
      <c r="Y34" s="3181"/>
      <c r="Z34" s="2936" t="str">
        <f t="shared" si="18"/>
        <v>建筑结构</v>
      </c>
      <c r="AA34" s="2938">
        <f t="shared" si="15"/>
        <v>1</v>
      </c>
      <c r="AB34" s="2938">
        <f t="shared" si="16"/>
        <v>1</v>
      </c>
      <c r="AC34" s="2938">
        <f t="shared" si="17"/>
        <v>1</v>
      </c>
    </row>
    <row r="35" spans="1:29" ht="15">
      <c r="A35" s="471"/>
      <c r="B35" s="2934" t="s">
        <v>2571</v>
      </c>
      <c r="C35" s="2609" t="s">
        <v>3144</v>
      </c>
      <c r="D35" s="434">
        <v>100</v>
      </c>
      <c r="E35" s="2609" t="s">
        <v>3144</v>
      </c>
      <c r="F35" s="460">
        <f>SUMIF(107:107,E35,108:108)-SUMIF(107:107,C35,108:108)+100</f>
        <v>100</v>
      </c>
      <c r="G35" s="2609" t="s">
        <v>3144</v>
      </c>
      <c r="H35" s="434">
        <f>SUMIF(107:107,G35,108:108)-SUMIF(107:107,C35,108:108)+100</f>
        <v>100</v>
      </c>
      <c r="I35" s="2609" t="s">
        <v>3144</v>
      </c>
      <c r="J35" s="434">
        <f>SUMIF(107:107,I35,108:108)-SUMIF(107:107,C35,108:108)+100</f>
        <v>100</v>
      </c>
      <c r="K35" s="425"/>
      <c r="L35" s="1140"/>
      <c r="M35" s="1131"/>
      <c r="N35" s="1131"/>
      <c r="O35" s="1131"/>
      <c r="P35" s="3222"/>
      <c r="Q35" s="2937" t="str">
        <f t="shared" si="11"/>
        <v>建筑品质</v>
      </c>
      <c r="R35" s="772" t="s">
        <v>21</v>
      </c>
      <c r="S35" s="773">
        <f t="shared" si="12"/>
        <v>100</v>
      </c>
      <c r="T35" s="772" t="s">
        <v>21</v>
      </c>
      <c r="U35" s="773">
        <f t="shared" si="13"/>
        <v>100</v>
      </c>
      <c r="V35" s="772" t="s">
        <v>21</v>
      </c>
      <c r="W35" s="773">
        <f t="shared" si="14"/>
        <v>100</v>
      </c>
      <c r="X35" s="2935"/>
      <c r="Y35" s="3181"/>
      <c r="Z35" s="2936" t="str">
        <f t="shared" si="18"/>
        <v>建筑品质</v>
      </c>
      <c r="AA35" s="2938">
        <f t="shared" si="15"/>
        <v>1</v>
      </c>
      <c r="AB35" s="2938">
        <f t="shared" si="16"/>
        <v>1</v>
      </c>
      <c r="AC35" s="2938">
        <f t="shared" si="17"/>
        <v>1</v>
      </c>
    </row>
    <row r="36" spans="1:29" ht="15">
      <c r="A36" s="471"/>
      <c r="B36" s="2934" t="s">
        <v>2572</v>
      </c>
      <c r="C36" s="2609" t="s">
        <v>3146</v>
      </c>
      <c r="D36" s="434">
        <v>100</v>
      </c>
      <c r="E36" s="2609" t="s">
        <v>3146</v>
      </c>
      <c r="F36" s="460">
        <f>SUMIF(109:109,E36,110:110)-SUMIF(109:109,C36,110:110)+100</f>
        <v>100</v>
      </c>
      <c r="G36" s="2609" t="s">
        <v>3146</v>
      </c>
      <c r="H36" s="434">
        <f>SUMIF(109:109,G36,110:110)-SUMIF(109:109,C36,110:110)+100</f>
        <v>100</v>
      </c>
      <c r="I36" s="2609" t="s">
        <v>3146</v>
      </c>
      <c r="J36" s="434">
        <f>SUMIF(109:109,I36,110:110)-SUMIF(109:109,C36,110:110)+100</f>
        <v>100</v>
      </c>
      <c r="K36" s="425"/>
      <c r="L36" s="1140"/>
      <c r="M36" s="1131"/>
      <c r="N36" s="1131"/>
      <c r="O36" s="1131"/>
      <c r="P36" s="3222"/>
      <c r="Q36" s="2937" t="str">
        <f t="shared" si="11"/>
        <v>公共部分装修</v>
      </c>
      <c r="R36" s="772" t="s">
        <v>21</v>
      </c>
      <c r="S36" s="773">
        <f t="shared" si="12"/>
        <v>100</v>
      </c>
      <c r="T36" s="772" t="s">
        <v>21</v>
      </c>
      <c r="U36" s="773">
        <f t="shared" si="13"/>
        <v>100</v>
      </c>
      <c r="V36" s="772" t="s">
        <v>21</v>
      </c>
      <c r="W36" s="773">
        <f t="shared" si="14"/>
        <v>100</v>
      </c>
      <c r="X36" s="2935"/>
      <c r="Y36" s="3181"/>
      <c r="Z36" s="2936" t="str">
        <f t="shared" si="18"/>
        <v>公共部分装修</v>
      </c>
      <c r="AA36" s="2938">
        <f t="shared" si="15"/>
        <v>1</v>
      </c>
      <c r="AB36" s="2938">
        <f t="shared" si="16"/>
        <v>1</v>
      </c>
      <c r="AC36" s="2938">
        <f t="shared" si="17"/>
        <v>1</v>
      </c>
    </row>
    <row r="37" spans="1:29" s="116" customFormat="1" ht="15">
      <c r="A37" s="472"/>
      <c r="B37" s="2934" t="s">
        <v>2573</v>
      </c>
      <c r="C37" s="473">
        <v>1</v>
      </c>
      <c r="D37" s="134">
        <v>100</v>
      </c>
      <c r="E37" s="473">
        <v>1</v>
      </c>
      <c r="F37" s="424">
        <f>LOOKUP(E37,112:112,113:113)-LOOKUP(C37,112:112,113:113)+100</f>
        <v>100</v>
      </c>
      <c r="G37" s="473">
        <v>1</v>
      </c>
      <c r="H37" s="134">
        <f>LOOKUP(G37,112:112,113:113)-LOOKUP(C37,112:112,113:113)+100</f>
        <v>100</v>
      </c>
      <c r="I37" s="473">
        <v>1</v>
      </c>
      <c r="J37" s="134">
        <f>LOOKUP(I37,112:112,113:113)-LOOKUP(C37,112:112,113:113)+100</f>
        <v>100</v>
      </c>
      <c r="K37" s="425"/>
      <c r="L37" s="1132"/>
      <c r="M37" s="1133"/>
      <c r="N37" s="1133"/>
      <c r="O37" s="1133"/>
      <c r="P37" s="3222"/>
      <c r="Q37" s="2932" t="str">
        <f t="shared" si="11"/>
        <v>成新度</v>
      </c>
      <c r="R37" s="768" t="s">
        <v>21</v>
      </c>
      <c r="S37" s="769">
        <f t="shared" si="12"/>
        <v>100</v>
      </c>
      <c r="T37" s="768" t="s">
        <v>21</v>
      </c>
      <c r="U37" s="769">
        <f t="shared" si="13"/>
        <v>100</v>
      </c>
      <c r="V37" s="768" t="s">
        <v>21</v>
      </c>
      <c r="W37" s="769">
        <f t="shared" si="14"/>
        <v>100</v>
      </c>
      <c r="X37" s="770"/>
      <c r="Y37" s="3181"/>
      <c r="Z37" s="2933" t="str">
        <f t="shared" si="18"/>
        <v>成新度</v>
      </c>
      <c r="AA37" s="771">
        <f t="shared" si="15"/>
        <v>1</v>
      </c>
      <c r="AB37" s="771">
        <f t="shared" si="16"/>
        <v>1</v>
      </c>
      <c r="AC37" s="771">
        <f t="shared" si="17"/>
        <v>1</v>
      </c>
    </row>
    <row r="38" spans="1:29" ht="15">
      <c r="A38" s="471"/>
      <c r="B38" s="2934" t="s">
        <v>2574</v>
      </c>
      <c r="C38" s="2609" t="s">
        <v>3148</v>
      </c>
      <c r="D38" s="434">
        <v>100</v>
      </c>
      <c r="E38" s="2609" t="s">
        <v>3148</v>
      </c>
      <c r="F38" s="460">
        <f>SUMIF(114:114,E38,115:115)-SUMIF(114:114,C38,115:115)+100</f>
        <v>100</v>
      </c>
      <c r="G38" s="2609" t="s">
        <v>3148</v>
      </c>
      <c r="H38" s="434">
        <f>SUMIF(114:114,G38,115:115)-SUMIF(114:114,C38,115:115)+100</f>
        <v>100</v>
      </c>
      <c r="I38" s="2609" t="s">
        <v>3148</v>
      </c>
      <c r="J38" s="434">
        <f>SUMIF(114:114,I38,115:115)-SUMIF(114:114,C38,115:115)+100</f>
        <v>100</v>
      </c>
      <c r="K38" s="425"/>
      <c r="L38" s="1140"/>
      <c r="M38" s="1131"/>
      <c r="N38" s="1131"/>
      <c r="O38" s="1131"/>
      <c r="P38" s="3222" t="s">
        <v>2568</v>
      </c>
      <c r="Q38" s="2937" t="str">
        <f t="shared" si="11"/>
        <v>物业管理</v>
      </c>
      <c r="R38" s="772" t="s">
        <v>21</v>
      </c>
      <c r="S38" s="773">
        <f t="shared" si="12"/>
        <v>100</v>
      </c>
      <c r="T38" s="772" t="s">
        <v>21</v>
      </c>
      <c r="U38" s="773">
        <f t="shared" si="13"/>
        <v>100</v>
      </c>
      <c r="V38" s="772" t="s">
        <v>21</v>
      </c>
      <c r="W38" s="773">
        <f t="shared" si="14"/>
        <v>100</v>
      </c>
      <c r="X38" s="2935"/>
      <c r="Y38" s="3181" t="s">
        <v>2568</v>
      </c>
      <c r="Z38" s="2936" t="str">
        <f t="shared" si="18"/>
        <v>物业管理</v>
      </c>
      <c r="AA38" s="2938">
        <f t="shared" si="15"/>
        <v>1</v>
      </c>
      <c r="AB38" s="2938">
        <f t="shared" si="16"/>
        <v>1</v>
      </c>
      <c r="AC38" s="2938">
        <f t="shared" si="17"/>
        <v>1</v>
      </c>
    </row>
    <row r="39" spans="1:29" ht="15">
      <c r="A39" s="471"/>
      <c r="B39" s="2934" t="s">
        <v>2575</v>
      </c>
      <c r="C39" s="2609" t="s">
        <v>3112</v>
      </c>
      <c r="D39" s="434">
        <v>100</v>
      </c>
      <c r="E39" s="2609" t="s">
        <v>3112</v>
      </c>
      <c r="F39" s="460">
        <f>SUMIF(116:116,E39,117:117)-SUMIF(116:116,C39,117:117)+100</f>
        <v>100</v>
      </c>
      <c r="G39" s="2609" t="s">
        <v>3112</v>
      </c>
      <c r="H39" s="434">
        <f>SUMIF(116:116,G39,117:117)-SUMIF(116:116,C39,117:117)+100</f>
        <v>100</v>
      </c>
      <c r="I39" s="2609" t="s">
        <v>3112</v>
      </c>
      <c r="J39" s="434">
        <f>SUMIF(116:116,I39,117:117)-SUMIF(116:116,C39,117:117)+100</f>
        <v>100</v>
      </c>
      <c r="K39" s="425"/>
      <c r="L39" s="1140"/>
      <c r="M39" s="1131"/>
      <c r="N39" s="1131"/>
      <c r="O39" s="1131"/>
      <c r="P39" s="3222"/>
      <c r="Q39" s="2937" t="str">
        <f t="shared" si="11"/>
        <v>市政基础设施</v>
      </c>
      <c r="R39" s="772" t="s">
        <v>21</v>
      </c>
      <c r="S39" s="773">
        <f t="shared" si="12"/>
        <v>100</v>
      </c>
      <c r="T39" s="772" t="s">
        <v>21</v>
      </c>
      <c r="U39" s="773">
        <f t="shared" si="13"/>
        <v>100</v>
      </c>
      <c r="V39" s="772" t="s">
        <v>21</v>
      </c>
      <c r="W39" s="773">
        <f t="shared" si="14"/>
        <v>100</v>
      </c>
      <c r="X39" s="2935"/>
      <c r="Y39" s="3181"/>
      <c r="Z39" s="2936" t="str">
        <f t="shared" si="18"/>
        <v>市政基础设施</v>
      </c>
      <c r="AA39" s="2938">
        <f t="shared" si="15"/>
        <v>1</v>
      </c>
      <c r="AB39" s="2938">
        <f t="shared" si="16"/>
        <v>1</v>
      </c>
      <c r="AC39" s="2938">
        <f t="shared" si="17"/>
        <v>1</v>
      </c>
    </row>
    <row r="40" spans="1:29" ht="15">
      <c r="A40" s="471"/>
      <c r="B40" s="2934" t="s">
        <v>2576</v>
      </c>
      <c r="C40" s="2609" t="s">
        <v>3150</v>
      </c>
      <c r="D40" s="434">
        <v>100</v>
      </c>
      <c r="E40" s="2609" t="s">
        <v>3150</v>
      </c>
      <c r="F40" s="460">
        <f>SUMIF(118:118,E40,119:119)-SUMIF(118:118,C40,119:119)+100</f>
        <v>100</v>
      </c>
      <c r="G40" s="2609" t="s">
        <v>3150</v>
      </c>
      <c r="H40" s="434">
        <f>SUMIF(118:118,G40,119:119)-SUMIF(118:118,C40,119:119)+100</f>
        <v>100</v>
      </c>
      <c r="I40" s="2609" t="s">
        <v>3150</v>
      </c>
      <c r="J40" s="434">
        <f>SUMIF(118:118,I40,119:119)-SUMIF(118:118,C40,119:119)+100</f>
        <v>100</v>
      </c>
      <c r="K40" s="425"/>
      <c r="L40" s="1140"/>
      <c r="M40" s="1131"/>
      <c r="N40" s="1131"/>
      <c r="O40" s="1131"/>
      <c r="P40" s="3222"/>
      <c r="Q40" s="2937" t="str">
        <f t="shared" si="11"/>
        <v>房型</v>
      </c>
      <c r="R40" s="772" t="s">
        <v>21</v>
      </c>
      <c r="S40" s="773">
        <f t="shared" si="12"/>
        <v>100</v>
      </c>
      <c r="T40" s="772" t="s">
        <v>21</v>
      </c>
      <c r="U40" s="773">
        <f t="shared" si="13"/>
        <v>100</v>
      </c>
      <c r="V40" s="772" t="s">
        <v>21</v>
      </c>
      <c r="W40" s="773">
        <f t="shared" si="14"/>
        <v>100</v>
      </c>
      <c r="X40" s="2935"/>
      <c r="Y40" s="3181"/>
      <c r="Z40" s="2936" t="str">
        <f t="shared" si="18"/>
        <v>房型</v>
      </c>
      <c r="AA40" s="2938">
        <f t="shared" si="15"/>
        <v>1</v>
      </c>
      <c r="AB40" s="2938">
        <f t="shared" si="16"/>
        <v>1</v>
      </c>
      <c r="AC40" s="2938">
        <f t="shared" si="17"/>
        <v>1</v>
      </c>
    </row>
    <row r="41" spans="1:29" s="470" customFormat="1" ht="28.5" hidden="1">
      <c r="A41" s="467"/>
      <c r="B41" s="2934" t="s">
        <v>2577</v>
      </c>
      <c r="C41" s="468"/>
      <c r="D41" s="134">
        <v>100</v>
      </c>
      <c r="E41" s="468"/>
      <c r="F41" s="424">
        <f>SUMIF(120:120,E41,121:121)-SUMIF(120:120,C41,121:121)+100</f>
        <v>100</v>
      </c>
      <c r="G41" s="468"/>
      <c r="H41" s="134">
        <f>SUMIF(120:120,G41,121:121)-SUMIF(120:120,C41,121:121)+100</f>
        <v>100</v>
      </c>
      <c r="I41" s="468"/>
      <c r="J41" s="434">
        <f>SUMIF(120:120,I41,121:121)-SUMIF(120:120,C41,121:121)+100</f>
        <v>100</v>
      </c>
      <c r="K41" s="2597"/>
      <c r="L41" s="1138"/>
      <c r="M41" s="1141"/>
      <c r="N41" s="1141"/>
      <c r="O41" s="1141"/>
      <c r="P41" s="3222"/>
      <c r="Q41" s="774" t="str">
        <f t="shared" si="11"/>
        <v>单套/主力户型建筑面积</v>
      </c>
      <c r="R41" s="775" t="s">
        <v>21</v>
      </c>
      <c r="S41" s="776">
        <f t="shared" si="12"/>
        <v>100</v>
      </c>
      <c r="T41" s="775" t="s">
        <v>21</v>
      </c>
      <c r="U41" s="776">
        <f t="shared" si="13"/>
        <v>100</v>
      </c>
      <c r="V41" s="775" t="s">
        <v>21</v>
      </c>
      <c r="W41" s="776">
        <f t="shared" si="14"/>
        <v>100</v>
      </c>
      <c r="X41" s="777"/>
      <c r="Y41" s="3181"/>
      <c r="Z41" s="778" t="str">
        <f t="shared" si="18"/>
        <v>单套/主力户型建筑面积</v>
      </c>
      <c r="AA41" s="2938">
        <f t="shared" si="15"/>
        <v>1</v>
      </c>
      <c r="AB41" s="2938">
        <f t="shared" si="16"/>
        <v>1</v>
      </c>
      <c r="AC41" s="2938">
        <f t="shared" si="17"/>
        <v>1</v>
      </c>
    </row>
    <row r="42" spans="1:29" ht="15">
      <c r="A42" s="471"/>
      <c r="B42" s="2934" t="s">
        <v>2578</v>
      </c>
      <c r="C42" s="2609" t="s">
        <v>3146</v>
      </c>
      <c r="D42" s="434">
        <v>100</v>
      </c>
      <c r="E42" s="2609" t="s">
        <v>3153</v>
      </c>
      <c r="F42" s="460">
        <f>SUMIF(122:122,E42,123:123)-SUMIF(122:122,C42,123:123)+100</f>
        <v>94</v>
      </c>
      <c r="G42" s="2609" t="s">
        <v>3153</v>
      </c>
      <c r="H42" s="434">
        <f>SUMIF(122:122,G42,123:123)-SUMIF(122:122,C42,123:123)+100</f>
        <v>94</v>
      </c>
      <c r="I42" s="2609" t="s">
        <v>3146</v>
      </c>
      <c r="J42" s="434">
        <f>SUMIF(122:122,I42,123:123)-SUMIF(122:122,C42,123:123)+100</f>
        <v>100</v>
      </c>
      <c r="K42" s="425">
        <v>2</v>
      </c>
      <c r="L42" s="1140"/>
      <c r="M42" s="1131"/>
      <c r="N42" s="1131"/>
      <c r="O42" s="1131"/>
      <c r="P42" s="3222"/>
      <c r="Q42" s="2937" t="str">
        <f t="shared" si="11"/>
        <v>内部装修</v>
      </c>
      <c r="R42" s="772" t="s">
        <v>21</v>
      </c>
      <c r="S42" s="773">
        <f t="shared" si="12"/>
        <v>94</v>
      </c>
      <c r="T42" s="772" t="s">
        <v>21</v>
      </c>
      <c r="U42" s="773">
        <f t="shared" si="13"/>
        <v>94</v>
      </c>
      <c r="V42" s="772" t="s">
        <v>21</v>
      </c>
      <c r="W42" s="773">
        <f t="shared" si="14"/>
        <v>100</v>
      </c>
      <c r="X42" s="2935"/>
      <c r="Y42" s="3181"/>
      <c r="Z42" s="2936" t="str">
        <f t="shared" si="18"/>
        <v>内部装修</v>
      </c>
      <c r="AA42" s="2938">
        <f t="shared" si="15"/>
        <v>1.0638297872340425</v>
      </c>
      <c r="AB42" s="2938">
        <f t="shared" si="16"/>
        <v>1.0638297872340425</v>
      </c>
      <c r="AC42" s="2938">
        <f t="shared" si="17"/>
        <v>1</v>
      </c>
    </row>
    <row r="43" spans="1:29" ht="15.75" thickBot="1">
      <c r="A43" s="471"/>
      <c r="B43" s="2934" t="s">
        <v>2579</v>
      </c>
      <c r="C43" s="2609" t="s">
        <v>3111</v>
      </c>
      <c r="D43" s="434">
        <v>100</v>
      </c>
      <c r="E43" s="2609" t="s">
        <v>3111</v>
      </c>
      <c r="F43" s="460">
        <f>SUMIF(124:124,E43,125:125)-SUMIF(124:124,C43,125:125)+100</f>
        <v>100</v>
      </c>
      <c r="G43" s="2609" t="s">
        <v>3111</v>
      </c>
      <c r="H43" s="434">
        <f>SUMIF(124:124,G43,125:125)-SUMIF(124:124,C43,125:125)+100</f>
        <v>100</v>
      </c>
      <c r="I43" s="2609" t="s">
        <v>3111</v>
      </c>
      <c r="J43" s="434">
        <f>SUMIF(124:124,I43,125:125)-SUMIF(124:124,C43,125:125)+100</f>
        <v>100</v>
      </c>
      <c r="K43" s="425"/>
      <c r="L43" s="1140"/>
      <c r="M43" s="1131"/>
      <c r="N43" s="1131"/>
      <c r="O43" s="1131"/>
      <c r="P43" s="3222"/>
      <c r="Q43" s="2937" t="str">
        <f t="shared" si="11"/>
        <v>内部装修维护情况</v>
      </c>
      <c r="R43" s="772" t="s">
        <v>21</v>
      </c>
      <c r="S43" s="773">
        <f t="shared" si="12"/>
        <v>100</v>
      </c>
      <c r="T43" s="772" t="s">
        <v>21</v>
      </c>
      <c r="U43" s="773">
        <f t="shared" si="13"/>
        <v>100</v>
      </c>
      <c r="V43" s="772" t="s">
        <v>21</v>
      </c>
      <c r="W43" s="773">
        <f t="shared" si="14"/>
        <v>100</v>
      </c>
      <c r="X43" s="2935"/>
      <c r="Y43" s="3181"/>
      <c r="Z43" s="2936" t="str">
        <f t="shared" si="18"/>
        <v>内部装修维护情况</v>
      </c>
      <c r="AA43" s="2938">
        <f t="shared" si="15"/>
        <v>1</v>
      </c>
      <c r="AB43" s="2938">
        <f t="shared" si="16"/>
        <v>1</v>
      </c>
      <c r="AC43" s="2938">
        <f t="shared" si="17"/>
        <v>1</v>
      </c>
    </row>
    <row r="44" spans="1:29" s="116" customFormat="1" ht="15.75" hidden="1" thickBot="1">
      <c r="A44" s="472"/>
      <c r="B44" s="1386">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2"/>
      <c r="M44" s="1133"/>
      <c r="N44" s="1133"/>
      <c r="O44" s="1133"/>
      <c r="P44" s="3222"/>
      <c r="Q44" s="2932">
        <f t="shared" si="11"/>
        <v>111</v>
      </c>
      <c r="R44" s="768" t="s">
        <v>21</v>
      </c>
      <c r="S44" s="769">
        <f t="shared" si="12"/>
        <v>100</v>
      </c>
      <c r="T44" s="768" t="s">
        <v>21</v>
      </c>
      <c r="U44" s="769">
        <f t="shared" si="13"/>
        <v>100</v>
      </c>
      <c r="V44" s="768" t="s">
        <v>21</v>
      </c>
      <c r="W44" s="769">
        <f t="shared" si="14"/>
        <v>100</v>
      </c>
      <c r="X44" s="770"/>
      <c r="Y44" s="3181"/>
      <c r="Z44" s="2933">
        <f t="shared" si="18"/>
        <v>111</v>
      </c>
      <c r="AA44" s="771">
        <f t="shared" si="15"/>
        <v>1</v>
      </c>
      <c r="AB44" s="771">
        <f t="shared" si="16"/>
        <v>1</v>
      </c>
      <c r="AC44" s="771">
        <f t="shared" si="17"/>
        <v>1</v>
      </c>
    </row>
    <row r="45" spans="1:29" ht="15.75" hidden="1" thickBot="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22"/>
      <c r="Q45" s="2937">
        <f t="shared" si="11"/>
        <v>111</v>
      </c>
      <c r="R45" s="772" t="s">
        <v>21</v>
      </c>
      <c r="S45" s="773">
        <f t="shared" si="12"/>
        <v>100</v>
      </c>
      <c r="T45" s="772" t="s">
        <v>21</v>
      </c>
      <c r="U45" s="773">
        <f t="shared" si="13"/>
        <v>100</v>
      </c>
      <c r="V45" s="772" t="s">
        <v>21</v>
      </c>
      <c r="W45" s="773">
        <f t="shared" si="14"/>
        <v>100</v>
      </c>
      <c r="X45" s="2935"/>
      <c r="Y45" s="3181"/>
      <c r="Z45" s="2936">
        <f t="shared" si="18"/>
        <v>111</v>
      </c>
      <c r="AA45" s="2938">
        <f t="shared" si="15"/>
        <v>1</v>
      </c>
      <c r="AB45" s="2938">
        <f t="shared" si="16"/>
        <v>1</v>
      </c>
      <c r="AC45" s="2938">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23"/>
      <c r="Q46" s="2937">
        <f t="shared" si="11"/>
        <v>111</v>
      </c>
      <c r="R46" s="772" t="s">
        <v>20</v>
      </c>
      <c r="S46" s="773">
        <f t="shared" si="12"/>
        <v>100</v>
      </c>
      <c r="T46" s="772" t="s">
        <v>20</v>
      </c>
      <c r="U46" s="773">
        <f t="shared" si="13"/>
        <v>100</v>
      </c>
      <c r="V46" s="772" t="s">
        <v>20</v>
      </c>
      <c r="W46" s="773">
        <f t="shared" si="14"/>
        <v>100</v>
      </c>
      <c r="X46" s="2935"/>
      <c r="Y46" s="3224"/>
      <c r="Z46" s="2936">
        <f t="shared" si="18"/>
        <v>111</v>
      </c>
      <c r="AA46" s="2938">
        <f t="shared" si="15"/>
        <v>1</v>
      </c>
      <c r="AB46" s="2938">
        <f t="shared" si="16"/>
        <v>1</v>
      </c>
      <c r="AC46" s="2938">
        <f t="shared" si="17"/>
        <v>1</v>
      </c>
    </row>
    <row r="47" spans="1:29" ht="15">
      <c r="A47" s="478" t="s">
        <v>2580</v>
      </c>
      <c r="B47" s="479"/>
      <c r="C47" s="1406" t="s">
        <v>19</v>
      </c>
      <c r="D47" s="1407"/>
      <c r="E47" s="1408">
        <v>23000</v>
      </c>
      <c r="F47" s="1409"/>
      <c r="G47" s="1410">
        <v>24000</v>
      </c>
      <c r="H47" s="1411"/>
      <c r="I47" s="1408">
        <v>26800</v>
      </c>
      <c r="J47" s="1411"/>
      <c r="K47" s="2615"/>
      <c r="L47" s="1143"/>
      <c r="M47" s="1144"/>
      <c r="N47" s="1131"/>
      <c r="O47" s="1144"/>
      <c r="P47" s="3176" t="str">
        <f>A47</f>
        <v>成交单价（元/平方米）</v>
      </c>
      <c r="Q47" s="3176"/>
      <c r="R47" s="3225">
        <f>E47</f>
        <v>23000</v>
      </c>
      <c r="S47" s="3225"/>
      <c r="T47" s="3225">
        <f>G47</f>
        <v>24000</v>
      </c>
      <c r="U47" s="3225"/>
      <c r="V47" s="3225">
        <f>I47</f>
        <v>26800</v>
      </c>
      <c r="W47" s="3225"/>
      <c r="X47" s="757"/>
      <c r="Y47" s="779"/>
      <c r="Z47" s="757"/>
      <c r="AA47" s="757"/>
      <c r="AB47" s="757"/>
      <c r="AC47" s="757"/>
    </row>
    <row r="48" spans="1:29" ht="15.75" thickBot="1">
      <c r="A48" s="485" t="s">
        <v>2581</v>
      </c>
      <c r="B48" s="486"/>
      <c r="C48" s="1412">
        <f>R49</f>
        <v>25097</v>
      </c>
      <c r="D48" s="1413"/>
      <c r="E48" s="1414">
        <f>R48</f>
        <v>24478</v>
      </c>
      <c r="F48" s="1414"/>
      <c r="G48" s="1412">
        <f>T48</f>
        <v>24798</v>
      </c>
      <c r="H48" s="1413"/>
      <c r="I48" s="1414">
        <f>V48</f>
        <v>26014</v>
      </c>
      <c r="J48" s="1413"/>
      <c r="K48" s="2616"/>
      <c r="L48" s="1143"/>
      <c r="M48" s="1144"/>
      <c r="N48" s="1144"/>
      <c r="O48" s="1144"/>
      <c r="P48" s="3176" t="str">
        <f>A48</f>
        <v>比较价值（元/平方米）</v>
      </c>
      <c r="Q48" s="3176"/>
      <c r="R48" s="3225">
        <f>IF(F1="售价",ROUND(PRODUCT(R47,AA7:AA46),0),ROUND(PRODUCT(R47,AA7:AA46),1))</f>
        <v>24478</v>
      </c>
      <c r="S48" s="3225"/>
      <c r="T48" s="3225">
        <f>IF(F1="售价",ROUND(PRODUCT(T47,AB7:AB46),0),ROUND(PRODUCT(T47,AB7:AB46),1))</f>
        <v>24798</v>
      </c>
      <c r="U48" s="3225"/>
      <c r="V48" s="3225">
        <f>IF(F1="售价",ROUND(PRODUCT(V47,AC7:AC46),0),ROUND(PRODUCT(V47,AC7:AC46),1))</f>
        <v>26014</v>
      </c>
      <c r="W48" s="3225"/>
      <c r="X48" s="757"/>
      <c r="Y48" s="757"/>
      <c r="Z48" s="757"/>
      <c r="AA48" s="757"/>
      <c r="AB48" s="757"/>
      <c r="AC48" s="757"/>
    </row>
    <row r="49" spans="1:29" ht="15.75" thickBot="1">
      <c r="A49" s="491" t="s">
        <v>2582</v>
      </c>
      <c r="B49" s="492"/>
      <c r="C49" s="1415">
        <f>R49</f>
        <v>25097</v>
      </c>
      <c r="D49" s="1416"/>
      <c r="E49" s="1416"/>
      <c r="F49" s="1416"/>
      <c r="G49" s="1416"/>
      <c r="H49" s="1416"/>
      <c r="I49" s="1416"/>
      <c r="J49" s="1416"/>
      <c r="K49" s="2617"/>
      <c r="L49" s="1143"/>
      <c r="M49" s="1144"/>
      <c r="N49" s="1144"/>
      <c r="O49" s="1144"/>
      <c r="P49" s="3170" t="str">
        <f>A49</f>
        <v>估价对象XX用房的比较价值（楼面单价，元/平方米）</v>
      </c>
      <c r="Q49" s="3171"/>
      <c r="R49" s="3226">
        <f>IF(F1="售价",ROUND(AVERAGE(R48:V48),0),ROUND(AVERAGE(R48:V48),1))</f>
        <v>25097</v>
      </c>
      <c r="S49" s="3226"/>
      <c r="T49" s="3226"/>
      <c r="U49" s="3226"/>
      <c r="V49" s="3226"/>
      <c r="W49" s="322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2583</v>
      </c>
      <c r="D52" s="497"/>
      <c r="E52" s="498">
        <f>IF(E47&lt;E48,E48/E47-1,E47/E48-1)</f>
        <v>6.4260869565217371E-2</v>
      </c>
      <c r="F52" s="499" t="str">
        <f>IF(OR(E52&gt;=0.3,E52&lt;=-0.3),"超过30%","")</f>
        <v/>
      </c>
      <c r="G52" s="498">
        <f>IF(G47&lt;G48,G48/G47-1,G47/G48-1)</f>
        <v>3.3250000000000002E-2</v>
      </c>
      <c r="H52" s="499" t="str">
        <f>IF(OR(G52&gt;=0.3,G52&lt;=-0.3),"超过30%","")</f>
        <v/>
      </c>
      <c r="I52" s="498">
        <f>IF(I47&lt;I48,I48/I47-1,I47/I48-1)</f>
        <v>3.0214499884677393E-2</v>
      </c>
      <c r="J52" s="499" t="str">
        <f>IF(OR(I52&gt;=0.3,I52&lt;=-0.3),"超过30%","")</f>
        <v/>
      </c>
      <c r="K52" s="1105"/>
      <c r="L52" s="1106"/>
      <c r="M52" s="1144"/>
      <c r="N52" s="1144"/>
      <c r="O52" s="1144"/>
    </row>
    <row r="53" spans="1:29" ht="13.5" customHeight="1">
      <c r="A53" s="1144"/>
      <c r="B53" s="1144"/>
      <c r="C53" s="496" t="s">
        <v>2584</v>
      </c>
      <c r="D53" s="500"/>
      <c r="E53" s="498">
        <f>IF(E48&lt;G48,G48/E48-1,E48/G48-1)</f>
        <v>1.3072963477408273E-2</v>
      </c>
      <c r="F53" s="499" t="str">
        <f>IF(OR(E53&gt;=0.2,E53&lt;=-0.2),"超过20%","")</f>
        <v/>
      </c>
      <c r="G53" s="498">
        <f>IF(G48&lt;I48,I48/G48-1,G48/I48-1)</f>
        <v>4.9036212597790119E-2</v>
      </c>
      <c r="H53" s="499" t="str">
        <f>IF(OR(G53&gt;=0.2,G53&lt;=-0.2),"超过20%","")</f>
        <v/>
      </c>
      <c r="I53" s="498">
        <f>IF(I48&lt;E48,E48/I48-1,I48/E48-1)</f>
        <v>6.2750224691559664E-2</v>
      </c>
      <c r="J53" s="499" t="str">
        <f>IF(OR(I53&gt;=0.2,I53&lt;=-0.2),"超过20%","")</f>
        <v/>
      </c>
      <c r="K53" s="1105"/>
      <c r="L53" s="1106"/>
      <c r="M53" s="1144"/>
      <c r="N53" s="1144"/>
      <c r="O53" s="1144"/>
    </row>
    <row r="54" spans="1:29" s="501" customFormat="1" ht="13.5" customHeight="1">
      <c r="A54" s="1145"/>
      <c r="B54" s="1145"/>
      <c r="C54" s="496" t="s">
        <v>2585</v>
      </c>
      <c r="D54" s="500"/>
      <c r="E54" s="498">
        <f>IF(E47&lt;G47,G47/E47-1,E47/G47-1)</f>
        <v>4.3478260869565188E-2</v>
      </c>
      <c r="F54" s="499" t="str">
        <f>IF(OR(E54&gt;=0.3,E54&lt;=-0.3),"超过30%","")</f>
        <v/>
      </c>
      <c r="G54" s="498">
        <f>IF(G47&lt;I47,I47/G47-1,G47/I47-1)</f>
        <v>0.1166666666666667</v>
      </c>
      <c r="H54" s="499" t="str">
        <f>IF(OR(G54&gt;=0.3,G54&lt;=-0.3),"超过30%","")</f>
        <v/>
      </c>
      <c r="I54" s="498">
        <f>IF(I47&lt;E47,E47/I47-1,I47/E47-1)</f>
        <v>0.16521739130434776</v>
      </c>
      <c r="J54" s="499" t="str">
        <f>IF(OR(I54&gt;=0.3,I54&lt;=-0.3),"超过30%","")</f>
        <v/>
      </c>
      <c r="K54" s="1148"/>
      <c r="L54" s="1149"/>
      <c r="M54" s="1145"/>
      <c r="N54" s="1145"/>
      <c r="O54" s="1145"/>
      <c r="P54" s="2619"/>
    </row>
    <row r="55" spans="1:29" s="501"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0"/>
      <c r="Q57" s="503"/>
    </row>
    <row r="58" spans="1:29" s="507" customFormat="1" ht="15">
      <c r="A58" s="504" t="s">
        <v>2551</v>
      </c>
      <c r="B58" s="505"/>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6" customFormat="1" ht="15">
      <c r="A59" s="508"/>
      <c r="B59" s="2621"/>
      <c r="C59" s="1573">
        <v>100</v>
      </c>
      <c r="D59" s="510"/>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2553</v>
      </c>
      <c r="B61" s="509"/>
      <c r="C61" s="521" t="s">
        <v>2590</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t="str">
        <f>C9</f>
        <v>住宅</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3"/>
      <c r="O66" s="1153"/>
      <c r="P66" s="2624"/>
      <c r="Q66" s="503"/>
    </row>
    <row r="67" spans="1:17" ht="15.75" thickTop="1">
      <c r="A67" s="533"/>
      <c r="B67" s="545" t="s">
        <v>2561</v>
      </c>
      <c r="C67" s="546" t="str">
        <f>C68&amp;"（含）"&amp;"-"&amp;D68</f>
        <v>1（含）-2</v>
      </c>
      <c r="D67" s="546" t="str">
        <f t="shared" ref="D67:L67" si="21">D68&amp;"（含）"&amp;"-"&amp;E68</f>
        <v>2（含）-3</v>
      </c>
      <c r="E67" s="546" t="str">
        <f t="shared" si="21"/>
        <v>3（含）-4</v>
      </c>
      <c r="F67" s="546" t="str">
        <f t="shared" si="21"/>
        <v>4（含）-5</v>
      </c>
      <c r="G67" s="546" t="str">
        <f t="shared" si="21"/>
        <v>5（含）-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4"/>
      <c r="Q67" s="503"/>
    </row>
    <row r="68" spans="1:17" ht="15">
      <c r="A68" s="533"/>
      <c r="B68" s="547"/>
      <c r="C68" s="548">
        <v>1</v>
      </c>
      <c r="D68" s="548">
        <v>2</v>
      </c>
      <c r="E68" s="548">
        <v>3</v>
      </c>
      <c r="F68" s="548">
        <v>4</v>
      </c>
      <c r="G68" s="548">
        <v>5</v>
      </c>
      <c r="H68" s="548"/>
      <c r="I68" s="548"/>
      <c r="J68" s="548"/>
      <c r="K68" s="549"/>
      <c r="L68" s="550"/>
      <c r="M68" s="551"/>
      <c r="N68" s="1152"/>
      <c r="O68" s="1152"/>
      <c r="P68" s="2624"/>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59"/>
      <c r="E73" s="559"/>
      <c r="F73" s="559"/>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4"/>
      <c r="Q81" s="503"/>
    </row>
    <row r="82" spans="1:17" ht="15.75" thickTop="1">
      <c r="A82" s="533"/>
      <c r="B82" s="545" t="s">
        <v>2104</v>
      </c>
      <c r="C82" s="538" t="s">
        <v>2607</v>
      </c>
      <c r="D82" s="538" t="s">
        <v>2608</v>
      </c>
      <c r="E82" s="538" t="s">
        <v>2609</v>
      </c>
      <c r="F82" s="538" t="s">
        <v>2610</v>
      </c>
      <c r="G82" s="538" t="s">
        <v>2611</v>
      </c>
      <c r="H82" s="538"/>
      <c r="I82" s="538"/>
      <c r="J82" s="538"/>
      <c r="K82" s="538"/>
      <c r="L82" s="538"/>
      <c r="M82" s="1382"/>
      <c r="N82" s="1153"/>
      <c r="O82" s="1153"/>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4"/>
      <c r="Q85" s="503"/>
    </row>
    <row r="86" spans="1:17" s="116" customFormat="1" ht="15.75" thickTop="1">
      <c r="A86" s="578"/>
      <c r="B86" s="537" t="s">
        <v>2613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4"/>
      <c r="Q87" s="503"/>
    </row>
    <row r="88" spans="1:17" s="116" customFormat="1" ht="15.75" thickTop="1">
      <c r="A88" s="578"/>
      <c r="B88" s="537" t="s">
        <v>2614</v>
      </c>
      <c r="C88" s="553"/>
      <c r="D88" s="553"/>
      <c r="E88" s="553"/>
      <c r="F88" s="2629"/>
      <c r="G88" s="553"/>
      <c r="H88" s="553"/>
      <c r="I88" s="553"/>
      <c r="J88" s="553"/>
      <c r="K88" s="553"/>
      <c r="L88" s="553"/>
      <c r="M88" s="580"/>
      <c r="N88" s="1151"/>
      <c r="O88" s="1151"/>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4"/>
      <c r="Q89" s="503"/>
    </row>
    <row r="90" spans="1:17" s="470" customFormat="1" ht="15.75" thickTop="1">
      <c r="A90" s="552"/>
      <c r="B90" s="537">
        <f>B27</f>
        <v>111</v>
      </c>
      <c r="C90" s="553"/>
      <c r="D90" s="553"/>
      <c r="E90" s="553"/>
      <c r="F90" s="553"/>
      <c r="G90" s="553"/>
      <c r="H90" s="554"/>
      <c r="I90" s="554"/>
      <c r="J90" s="554"/>
      <c r="K90" s="554"/>
      <c r="L90" s="555"/>
      <c r="M90" s="556"/>
      <c r="N90" s="1154"/>
      <c r="O90" s="1154"/>
      <c r="P90" s="2625"/>
      <c r="Q90" s="558"/>
    </row>
    <row r="91" spans="1:17" s="470" customFormat="1" ht="15.75" thickBot="1">
      <c r="A91" s="552"/>
      <c r="B91" s="542"/>
      <c r="C91" s="559"/>
      <c r="D91" s="559"/>
      <c r="E91" s="559"/>
      <c r="F91" s="559"/>
      <c r="G91" s="559"/>
      <c r="H91" s="561"/>
      <c r="I91" s="561"/>
      <c r="J91" s="561"/>
      <c r="K91" s="561"/>
      <c r="L91" s="561"/>
      <c r="M91" s="562"/>
      <c r="N91" s="1154"/>
      <c r="O91" s="1154"/>
      <c r="P91" s="2625"/>
      <c r="Q91" s="558"/>
    </row>
    <row r="92" spans="1:17" ht="15.75" thickTop="1">
      <c r="A92" s="533"/>
      <c r="B92" s="537">
        <f>B28</f>
        <v>111</v>
      </c>
      <c r="C92" s="553"/>
      <c r="D92" s="553"/>
      <c r="E92" s="553"/>
      <c r="F92" s="553"/>
      <c r="G92" s="582"/>
      <c r="H92" s="582"/>
      <c r="I92" s="582"/>
      <c r="J92" s="582"/>
      <c r="K92" s="583"/>
      <c r="L92" s="584"/>
      <c r="M92" s="585"/>
      <c r="N92" s="1152"/>
      <c r="O92" s="1152"/>
      <c r="P92" s="2624"/>
      <c r="Q92" s="503"/>
    </row>
    <row r="93" spans="1:17" ht="15.75" thickBot="1">
      <c r="A93" s="533"/>
      <c r="B93" s="542"/>
      <c r="C93" s="559"/>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59"/>
      <c r="E95" s="559"/>
      <c r="F95" s="559"/>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69"/>
      <c r="D97" s="569"/>
      <c r="E97" s="569"/>
      <c r="F97" s="569"/>
      <c r="G97" s="535"/>
      <c r="H97" s="535"/>
      <c r="I97" s="535"/>
      <c r="J97" s="535"/>
      <c r="K97" s="535"/>
      <c r="L97" s="535"/>
      <c r="M97" s="536"/>
      <c r="N97" s="1153"/>
      <c r="O97" s="1153"/>
      <c r="P97" s="2624"/>
      <c r="Q97" s="503"/>
    </row>
    <row r="98" spans="1:17" ht="15.75" thickTop="1">
      <c r="A98" s="533"/>
      <c r="B98" s="545">
        <f>B31</f>
        <v>111</v>
      </c>
      <c r="C98" s="586"/>
      <c r="D98" s="586"/>
      <c r="E98" s="586"/>
      <c r="F98" s="586"/>
      <c r="G98" s="586"/>
      <c r="H98" s="586"/>
      <c r="I98" s="586"/>
      <c r="J98" s="586"/>
      <c r="K98" s="587"/>
      <c r="L98" s="588"/>
      <c r="M98" s="589"/>
      <c r="N98" s="1152"/>
      <c r="O98" s="1152"/>
      <c r="P98" s="2624"/>
      <c r="Q98" s="503"/>
    </row>
    <row r="99" spans="1:17" ht="15.75" thickBot="1">
      <c r="A99" s="2630"/>
      <c r="B99" s="568"/>
      <c r="C99" s="590"/>
      <c r="D99" s="590"/>
      <c r="E99" s="590"/>
      <c r="F99" s="590"/>
      <c r="G99" s="590"/>
      <c r="H99" s="590"/>
      <c r="I99" s="590"/>
      <c r="J99" s="590"/>
      <c r="K99" s="590"/>
      <c r="L99" s="590"/>
      <c r="M99" s="591"/>
      <c r="N99" s="1153"/>
      <c r="O99" s="1153"/>
      <c r="P99" s="2624"/>
      <c r="Q99" s="503"/>
    </row>
    <row r="100" spans="1:17">
      <c r="A100" s="526" t="s">
        <v>2566</v>
      </c>
      <c r="B100" s="527" t="s">
        <v>2615</v>
      </c>
      <c r="C100" s="2941" t="s">
        <v>3142</v>
      </c>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4"/>
      <c r="Q101" s="503"/>
    </row>
    <row r="102" spans="1:17" ht="29.25" thickTop="1">
      <c r="A102" s="533"/>
      <c r="B102" s="537" t="s">
        <v>2616</v>
      </c>
      <c r="C102" s="577" t="str">
        <f>C103&amp;"(含)"&amp;"-"&amp;D103</f>
        <v>1(含)-200000</v>
      </c>
      <c r="D102" s="577" t="str">
        <f t="shared" ref="D102:L102" si="27">D103&amp;"(含)"&amp;"-"&amp;E103</f>
        <v>200000(含)-400000</v>
      </c>
      <c r="E102" s="577" t="str">
        <f t="shared" si="27"/>
        <v>400000(含)-600000</v>
      </c>
      <c r="F102" s="577" t="str">
        <f t="shared" si="27"/>
        <v>600000(含)-800000</v>
      </c>
      <c r="G102" s="577" t="str">
        <f t="shared" si="27"/>
        <v>800000(含)-1000000</v>
      </c>
      <c r="H102" s="577" t="str">
        <f t="shared" si="27"/>
        <v>1000000(含)-</v>
      </c>
      <c r="I102" s="577" t="str">
        <f t="shared" si="27"/>
        <v>(含)-</v>
      </c>
      <c r="J102" s="577" t="str">
        <f t="shared" si="27"/>
        <v>(含)-</v>
      </c>
      <c r="K102" s="577" t="str">
        <f>K103&amp;"(含)"&amp;"-"&amp;L103</f>
        <v>(含)-</v>
      </c>
      <c r="L102" s="577" t="str">
        <f t="shared" si="27"/>
        <v>(含)-</v>
      </c>
      <c r="M102" s="577" t="str">
        <f>M103&amp;"(含)"&amp;"-"&amp;P103</f>
        <v>(含)-</v>
      </c>
      <c r="N102" s="1151"/>
      <c r="O102" s="1151"/>
      <c r="P102" s="2624"/>
      <c r="Q102" s="503"/>
    </row>
    <row r="103" spans="1:17" s="470" customFormat="1">
      <c r="A103" s="592"/>
      <c r="B103" s="593"/>
      <c r="C103" s="594">
        <v>1</v>
      </c>
      <c r="D103" s="594">
        <v>200000</v>
      </c>
      <c r="E103" s="594">
        <v>400000</v>
      </c>
      <c r="F103" s="594">
        <v>600000</v>
      </c>
      <c r="G103" s="594">
        <v>800000</v>
      </c>
      <c r="H103" s="594">
        <v>1000000</v>
      </c>
      <c r="I103" s="594"/>
      <c r="J103" s="595"/>
      <c r="K103" s="595"/>
      <c r="L103" s="596"/>
      <c r="M103" s="597"/>
      <c r="N103" s="1154"/>
      <c r="O103" s="1154"/>
      <c r="P103" s="2625"/>
      <c r="Q103" s="558"/>
    </row>
    <row r="104" spans="1:17" s="470" customFormat="1" ht="15.75" thickBot="1">
      <c r="A104" s="552"/>
      <c r="B104" s="542"/>
      <c r="C104" s="559">
        <v>100</v>
      </c>
      <c r="D104" s="535">
        <v>101</v>
      </c>
      <c r="E104" s="535">
        <v>102</v>
      </c>
      <c r="F104" s="559">
        <v>103</v>
      </c>
      <c r="G104" s="535">
        <v>104</v>
      </c>
      <c r="H104" s="535">
        <v>105</v>
      </c>
      <c r="I104" s="535"/>
      <c r="J104" s="535"/>
      <c r="K104" s="535"/>
      <c r="L104" s="535"/>
      <c r="M104" s="535"/>
      <c r="N104" s="1153"/>
      <c r="O104" s="1153"/>
      <c r="P104" s="2625"/>
      <c r="Q104" s="558"/>
    </row>
    <row r="105" spans="1:17" ht="15" thickTop="1">
      <c r="A105" s="598"/>
      <c r="B105" s="537" t="s">
        <v>2617</v>
      </c>
      <c r="C105" s="2943" t="s">
        <v>3143</v>
      </c>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4"/>
      <c r="Q106" s="503"/>
    </row>
    <row r="107" spans="1:17" ht="15" thickTop="1">
      <c r="A107" s="598"/>
      <c r="B107" s="537" t="s">
        <v>2618</v>
      </c>
      <c r="C107" s="2942" t="s">
        <v>3145</v>
      </c>
      <c r="D107" s="582"/>
      <c r="E107" s="582"/>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4"/>
      <c r="Q108" s="503"/>
    </row>
    <row r="109" spans="1:17" ht="15" thickTop="1">
      <c r="A109" s="598"/>
      <c r="B109" s="537" t="s">
        <v>2619</v>
      </c>
      <c r="C109" s="2943" t="s">
        <v>3147</v>
      </c>
      <c r="D109" s="553"/>
      <c r="E109" s="553"/>
      <c r="F109" s="582"/>
      <c r="G109" s="582"/>
      <c r="H109" s="582"/>
      <c r="I109" s="582"/>
      <c r="J109" s="582"/>
      <c r="K109" s="583"/>
      <c r="L109" s="584"/>
      <c r="M109" s="585"/>
      <c r="N109" s="1152"/>
      <c r="O109" s="1152"/>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4"/>
      <c r="Q110" s="503"/>
    </row>
    <row r="111" spans="1:17" s="470" customFormat="1" ht="15" thickTop="1">
      <c r="A111" s="592"/>
      <c r="B111" s="537" t="s">
        <v>2002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5"/>
      <c r="Q113" s="558"/>
    </row>
    <row r="114" spans="1:17" ht="15" thickTop="1">
      <c r="A114" s="598"/>
      <c r="B114" s="537" t="s">
        <v>2620</v>
      </c>
      <c r="C114" s="2943" t="s">
        <v>3149</v>
      </c>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4"/>
      <c r="Q115" s="503"/>
    </row>
    <row r="116" spans="1:17" ht="15" thickTop="1">
      <c r="A116" s="598"/>
      <c r="B116" s="537" t="s">
        <v>2621</v>
      </c>
      <c r="C116" s="2943" t="s">
        <v>3152</v>
      </c>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2622</v>
      </c>
      <c r="C118" s="2942" t="s">
        <v>3151</v>
      </c>
      <c r="D118" s="582"/>
      <c r="E118" s="582"/>
      <c r="F118" s="582"/>
      <c r="G118" s="582"/>
      <c r="H118" s="582"/>
      <c r="I118" s="582"/>
      <c r="J118" s="582"/>
      <c r="K118" s="583"/>
      <c r="L118" s="584"/>
      <c r="M118" s="585"/>
      <c r="N118" s="1152"/>
      <c r="O118" s="1152"/>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4"/>
      <c r="Q119" s="503"/>
    </row>
    <row r="120" spans="1:17" s="470" customFormat="1" ht="28.5" thickTop="1">
      <c r="A120" s="592"/>
      <c r="B120" s="537" t="s">
        <v>2577</v>
      </c>
      <c r="C120" s="553"/>
      <c r="D120" s="553"/>
      <c r="E120" s="553"/>
      <c r="F120" s="553"/>
      <c r="G120" s="553"/>
      <c r="H120" s="553"/>
      <c r="I120" s="553"/>
      <c r="J120" s="553"/>
      <c r="K120" s="553"/>
      <c r="L120" s="579"/>
      <c r="M120" s="580"/>
      <c r="N120" s="1154"/>
      <c r="O120" s="1154"/>
      <c r="P120" s="2625"/>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5"/>
      <c r="Q121" s="558"/>
    </row>
    <row r="122" spans="1:17" ht="15" thickTop="1">
      <c r="A122" s="598"/>
      <c r="B122" s="537" t="s">
        <v>2623</v>
      </c>
      <c r="C122" s="2942" t="s">
        <v>3161</v>
      </c>
      <c r="D122" s="2943" t="s">
        <v>3160</v>
      </c>
      <c r="E122" s="2943" t="s">
        <v>3159</v>
      </c>
      <c r="F122" s="2942" t="s">
        <v>3154</v>
      </c>
      <c r="G122" s="582"/>
      <c r="H122" s="582"/>
      <c r="I122" s="582"/>
      <c r="J122" s="582"/>
      <c r="K122" s="583"/>
      <c r="L122" s="584"/>
      <c r="M122" s="585"/>
      <c r="N122" s="1152"/>
      <c r="O122" s="1152"/>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59"/>
      <c r="E129" s="559"/>
      <c r="F129" s="559"/>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row r="136" spans="1:17" ht="15" thickBot="1">
      <c r="B136" s="2631" t="s">
        <v>2625</v>
      </c>
    </row>
    <row r="137" spans="1:17" ht="15">
      <c r="B137" s="2632" t="s">
        <v>2626</v>
      </c>
      <c r="C137" s="2633"/>
      <c r="D137" s="2633"/>
      <c r="E137" s="2633"/>
      <c r="F137" s="2633"/>
      <c r="G137" s="2634"/>
      <c r="H137" s="2635"/>
      <c r="I137" s="2636" t="s">
        <v>2627</v>
      </c>
      <c r="J137" s="2633"/>
      <c r="K137" s="2637"/>
    </row>
    <row r="138" spans="1:17" ht="15">
      <c r="B138" s="2638"/>
      <c r="C138" s="144" t="s">
        <v>2628</v>
      </c>
      <c r="D138" s="144" t="s">
        <v>2629</v>
      </c>
      <c r="E138" s="2639" t="s">
        <v>2630</v>
      </c>
      <c r="F138" s="2640" t="s">
        <v>2631</v>
      </c>
      <c r="G138" s="144" t="s">
        <v>2629</v>
      </c>
      <c r="H138" s="145" t="s">
        <v>2630</v>
      </c>
      <c r="I138" s="2641"/>
      <c r="J138" s="144" t="s">
        <v>2632</v>
      </c>
      <c r="K138" s="145" t="s">
        <v>2633</v>
      </c>
    </row>
    <row r="139" spans="1:17" ht="15">
      <c r="B139" s="1084">
        <v>6</v>
      </c>
      <c r="C139" s="1085">
        <v>96</v>
      </c>
      <c r="D139" s="2642" t="s">
        <v>2634</v>
      </c>
      <c r="E139" s="1086">
        <v>100</v>
      </c>
      <c r="F139" s="1087">
        <v>102.5</v>
      </c>
      <c r="G139" s="2642" t="s">
        <v>2634</v>
      </c>
      <c r="H139" s="1088">
        <v>105</v>
      </c>
      <c r="I139" s="2643" t="s">
        <v>2635</v>
      </c>
      <c r="J139" s="1085">
        <v>20</v>
      </c>
      <c r="K139" s="1089">
        <f>C145/(J139-2)</f>
        <v>4.0555555555555553E-3</v>
      </c>
    </row>
    <row r="140" spans="1:17" ht="15">
      <c r="B140" s="1090">
        <v>5</v>
      </c>
      <c r="C140" s="1091">
        <v>100</v>
      </c>
      <c r="D140" s="1091"/>
      <c r="E140" s="1092"/>
      <c r="F140" s="1093">
        <v>102</v>
      </c>
      <c r="G140" s="1091"/>
      <c r="H140" s="1094"/>
      <c r="I140" s="2644" t="s">
        <v>2636</v>
      </c>
      <c r="J140" s="314">
        <f>ROUNDUP((J139-1)/2,0)</f>
        <v>10</v>
      </c>
      <c r="K140" s="1095">
        <v>100</v>
      </c>
    </row>
    <row r="141" spans="1:17" ht="15">
      <c r="B141" s="1090">
        <v>4</v>
      </c>
      <c r="C141" s="1091">
        <v>102</v>
      </c>
      <c r="D141" s="1091"/>
      <c r="E141" s="1092"/>
      <c r="F141" s="1093">
        <v>101.5</v>
      </c>
      <c r="G141" s="1091"/>
      <c r="H141" s="1094"/>
      <c r="I141" s="2644" t="s">
        <v>2637</v>
      </c>
      <c r="J141" s="314">
        <v>1</v>
      </c>
      <c r="K141" s="1096">
        <f>ROUND(100+(J141-J140)*K139*100,1)</f>
        <v>96.4</v>
      </c>
    </row>
    <row r="142" spans="1:17" ht="15">
      <c r="B142" s="1090">
        <v>3</v>
      </c>
      <c r="C142" s="1091">
        <v>103</v>
      </c>
      <c r="D142" s="1091"/>
      <c r="E142" s="1092"/>
      <c r="F142" s="1093">
        <v>101</v>
      </c>
      <c r="G142" s="1091"/>
      <c r="H142" s="1094"/>
      <c r="I142" s="2644" t="s">
        <v>2638</v>
      </c>
      <c r="J142" s="314">
        <f>J139</f>
        <v>20</v>
      </c>
      <c r="K142" s="1097">
        <v>95</v>
      </c>
    </row>
    <row r="143" spans="1:17" ht="15">
      <c r="B143" s="1090">
        <v>2</v>
      </c>
      <c r="C143" s="1091">
        <v>100</v>
      </c>
      <c r="D143" s="1091"/>
      <c r="E143" s="1092"/>
      <c r="F143" s="1093">
        <v>100.5</v>
      </c>
      <c r="G143" s="1091"/>
      <c r="H143" s="1094"/>
      <c r="I143" s="2644" t="s">
        <v>2639</v>
      </c>
      <c r="J143" s="1091">
        <v>15</v>
      </c>
      <c r="K143" s="1096">
        <f>ROUND(100+(J143-J140)*K139*100,1)</f>
        <v>102</v>
      </c>
    </row>
    <row r="144" spans="1:17" ht="15">
      <c r="B144" s="1090">
        <v>1</v>
      </c>
      <c r="C144" s="1091">
        <v>98</v>
      </c>
      <c r="D144" s="2645" t="s">
        <v>2640</v>
      </c>
      <c r="E144" s="1092">
        <v>102</v>
      </c>
      <c r="F144" s="1098">
        <v>100</v>
      </c>
      <c r="G144" s="2645" t="s">
        <v>2640</v>
      </c>
      <c r="H144" s="1094">
        <v>105</v>
      </c>
      <c r="I144" s="2644" t="s">
        <v>2639</v>
      </c>
      <c r="J144" s="1091">
        <v>18</v>
      </c>
      <c r="K144" s="1096">
        <f>ROUND(100+(J144-J140)*K139*100,1)</f>
        <v>103.2</v>
      </c>
    </row>
    <row r="145" spans="2:11" ht="15.75" thickBot="1">
      <c r="B145" s="2646" t="s">
        <v>2641</v>
      </c>
      <c r="C145" s="1099">
        <f>ROUND(MAX(C139:C144)/MIN(C139:C144)-1,3)</f>
        <v>7.2999999999999995E-2</v>
      </c>
      <c r="D145" s="1100"/>
      <c r="E145" s="1100"/>
      <c r="F145" s="2647" t="s">
        <v>2642</v>
      </c>
      <c r="G145" s="2648"/>
      <c r="H145" s="2649"/>
      <c r="I145" s="2650" t="s">
        <v>2639</v>
      </c>
      <c r="J145" s="1101">
        <v>8</v>
      </c>
      <c r="K145" s="1102">
        <f>ROUND(100+(J145-J140)*K139*100,1)</f>
        <v>99.2</v>
      </c>
    </row>
    <row r="147" spans="2:11">
      <c r="B147" s="2631" t="s">
        <v>2643</v>
      </c>
    </row>
    <row r="148" spans="2:11">
      <c r="B148" s="2631" t="s">
        <v>2644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C33" sqref="C3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2532</v>
      </c>
      <c r="C1" s="1633" t="s">
        <v>2533</v>
      </c>
      <c r="D1" s="1620" t="s">
        <v>3101</v>
      </c>
      <c r="E1" s="2579"/>
      <c r="F1" s="2580" t="s">
        <v>2534</v>
      </c>
      <c r="G1" s="1630" t="s">
        <v>2535</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1395</v>
      </c>
      <c r="B2" s="1417">
        <f>IF(C2="——",ROUND(C49*D3/10000,0),ROUND(C49*D3/10000,0)-D2)</f>
        <v>31281</v>
      </c>
      <c r="C2" s="2582" t="s">
        <v>70</v>
      </c>
      <c r="D2" s="1365" t="e">
        <f ca="1">SUMIF(INDIRECT("'"&amp;F2&amp;"'"&amp;"!A:A"),"承租人权益价值",INDIRECT("'"&amp;F2&amp;"'"&amp;"!c:c"))</f>
        <v>#REF!</v>
      </c>
      <c r="E2" s="2583" t="s">
        <v>2536</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1396</v>
      </c>
      <c r="B3" s="398">
        <f>IF(C2="——",C49,ROUND(B2*10000/D3,0))</f>
        <v>23620</v>
      </c>
      <c r="C3" s="399" t="s">
        <v>2537</v>
      </c>
      <c r="D3" s="398">
        <f>IF(D1="",'数据-汇总表'!E3,SUMIF('数据-汇总表'!$C19:$C33,D1,'数据-汇总表'!$E19:$E33))</f>
        <v>13243.629999999997</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0" t="s">
        <v>2538</v>
      </c>
      <c r="B4" s="401"/>
      <c r="C4" s="3173" t="s">
        <v>2539</v>
      </c>
      <c r="D4" s="3186"/>
      <c r="E4" s="3187" t="s">
        <v>2540</v>
      </c>
      <c r="F4" s="3188"/>
      <c r="G4" s="3173" t="s">
        <v>2541</v>
      </c>
      <c r="H4" s="3186"/>
      <c r="I4" s="3173" t="s">
        <v>2542</v>
      </c>
      <c r="J4" s="3186"/>
      <c r="K4" s="2592" t="s">
        <v>2543</v>
      </c>
      <c r="L4" s="1130"/>
      <c r="M4" s="1131"/>
      <c r="N4" s="1131"/>
      <c r="O4" s="1131"/>
      <c r="P4" s="3189" t="s">
        <v>2544</v>
      </c>
      <c r="Q4" s="3190"/>
      <c r="R4" s="3195" t="s">
        <v>2540</v>
      </c>
      <c r="S4" s="3196"/>
      <c r="T4" s="3195" t="s">
        <v>2541</v>
      </c>
      <c r="U4" s="3196"/>
      <c r="V4" s="3182" t="s">
        <v>2542</v>
      </c>
      <c r="W4" s="3182"/>
      <c r="X4" s="1812"/>
      <c r="Y4" s="3195" t="s">
        <v>2544</v>
      </c>
      <c r="Z4" s="3196"/>
      <c r="AA4" s="3183" t="s">
        <v>2540</v>
      </c>
      <c r="AB4" s="3183" t="s">
        <v>2541</v>
      </c>
      <c r="AC4" s="3183" t="s">
        <v>2542</v>
      </c>
    </row>
    <row r="5" spans="1:29" ht="15">
      <c r="A5" s="403"/>
      <c r="B5" s="404"/>
      <c r="C5" s="3208" t="s">
        <v>2545</v>
      </c>
      <c r="D5" s="3204"/>
      <c r="E5" s="3212" t="s">
        <v>3138</v>
      </c>
      <c r="F5" s="3213"/>
      <c r="G5" s="3203" t="s">
        <v>3155</v>
      </c>
      <c r="H5" s="3204"/>
      <c r="I5" s="3203" t="s">
        <v>3157</v>
      </c>
      <c r="J5" s="3204"/>
      <c r="K5" s="2593"/>
      <c r="L5" s="1130"/>
      <c r="M5" s="1131"/>
      <c r="N5" s="1131"/>
      <c r="O5" s="1131"/>
      <c r="P5" s="3191"/>
      <c r="Q5" s="3192"/>
      <c r="R5" s="3197"/>
      <c r="S5" s="3198"/>
      <c r="T5" s="3197"/>
      <c r="U5" s="3198"/>
      <c r="V5" s="3182"/>
      <c r="W5" s="3182"/>
      <c r="X5" s="1812"/>
      <c r="Y5" s="3197"/>
      <c r="Z5" s="3198"/>
      <c r="AA5" s="3184"/>
      <c r="AB5" s="3184"/>
      <c r="AC5" s="3184"/>
    </row>
    <row r="6" spans="1:29" ht="41.25" customHeight="1" thickBot="1">
      <c r="A6" s="405"/>
      <c r="B6" s="406"/>
      <c r="C6" s="3209" t="s">
        <v>2549</v>
      </c>
      <c r="D6" s="3202"/>
      <c r="E6" s="3210" t="s">
        <v>3137</v>
      </c>
      <c r="F6" s="3211"/>
      <c r="G6" s="3201" t="s">
        <v>3156</v>
      </c>
      <c r="H6" s="3202"/>
      <c r="I6" s="3201" t="s">
        <v>3158</v>
      </c>
      <c r="J6" s="3202"/>
      <c r="K6" s="2593" t="s">
        <v>2550</v>
      </c>
      <c r="L6" s="1130"/>
      <c r="M6" s="1131"/>
      <c r="N6" s="1131"/>
      <c r="O6" s="1131"/>
      <c r="P6" s="3193"/>
      <c r="Q6" s="3194"/>
      <c r="R6" s="3197"/>
      <c r="S6" s="3198"/>
      <c r="T6" s="3199"/>
      <c r="U6" s="3200"/>
      <c r="V6" s="3182"/>
      <c r="W6" s="3182"/>
      <c r="X6" s="1812"/>
      <c r="Y6" s="3199"/>
      <c r="Z6" s="3200"/>
      <c r="AA6" s="3185"/>
      <c r="AB6" s="3185"/>
      <c r="AC6" s="3185"/>
    </row>
    <row r="7" spans="1:29" s="116" customFormat="1" ht="15.75" thickBot="1">
      <c r="A7" s="407" t="s">
        <v>2551</v>
      </c>
      <c r="B7" s="408"/>
      <c r="C7" s="409">
        <f>'数据-取费表'!B2</f>
        <v>43056</v>
      </c>
      <c r="D7" s="410">
        <v>100</v>
      </c>
      <c r="E7" s="411">
        <f>C7</f>
        <v>43056</v>
      </c>
      <c r="F7" s="412">
        <f>SUMIF(58:58,YEAR(E7)&amp;"-"&amp;MONTH(E7),59:59)</f>
        <v>100</v>
      </c>
      <c r="G7" s="411">
        <f>C7</f>
        <v>43056</v>
      </c>
      <c r="H7" s="410">
        <f>SUMIF(58:58,YEAR(G7)&amp;"-"&amp;MONTH(G7),59:59)</f>
        <v>100</v>
      </c>
      <c r="I7" s="411">
        <f>C7</f>
        <v>43056</v>
      </c>
      <c r="J7" s="410">
        <f>SUMIF(58:58,YEAR(I7)&amp;"-"&amp;MONTH(I7),59:59)</f>
        <v>100</v>
      </c>
      <c r="K7" s="2594"/>
      <c r="L7" s="1132"/>
      <c r="M7" s="1133"/>
      <c r="N7" s="1133"/>
      <c r="O7" s="1133"/>
      <c r="P7" s="3205" t="s">
        <v>2552</v>
      </c>
      <c r="Q7" s="3207"/>
      <c r="R7" s="768" t="s">
        <v>23</v>
      </c>
      <c r="S7" s="769">
        <f t="shared" ref="S7:S15" si="0">F7</f>
        <v>100</v>
      </c>
      <c r="T7" s="768" t="s">
        <v>23</v>
      </c>
      <c r="U7" s="769">
        <f t="shared" ref="U7:U15" si="1">H7</f>
        <v>100</v>
      </c>
      <c r="V7" s="768" t="s">
        <v>23</v>
      </c>
      <c r="W7" s="769">
        <f t="shared" ref="W7:W15" si="2">J7</f>
        <v>100</v>
      </c>
      <c r="X7" s="770"/>
      <c r="Y7" s="3205" t="s">
        <v>2552</v>
      </c>
      <c r="Z7" s="3206"/>
      <c r="AA7" s="771">
        <f>D7/F7</f>
        <v>1</v>
      </c>
      <c r="AB7" s="771">
        <f>D7/H7</f>
        <v>1</v>
      </c>
      <c r="AC7" s="771">
        <f>D7/J7</f>
        <v>1</v>
      </c>
    </row>
    <row r="8" spans="1:29" s="116" customFormat="1" ht="15.75" thickBot="1">
      <c r="A8" s="407" t="s">
        <v>2553</v>
      </c>
      <c r="B8" s="408"/>
      <c r="C8" s="413" t="s">
        <v>2554</v>
      </c>
      <c r="D8" s="410">
        <v>100</v>
      </c>
      <c r="E8" s="2595" t="s">
        <v>3106</v>
      </c>
      <c r="F8" s="412">
        <f>SUMIF(61:61,E8,62:62)-SUMIF(61:61,C8,62:62)+100</f>
        <v>100</v>
      </c>
      <c r="G8" s="413" t="s">
        <v>3106</v>
      </c>
      <c r="H8" s="410">
        <f>SUMIF(61:61,G8,62:62)-SUMIF(61:61,C8,62:62)+100</f>
        <v>100</v>
      </c>
      <c r="I8" s="2595" t="s">
        <v>3106</v>
      </c>
      <c r="J8" s="410">
        <f>SUMIF(61:61,I8,62:62)-SUMIF(61:61,C8,62:62)+100</f>
        <v>100</v>
      </c>
      <c r="K8" s="2594"/>
      <c r="L8" s="1132"/>
      <c r="M8" s="1133"/>
      <c r="N8" s="1133"/>
      <c r="O8" s="1133"/>
      <c r="P8" s="3205" t="s">
        <v>2555</v>
      </c>
      <c r="Q8" s="3206"/>
      <c r="R8" s="768" t="s">
        <v>23</v>
      </c>
      <c r="S8" s="769">
        <f t="shared" si="0"/>
        <v>100</v>
      </c>
      <c r="T8" s="768" t="s">
        <v>23</v>
      </c>
      <c r="U8" s="769">
        <f t="shared" si="1"/>
        <v>100</v>
      </c>
      <c r="V8" s="768" t="s">
        <v>23</v>
      </c>
      <c r="W8" s="769">
        <f t="shared" si="2"/>
        <v>100</v>
      </c>
      <c r="X8" s="770"/>
      <c r="Y8" s="3205" t="s">
        <v>2555</v>
      </c>
      <c r="Z8" s="3206"/>
      <c r="AA8" s="771">
        <f t="shared" ref="AA8:AA19" si="3">D8/F8</f>
        <v>1</v>
      </c>
      <c r="AB8" s="771">
        <f t="shared" ref="AB8:AB19" si="4">D8/H8</f>
        <v>1</v>
      </c>
      <c r="AC8" s="771">
        <f t="shared" ref="AC8:AC19" si="5">D8/J8</f>
        <v>1</v>
      </c>
    </row>
    <row r="9" spans="1:29" s="116" customFormat="1">
      <c r="A9" s="414" t="s">
        <v>2556</v>
      </c>
      <c r="B9" s="70" t="s">
        <v>2557</v>
      </c>
      <c r="C9" s="2948" t="s">
        <v>3139</v>
      </c>
      <c r="D9" s="133">
        <v>100</v>
      </c>
      <c r="E9" s="416" t="s">
        <v>3079</v>
      </c>
      <c r="F9" s="417">
        <f>SUMIF(63:63,E9,64:64)-SUMIF(63:63,C9,64:64)+100</f>
        <v>100</v>
      </c>
      <c r="G9" s="418" t="s">
        <v>3079</v>
      </c>
      <c r="H9" s="133">
        <f>SUMIF(63:63,G9,64:64)-SUMIF(63:63,C9,64:64)+100</f>
        <v>100</v>
      </c>
      <c r="I9" s="418" t="s">
        <v>3079</v>
      </c>
      <c r="J9" s="133">
        <f>SUMIF(63:63,I9,64:64)-SUMIF(63:63,C9,64:64)+100</f>
        <v>100</v>
      </c>
      <c r="K9" s="2594"/>
      <c r="L9" s="1132"/>
      <c r="M9" s="1133"/>
      <c r="N9" s="1133"/>
      <c r="O9" s="1133"/>
      <c r="P9" s="3175" t="s">
        <v>2558</v>
      </c>
      <c r="Q9" s="1794" t="str">
        <f t="shared" ref="Q9:Q15" si="6">B9</f>
        <v>用途</v>
      </c>
      <c r="R9" s="768" t="s">
        <v>17</v>
      </c>
      <c r="S9" s="769">
        <f t="shared" si="0"/>
        <v>100</v>
      </c>
      <c r="T9" s="768" t="s">
        <v>17</v>
      </c>
      <c r="U9" s="769">
        <f t="shared" si="1"/>
        <v>100</v>
      </c>
      <c r="V9" s="768" t="s">
        <v>17</v>
      </c>
      <c r="W9" s="769">
        <f t="shared" si="2"/>
        <v>100</v>
      </c>
      <c r="X9" s="770"/>
      <c r="Y9" s="3024" t="s">
        <v>2559</v>
      </c>
      <c r="Z9" s="54" t="str">
        <f t="shared" ref="Z9:Z15" si="7">Q9</f>
        <v>用途</v>
      </c>
      <c r="AA9" s="771">
        <f t="shared" si="3"/>
        <v>1</v>
      </c>
      <c r="AB9" s="771">
        <f t="shared" si="4"/>
        <v>1</v>
      </c>
      <c r="AC9" s="771">
        <f t="shared" si="5"/>
        <v>1</v>
      </c>
    </row>
    <row r="10" spans="1:29" s="426" customFormat="1" ht="27">
      <c r="A10" s="420"/>
      <c r="B10" s="421" t="s">
        <v>2560</v>
      </c>
      <c r="C10" s="422" t="s">
        <v>3140</v>
      </c>
      <c r="D10" s="134">
        <v>100</v>
      </c>
      <c r="E10" s="423" t="s">
        <v>3140</v>
      </c>
      <c r="F10" s="424">
        <f>SUMIF(65:65,E10,66:66)-SUMIF(65:65,C10,66:66)+100</f>
        <v>100</v>
      </c>
      <c r="G10" s="422" t="s">
        <v>3140</v>
      </c>
      <c r="H10" s="134">
        <f>SUMIF(65:65,G10,66:66)-SUMIF(65:65,C10,66:66)+100</f>
        <v>100</v>
      </c>
      <c r="I10" s="422" t="s">
        <v>3140</v>
      </c>
      <c r="J10" s="134">
        <f>SUMIF(65:65,I10,66:66)-SUMIF(65:65,C10,66:66)+100</f>
        <v>100</v>
      </c>
      <c r="K10" s="425">
        <v>2</v>
      </c>
      <c r="L10" s="1135"/>
      <c r="M10" s="1136"/>
      <c r="N10" s="1136"/>
      <c r="O10" s="1136"/>
      <c r="P10" s="3175"/>
      <c r="Q10" s="1794"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75" thickBot="1">
      <c r="A11" s="427"/>
      <c r="B11" s="421" t="s">
        <v>2561</v>
      </c>
      <c r="C11" s="428">
        <f>'数据-汇总表'!I4</f>
        <v>2.54</v>
      </c>
      <c r="D11" s="134">
        <v>100</v>
      </c>
      <c r="E11" s="429">
        <v>3</v>
      </c>
      <c r="F11" s="424">
        <f>LOOKUP(E11,68:68,69:69)-LOOKUP(C11,68:68,69:69)+100</f>
        <v>98</v>
      </c>
      <c r="G11" s="428">
        <v>3</v>
      </c>
      <c r="H11" s="134">
        <f>LOOKUP(G11,68:68,69:69)-LOOKUP(C11,68:68,69:69)+100</f>
        <v>98</v>
      </c>
      <c r="I11" s="428">
        <v>1.3</v>
      </c>
      <c r="J11" s="134">
        <f>LOOKUP(I11,68:68,69:69)-LOOKUP(C11,68:68,69:69)+100</f>
        <v>102</v>
      </c>
      <c r="K11" s="425">
        <v>2</v>
      </c>
      <c r="L11" s="1138"/>
      <c r="M11" s="1131"/>
      <c r="N11" s="1131"/>
      <c r="O11" s="1131"/>
      <c r="P11" s="3175"/>
      <c r="Q11" s="1794" t="str">
        <f t="shared" si="6"/>
        <v>容积率</v>
      </c>
      <c r="R11" s="768" t="s">
        <v>21</v>
      </c>
      <c r="S11" s="769">
        <f t="shared" si="0"/>
        <v>98</v>
      </c>
      <c r="T11" s="768" t="s">
        <v>21</v>
      </c>
      <c r="U11" s="769">
        <f t="shared" si="1"/>
        <v>98</v>
      </c>
      <c r="V11" s="768" t="s">
        <v>21</v>
      </c>
      <c r="W11" s="769">
        <f t="shared" si="2"/>
        <v>102</v>
      </c>
      <c r="X11" s="770"/>
      <c r="Y11" s="3024"/>
      <c r="Z11" s="54" t="str">
        <f t="shared" si="7"/>
        <v>容积率</v>
      </c>
      <c r="AA11" s="771">
        <f t="shared" si="3"/>
        <v>1.0204081632653061</v>
      </c>
      <c r="AB11" s="771">
        <f t="shared" si="4"/>
        <v>1.0204081632653061</v>
      </c>
      <c r="AC11" s="771">
        <f t="shared" si="5"/>
        <v>0.98039215686274506</v>
      </c>
    </row>
    <row r="12" spans="1:29" s="116" customFormat="1" ht="15" hidden="1">
      <c r="A12" s="430"/>
      <c r="B12" s="2596">
        <v>111</v>
      </c>
      <c r="C12" s="431"/>
      <c r="D12" s="432">
        <v>100</v>
      </c>
      <c r="E12" s="431"/>
      <c r="F12" s="424">
        <f>SUMIF(70:70,E12,71:71)-SUMIF(70:70,C12,71:71)+100</f>
        <v>100</v>
      </c>
      <c r="G12" s="431"/>
      <c r="H12" s="134">
        <f>SUMIF(70:70,G12,71:71)-SUMIF(70:70,C12,71:71)+100</f>
        <v>100</v>
      </c>
      <c r="I12" s="431"/>
      <c r="J12" s="134">
        <f>SUMIF(70:70,I12,71:71)-SUMIF(70:70,C12,71:71)+100</f>
        <v>100</v>
      </c>
      <c r="K12" s="2597"/>
      <c r="L12" s="1132"/>
      <c r="M12" s="1133"/>
      <c r="N12" s="1133"/>
      <c r="O12" s="1133"/>
      <c r="P12" s="3175"/>
      <c r="Q12" s="1794">
        <f t="shared" si="6"/>
        <v>111</v>
      </c>
      <c r="R12" s="768" t="s">
        <v>21</v>
      </c>
      <c r="S12" s="769">
        <f t="shared" si="0"/>
        <v>100</v>
      </c>
      <c r="T12" s="768" t="s">
        <v>21</v>
      </c>
      <c r="U12" s="769">
        <f t="shared" si="1"/>
        <v>100</v>
      </c>
      <c r="V12" s="768" t="s">
        <v>21</v>
      </c>
      <c r="W12" s="769">
        <f t="shared" si="2"/>
        <v>100</v>
      </c>
      <c r="X12" s="770"/>
      <c r="Y12" s="3024"/>
      <c r="Z12" s="54">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175"/>
      <c r="Q13" s="1794">
        <f t="shared" si="6"/>
        <v>111</v>
      </c>
      <c r="R13" s="768" t="s">
        <v>21</v>
      </c>
      <c r="S13" s="769">
        <f t="shared" si="0"/>
        <v>100</v>
      </c>
      <c r="T13" s="768" t="s">
        <v>21</v>
      </c>
      <c r="U13" s="769">
        <f t="shared" si="1"/>
        <v>100</v>
      </c>
      <c r="V13" s="768" t="s">
        <v>21</v>
      </c>
      <c r="W13" s="769">
        <f t="shared" si="2"/>
        <v>100</v>
      </c>
      <c r="X13" s="770"/>
      <c r="Y13" s="3024"/>
      <c r="Z13" s="54">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175"/>
      <c r="Q14" s="1794">
        <f t="shared" si="6"/>
        <v>111</v>
      </c>
      <c r="R14" s="768" t="s">
        <v>21</v>
      </c>
      <c r="S14" s="769">
        <f t="shared" si="0"/>
        <v>100</v>
      </c>
      <c r="T14" s="768" t="s">
        <v>21</v>
      </c>
      <c r="U14" s="769">
        <f t="shared" si="1"/>
        <v>100</v>
      </c>
      <c r="V14" s="768" t="s">
        <v>21</v>
      </c>
      <c r="W14" s="769">
        <f t="shared" si="2"/>
        <v>100</v>
      </c>
      <c r="X14" s="770"/>
      <c r="Y14" s="3024"/>
      <c r="Z14" s="54">
        <f t="shared" si="7"/>
        <v>111</v>
      </c>
      <c r="AA14" s="771">
        <f t="shared" si="3"/>
        <v>1</v>
      </c>
      <c r="AB14" s="771">
        <f t="shared" si="4"/>
        <v>1</v>
      </c>
      <c r="AC14" s="771">
        <f t="shared" si="5"/>
        <v>1</v>
      </c>
    </row>
    <row r="15" spans="1:29" ht="99.75">
      <c r="A15" s="439" t="s">
        <v>2562</v>
      </c>
      <c r="B15" s="68" t="s">
        <v>2091</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103</v>
      </c>
      <c r="I15" s="441"/>
      <c r="J15" s="440">
        <f>SUMIF(76:76,I16,77:77)-SUMIF(76:76,C16,77:77)+100</f>
        <v>100</v>
      </c>
      <c r="K15" s="444">
        <v>3</v>
      </c>
      <c r="L15" s="1140"/>
      <c r="M15" s="1131"/>
      <c r="N15" s="1131"/>
      <c r="O15" s="1131"/>
      <c r="P15" s="3219" t="s">
        <v>2563</v>
      </c>
      <c r="Q15" s="1809" t="str">
        <f t="shared" si="6"/>
        <v>居住社区成熟度</v>
      </c>
      <c r="R15" s="772" t="s">
        <v>21</v>
      </c>
      <c r="S15" s="773">
        <f t="shared" si="0"/>
        <v>100</v>
      </c>
      <c r="T15" s="772" t="s">
        <v>21</v>
      </c>
      <c r="U15" s="773">
        <f t="shared" si="1"/>
        <v>103</v>
      </c>
      <c r="V15" s="772" t="s">
        <v>21</v>
      </c>
      <c r="W15" s="773">
        <f t="shared" si="2"/>
        <v>100</v>
      </c>
      <c r="X15" s="1812"/>
      <c r="Y15" s="3178" t="s">
        <v>2563</v>
      </c>
      <c r="Z15" s="1813" t="str">
        <f t="shared" si="7"/>
        <v>居住社区成熟度</v>
      </c>
      <c r="AA15" s="1810">
        <f t="shared" si="3"/>
        <v>1</v>
      </c>
      <c r="AB15" s="1810">
        <f t="shared" si="4"/>
        <v>0.970873786407767</v>
      </c>
      <c r="AC15" s="1810">
        <f t="shared" si="5"/>
        <v>1</v>
      </c>
    </row>
    <row r="16" spans="1:29" ht="15">
      <c r="A16" s="427"/>
      <c r="B16" s="445"/>
      <c r="C16" s="446" t="s">
        <v>3110</v>
      </c>
      <c r="D16" s="447"/>
      <c r="E16" s="2600" t="s">
        <v>3110</v>
      </c>
      <c r="F16" s="447"/>
      <c r="G16" s="2601" t="s">
        <v>3111</v>
      </c>
      <c r="H16" s="449"/>
      <c r="I16" s="2601" t="s">
        <v>3110</v>
      </c>
      <c r="J16" s="447"/>
      <c r="K16" s="2602"/>
      <c r="L16" s="1140"/>
      <c r="M16" s="1131"/>
      <c r="N16" s="1131"/>
      <c r="O16" s="1131"/>
      <c r="P16" s="3220"/>
      <c r="Q16" s="1809"/>
      <c r="R16" s="772"/>
      <c r="S16" s="773"/>
      <c r="T16" s="772"/>
      <c r="U16" s="773"/>
      <c r="V16" s="772"/>
      <c r="W16" s="773"/>
      <c r="X16" s="1812"/>
      <c r="Y16" s="3179"/>
      <c r="Z16" s="1813"/>
      <c r="AA16" s="1810">
        <v>1</v>
      </c>
      <c r="AB16" s="1810">
        <v>1</v>
      </c>
      <c r="AC16" s="1810">
        <v>1</v>
      </c>
    </row>
    <row r="17" spans="1:29" ht="85.5">
      <c r="A17" s="427"/>
      <c r="B17" s="450" t="s">
        <v>2103</v>
      </c>
      <c r="C17" s="260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3</v>
      </c>
      <c r="L17" s="1140"/>
      <c r="M17" s="1131"/>
      <c r="N17" s="1131"/>
      <c r="O17" s="1131"/>
      <c r="P17" s="3220"/>
      <c r="Q17" s="1809" t="str">
        <f>B17</f>
        <v>交通便捷度</v>
      </c>
      <c r="R17" s="772" t="s">
        <v>21</v>
      </c>
      <c r="S17" s="773">
        <f>F17</f>
        <v>100</v>
      </c>
      <c r="T17" s="772" t="s">
        <v>21</v>
      </c>
      <c r="U17" s="773">
        <f>H17</f>
        <v>100</v>
      </c>
      <c r="V17" s="772" t="s">
        <v>21</v>
      </c>
      <c r="W17" s="773">
        <f>J17</f>
        <v>100</v>
      </c>
      <c r="X17" s="1812"/>
      <c r="Y17" s="3179"/>
      <c r="Z17" s="1813" t="str">
        <f>Q17</f>
        <v>交通便捷度</v>
      </c>
      <c r="AA17" s="1810">
        <f t="shared" si="3"/>
        <v>1</v>
      </c>
      <c r="AB17" s="1810">
        <f t="shared" si="4"/>
        <v>1</v>
      </c>
      <c r="AC17" s="1810">
        <f t="shared" si="5"/>
        <v>1</v>
      </c>
    </row>
    <row r="18" spans="1:29" ht="15">
      <c r="A18" s="427"/>
      <c r="B18" s="455"/>
      <c r="C18" s="2604" t="s">
        <v>3110</v>
      </c>
      <c r="D18" s="449"/>
      <c r="E18" s="2605" t="s">
        <v>3110</v>
      </c>
      <c r="F18" s="449"/>
      <c r="G18" s="2606" t="s">
        <v>3110</v>
      </c>
      <c r="H18" s="447"/>
      <c r="I18" s="2606" t="s">
        <v>3110</v>
      </c>
      <c r="J18" s="447"/>
      <c r="K18" s="2602"/>
      <c r="L18" s="1140"/>
      <c r="M18" s="1131"/>
      <c r="N18" s="1131"/>
      <c r="O18" s="1131"/>
      <c r="P18" s="3220"/>
      <c r="Q18" s="1809"/>
      <c r="R18" s="772"/>
      <c r="S18" s="773"/>
      <c r="T18" s="772"/>
      <c r="U18" s="773"/>
      <c r="V18" s="772"/>
      <c r="W18" s="773"/>
      <c r="X18" s="1812"/>
      <c r="Y18" s="3179"/>
      <c r="Z18" s="1813"/>
      <c r="AA18" s="1810">
        <v>1</v>
      </c>
      <c r="AB18" s="1810">
        <v>1</v>
      </c>
      <c r="AC18" s="1810">
        <v>1</v>
      </c>
    </row>
    <row r="19" spans="1:29" ht="42.75">
      <c r="A19" s="427"/>
      <c r="B19" s="450" t="s">
        <v>2101</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3</v>
      </c>
      <c r="L19" s="1140"/>
      <c r="M19" s="1131"/>
      <c r="N19" s="1131"/>
      <c r="O19" s="1131"/>
      <c r="P19" s="3220"/>
      <c r="Q19" s="1809" t="str">
        <f>B19</f>
        <v>公共配套设施</v>
      </c>
      <c r="R19" s="772" t="s">
        <v>21</v>
      </c>
      <c r="S19" s="773">
        <f>F19</f>
        <v>100</v>
      </c>
      <c r="T19" s="772" t="s">
        <v>21</v>
      </c>
      <c r="U19" s="773">
        <f>H19</f>
        <v>100</v>
      </c>
      <c r="V19" s="772" t="s">
        <v>21</v>
      </c>
      <c r="W19" s="773">
        <f>J19</f>
        <v>100</v>
      </c>
      <c r="X19" s="1812"/>
      <c r="Y19" s="3179"/>
      <c r="Z19" s="1813" t="str">
        <f>Q19</f>
        <v>公共配套设施</v>
      </c>
      <c r="AA19" s="1810">
        <f t="shared" si="3"/>
        <v>1</v>
      </c>
      <c r="AB19" s="1810">
        <f t="shared" si="4"/>
        <v>1</v>
      </c>
      <c r="AC19" s="1810">
        <f t="shared" si="5"/>
        <v>1</v>
      </c>
    </row>
    <row r="20" spans="1:29" ht="15">
      <c r="A20" s="427"/>
      <c r="B20" s="455"/>
      <c r="C20" s="446" t="s">
        <v>3111</v>
      </c>
      <c r="D20" s="447"/>
      <c r="E20" s="2600" t="s">
        <v>3111</v>
      </c>
      <c r="F20" s="447"/>
      <c r="G20" s="2601" t="s">
        <v>3111</v>
      </c>
      <c r="H20" s="447"/>
      <c r="I20" s="2601" t="s">
        <v>3111</v>
      </c>
      <c r="J20" s="447"/>
      <c r="K20" s="2602"/>
      <c r="L20" s="1140"/>
      <c r="M20" s="1131"/>
      <c r="N20" s="1131"/>
      <c r="O20" s="1131"/>
      <c r="P20" s="3220"/>
      <c r="Q20" s="1809"/>
      <c r="R20" s="772"/>
      <c r="S20" s="773"/>
      <c r="T20" s="772"/>
      <c r="U20" s="773"/>
      <c r="V20" s="772"/>
      <c r="W20" s="773"/>
      <c r="X20" s="1812"/>
      <c r="Y20" s="3179"/>
      <c r="Z20" s="1813"/>
      <c r="AA20" s="1810">
        <v>1</v>
      </c>
      <c r="AB20" s="1810">
        <v>1</v>
      </c>
      <c r="AC20" s="1810">
        <v>1</v>
      </c>
    </row>
    <row r="21" spans="1:29" ht="28.5">
      <c r="A21" s="427"/>
      <c r="B21" s="1384" t="s">
        <v>2104</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40"/>
      <c r="M21" s="1131"/>
      <c r="N21" s="1131"/>
      <c r="O21" s="1131"/>
      <c r="P21" s="3220"/>
      <c r="Q21" s="1809" t="str">
        <f>B21</f>
        <v>基础设施水平</v>
      </c>
      <c r="R21" s="772" t="s">
        <v>17</v>
      </c>
      <c r="S21" s="773">
        <f>F21</f>
        <v>100</v>
      </c>
      <c r="T21" s="772" t="s">
        <v>17</v>
      </c>
      <c r="U21" s="773">
        <f>H21</f>
        <v>100</v>
      </c>
      <c r="V21" s="772" t="s">
        <v>17</v>
      </c>
      <c r="W21" s="773">
        <f>J21</f>
        <v>100</v>
      </c>
      <c r="X21" s="1812"/>
      <c r="Y21" s="3179"/>
      <c r="Z21" s="1813" t="str">
        <f>Q21</f>
        <v>基础设施水平</v>
      </c>
      <c r="AA21" s="1810">
        <f t="shared" ref="AA21" si="8">D21/F21</f>
        <v>1</v>
      </c>
      <c r="AB21" s="1810">
        <f t="shared" ref="AB21" si="9">D21/H21</f>
        <v>1</v>
      </c>
      <c r="AC21" s="1810">
        <f t="shared" ref="AC21" si="10">D21/J21</f>
        <v>1</v>
      </c>
    </row>
    <row r="22" spans="1:29" ht="15">
      <c r="A22" s="427"/>
      <c r="B22" s="1384"/>
      <c r="C22" s="2604" t="s">
        <v>3112</v>
      </c>
      <c r="D22" s="447"/>
      <c r="E22" s="446" t="s">
        <v>3112</v>
      </c>
      <c r="F22" s="447"/>
      <c r="G22" s="2607" t="s">
        <v>3112</v>
      </c>
      <c r="H22" s="447"/>
      <c r="I22" s="446" t="s">
        <v>3112</v>
      </c>
      <c r="J22" s="447"/>
      <c r="K22" s="2608"/>
      <c r="L22" s="1140"/>
      <c r="M22" s="1131"/>
      <c r="N22" s="1131"/>
      <c r="O22" s="1131"/>
      <c r="P22" s="3220"/>
      <c r="Q22" s="1809"/>
      <c r="R22" s="772"/>
      <c r="S22" s="773"/>
      <c r="T22" s="772"/>
      <c r="U22" s="773"/>
      <c r="V22" s="772"/>
      <c r="W22" s="773"/>
      <c r="X22" s="1812"/>
      <c r="Y22" s="3179"/>
      <c r="Z22" s="1813"/>
      <c r="AA22" s="1810">
        <v>1</v>
      </c>
      <c r="AB22" s="1810">
        <v>1</v>
      </c>
      <c r="AC22" s="1810">
        <v>1</v>
      </c>
    </row>
    <row r="23" spans="1:29" ht="57">
      <c r="A23" s="427"/>
      <c r="B23" s="450" t="s">
        <v>2108</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0"/>
      <c r="M23" s="1131"/>
      <c r="N23" s="1131"/>
      <c r="O23" s="1131"/>
      <c r="P23" s="3220"/>
      <c r="Q23" s="1809" t="str">
        <f>B23</f>
        <v>自然及人文环境</v>
      </c>
      <c r="R23" s="772" t="s">
        <v>21</v>
      </c>
      <c r="S23" s="773">
        <f>F23</f>
        <v>100</v>
      </c>
      <c r="T23" s="772" t="s">
        <v>21</v>
      </c>
      <c r="U23" s="773">
        <f>H23</f>
        <v>100</v>
      </c>
      <c r="V23" s="772" t="s">
        <v>21</v>
      </c>
      <c r="W23" s="773">
        <f>J23</f>
        <v>100</v>
      </c>
      <c r="X23" s="1812"/>
      <c r="Y23" s="3179"/>
      <c r="Z23" s="1813" t="str">
        <f>Q23</f>
        <v>自然及人文环境</v>
      </c>
      <c r="AA23" s="1810">
        <f>D23/F23</f>
        <v>1</v>
      </c>
      <c r="AB23" s="1810">
        <f>D23/H23</f>
        <v>1</v>
      </c>
      <c r="AC23" s="1810">
        <f>D23/J23</f>
        <v>1</v>
      </c>
    </row>
    <row r="24" spans="1:29" ht="15.75" thickBot="1">
      <c r="A24" s="427"/>
      <c r="B24" s="455"/>
      <c r="C24" s="446" t="s">
        <v>3111</v>
      </c>
      <c r="D24" s="447"/>
      <c r="E24" s="2600" t="s">
        <v>3111</v>
      </c>
      <c r="F24" s="447"/>
      <c r="G24" s="2601" t="s">
        <v>3111</v>
      </c>
      <c r="H24" s="447"/>
      <c r="I24" s="2601" t="s">
        <v>3111</v>
      </c>
      <c r="J24" s="447"/>
      <c r="K24" s="2602"/>
      <c r="L24" s="1140"/>
      <c r="M24" s="1131"/>
      <c r="N24" s="1131"/>
      <c r="O24" s="1131"/>
      <c r="P24" s="3220"/>
      <c r="Q24" s="1809"/>
      <c r="R24" s="772"/>
      <c r="S24" s="773"/>
      <c r="T24" s="772"/>
      <c r="U24" s="773"/>
      <c r="V24" s="772"/>
      <c r="W24" s="773"/>
      <c r="X24" s="1812"/>
      <c r="Y24" s="3179"/>
      <c r="Z24" s="1813"/>
      <c r="AA24" s="1810">
        <v>1</v>
      </c>
      <c r="AB24" s="1810">
        <v>1</v>
      </c>
      <c r="AC24" s="1810">
        <v>1</v>
      </c>
    </row>
    <row r="25" spans="1:29" ht="15" hidden="1">
      <c r="A25" s="427"/>
      <c r="B25" s="421" t="s">
        <v>2564</v>
      </c>
      <c r="C25" s="459"/>
      <c r="D25" s="434">
        <v>100</v>
      </c>
      <c r="E25" s="2609"/>
      <c r="F25" s="434">
        <f>SUMIF(86:86,E25,87:87)-SUMIF(86:86,C25,87:87)+100</f>
        <v>100</v>
      </c>
      <c r="G25" s="2610"/>
      <c r="H25" s="434">
        <f>SUMIF(86:86,G25,87:87)-SUMIF(86:86,C25,87:87)+100</f>
        <v>100</v>
      </c>
      <c r="I25" s="2610"/>
      <c r="J25" s="434">
        <f>SUMIF(86:86,I25,87:87)-SUMIF(86:86,C25,87:87)+100</f>
        <v>100</v>
      </c>
      <c r="K25" s="425"/>
      <c r="L25" s="1140"/>
      <c r="M25" s="1131"/>
      <c r="N25" s="1131"/>
      <c r="O25" s="1131"/>
      <c r="P25" s="3220"/>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179"/>
      <c r="Z25" s="1813" t="str">
        <f>Q25</f>
        <v>楼层-1</v>
      </c>
      <c r="AA25" s="1810">
        <f t="shared" ref="AA25:AA46" si="15">D25/F25</f>
        <v>1</v>
      </c>
      <c r="AB25" s="1810">
        <f t="shared" ref="AB25:AB46" si="16">D25/H25</f>
        <v>1</v>
      </c>
      <c r="AC25" s="1810">
        <f t="shared" ref="AC25:AC46" si="17">D25/J25</f>
        <v>1</v>
      </c>
    </row>
    <row r="26" spans="1:29" ht="15" hidden="1">
      <c r="A26" s="427"/>
      <c r="B26" s="421" t="s">
        <v>2565</v>
      </c>
      <c r="C26" s="459"/>
      <c r="D26" s="434">
        <v>100</v>
      </c>
      <c r="E26" s="2609"/>
      <c r="F26" s="434">
        <f>SUMIF(88:88,E26,89:89)-SUMIF(88:88,C26,89:89)+100</f>
        <v>100</v>
      </c>
      <c r="G26" s="2610"/>
      <c r="H26" s="434">
        <f>SUMIF(88:88,G26,89:89)-SUMIF(88:88,C26,89:89)+100</f>
        <v>100</v>
      </c>
      <c r="I26" s="2610"/>
      <c r="J26" s="434">
        <f>SUMIF(88:88,I26,89:89)-SUMIF(88:88,C26,89:89)+100</f>
        <v>100</v>
      </c>
      <c r="K26" s="425"/>
      <c r="L26" s="1140"/>
      <c r="M26" s="1131"/>
      <c r="N26" s="1131"/>
      <c r="O26" s="1131"/>
      <c r="P26" s="3220"/>
      <c r="Q26" s="1809" t="str">
        <f t="shared" si="11"/>
        <v>朝向</v>
      </c>
      <c r="R26" s="772" t="s">
        <v>21</v>
      </c>
      <c r="S26" s="773">
        <f t="shared" si="12"/>
        <v>100</v>
      </c>
      <c r="T26" s="772" t="s">
        <v>21</v>
      </c>
      <c r="U26" s="773">
        <f t="shared" si="13"/>
        <v>100</v>
      </c>
      <c r="V26" s="772" t="s">
        <v>21</v>
      </c>
      <c r="W26" s="773">
        <f t="shared" si="14"/>
        <v>100</v>
      </c>
      <c r="X26" s="1812"/>
      <c r="Y26" s="3179"/>
      <c r="Z26" s="1813" t="str">
        <f>Q26</f>
        <v>朝向</v>
      </c>
      <c r="AA26" s="1810">
        <f t="shared" si="15"/>
        <v>1</v>
      </c>
      <c r="AB26" s="1810">
        <f t="shared" si="16"/>
        <v>1</v>
      </c>
      <c r="AC26" s="1810">
        <f t="shared" si="17"/>
        <v>1</v>
      </c>
    </row>
    <row r="27" spans="1:29" s="116" customFormat="1" ht="15" hidden="1">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7"/>
      <c r="L27" s="1132"/>
      <c r="M27" s="1133"/>
      <c r="N27" s="1133"/>
      <c r="O27" s="1133"/>
      <c r="P27" s="3220"/>
      <c r="Q27" s="1794">
        <f t="shared" si="11"/>
        <v>111</v>
      </c>
      <c r="R27" s="768" t="s">
        <v>21</v>
      </c>
      <c r="S27" s="769">
        <f t="shared" si="12"/>
        <v>100</v>
      </c>
      <c r="T27" s="768" t="s">
        <v>21</v>
      </c>
      <c r="U27" s="769">
        <f t="shared" si="13"/>
        <v>100</v>
      </c>
      <c r="V27" s="768" t="s">
        <v>21</v>
      </c>
      <c r="W27" s="769">
        <f t="shared" si="14"/>
        <v>100</v>
      </c>
      <c r="X27" s="770"/>
      <c r="Y27" s="3179"/>
      <c r="Z27" s="54">
        <f>Q27</f>
        <v>111</v>
      </c>
      <c r="AA27" s="1810">
        <f t="shared" si="15"/>
        <v>1</v>
      </c>
      <c r="AB27" s="1810">
        <f t="shared" si="16"/>
        <v>1</v>
      </c>
      <c r="AC27" s="1810">
        <f t="shared" si="17"/>
        <v>1</v>
      </c>
    </row>
    <row r="28" spans="1:29" ht="15" hidden="1">
      <c r="A28" s="427"/>
      <c r="B28" s="1386">
        <v>111</v>
      </c>
      <c r="C28" s="433"/>
      <c r="D28" s="434">
        <v>100</v>
      </c>
      <c r="E28" s="433"/>
      <c r="F28" s="434">
        <f>SUMIF(92:92,E28,93:93)-SUMIF(92:92,C28,93:93)+100</f>
        <v>100</v>
      </c>
      <c r="G28" s="2611"/>
      <c r="H28" s="434">
        <f>SUMIF(92:92,G28,93:93)-SUMIF(92:92,C28,93:93)+100</f>
        <v>100</v>
      </c>
      <c r="I28" s="433"/>
      <c r="J28" s="434">
        <f>SUMIF(92:92,I28,93:93)-SUMIF(92:92,C28,93:93)+100</f>
        <v>100</v>
      </c>
      <c r="K28" s="2597"/>
      <c r="L28" s="1140"/>
      <c r="M28" s="1131"/>
      <c r="N28" s="1131"/>
      <c r="O28" s="1131"/>
      <c r="P28" s="3220"/>
      <c r="Q28" s="1809">
        <f t="shared" si="11"/>
        <v>111</v>
      </c>
      <c r="R28" s="772" t="s">
        <v>21</v>
      </c>
      <c r="S28" s="773">
        <f t="shared" si="12"/>
        <v>100</v>
      </c>
      <c r="T28" s="772" t="s">
        <v>21</v>
      </c>
      <c r="U28" s="773">
        <f t="shared" si="13"/>
        <v>100</v>
      </c>
      <c r="V28" s="772" t="s">
        <v>21</v>
      </c>
      <c r="W28" s="773">
        <f t="shared" si="14"/>
        <v>100</v>
      </c>
      <c r="X28" s="1812"/>
      <c r="Y28" s="3179"/>
      <c r="Z28" s="1813">
        <f t="shared" ref="Z28:Z46" si="18">Q28</f>
        <v>111</v>
      </c>
      <c r="AA28" s="1810">
        <f t="shared" si="15"/>
        <v>1</v>
      </c>
      <c r="AB28" s="1810">
        <f t="shared" si="16"/>
        <v>1</v>
      </c>
      <c r="AC28" s="1810">
        <f t="shared" si="17"/>
        <v>1</v>
      </c>
    </row>
    <row r="29" spans="1:29" ht="15" hidden="1">
      <c r="A29" s="427"/>
      <c r="B29" s="1386">
        <v>111</v>
      </c>
      <c r="C29" s="433"/>
      <c r="D29" s="434">
        <v>100</v>
      </c>
      <c r="E29" s="433"/>
      <c r="F29" s="434">
        <f>SUMIF(94:94,E29,95:95)-SUMIF(94:94,C29,95:95)+100</f>
        <v>100</v>
      </c>
      <c r="G29" s="2611"/>
      <c r="H29" s="434">
        <f>SUMIF(94:94,G29,95:95)-SUMIF(94:94,C29,95:95)+100</f>
        <v>100</v>
      </c>
      <c r="I29" s="433"/>
      <c r="J29" s="434">
        <f>SUMIF(94:94,I29,95:95)-SUMIF(94:94,C29,95:95)+100</f>
        <v>100</v>
      </c>
      <c r="K29" s="2597"/>
      <c r="L29" s="1140"/>
      <c r="M29" s="1131"/>
      <c r="N29" s="1131"/>
      <c r="O29" s="1131"/>
      <c r="P29" s="3220"/>
      <c r="Q29" s="1809">
        <f t="shared" si="11"/>
        <v>111</v>
      </c>
      <c r="R29" s="772" t="s">
        <v>21</v>
      </c>
      <c r="S29" s="773">
        <f t="shared" si="12"/>
        <v>100</v>
      </c>
      <c r="T29" s="772" t="s">
        <v>21</v>
      </c>
      <c r="U29" s="773">
        <f t="shared" si="13"/>
        <v>100</v>
      </c>
      <c r="V29" s="772" t="s">
        <v>21</v>
      </c>
      <c r="W29" s="773">
        <f t="shared" si="14"/>
        <v>100</v>
      </c>
      <c r="X29" s="1812"/>
      <c r="Y29" s="3179"/>
      <c r="Z29" s="1813">
        <f t="shared" si="18"/>
        <v>111</v>
      </c>
      <c r="AA29" s="1810">
        <f t="shared" si="15"/>
        <v>1</v>
      </c>
      <c r="AB29" s="1810">
        <f t="shared" si="16"/>
        <v>1</v>
      </c>
      <c r="AC29" s="1810">
        <f t="shared" si="17"/>
        <v>1</v>
      </c>
    </row>
    <row r="30" spans="1:29" ht="15" hidden="1">
      <c r="A30" s="427"/>
      <c r="B30" s="1386">
        <v>111</v>
      </c>
      <c r="C30" s="433"/>
      <c r="D30" s="434">
        <v>100</v>
      </c>
      <c r="E30" s="433"/>
      <c r="F30" s="434">
        <f>SUMIF(96:96,E30,97:97)-SUMIF(96:96,C30,97:97)+100</f>
        <v>100</v>
      </c>
      <c r="G30" s="2611"/>
      <c r="H30" s="434">
        <f>SUMIF(96:96,G30,97:97)-SUMIF(96:96,C30,97:97)+100</f>
        <v>100</v>
      </c>
      <c r="I30" s="433"/>
      <c r="J30" s="434">
        <f>SUMIF(96:96,I30,97:97)-SUMIF(96:96,C30,97:97)+100</f>
        <v>100</v>
      </c>
      <c r="K30" s="2597"/>
      <c r="L30" s="1140"/>
      <c r="M30" s="1131"/>
      <c r="N30" s="1131"/>
      <c r="O30" s="1131"/>
      <c r="P30" s="3220"/>
      <c r="Q30" s="1809">
        <f t="shared" si="11"/>
        <v>111</v>
      </c>
      <c r="R30" s="772" t="s">
        <v>21</v>
      </c>
      <c r="S30" s="773">
        <f t="shared" si="12"/>
        <v>100</v>
      </c>
      <c r="T30" s="772" t="s">
        <v>21</v>
      </c>
      <c r="U30" s="773">
        <f t="shared" si="13"/>
        <v>100</v>
      </c>
      <c r="V30" s="772" t="s">
        <v>21</v>
      </c>
      <c r="W30" s="773">
        <f t="shared" si="14"/>
        <v>100</v>
      </c>
      <c r="X30" s="1812"/>
      <c r="Y30" s="3179"/>
      <c r="Z30" s="1813">
        <f t="shared" si="18"/>
        <v>111</v>
      </c>
      <c r="AA30" s="1810">
        <f t="shared" si="15"/>
        <v>1</v>
      </c>
      <c r="AB30" s="1810">
        <f t="shared" si="16"/>
        <v>1</v>
      </c>
      <c r="AC30" s="1810">
        <f t="shared" si="17"/>
        <v>1</v>
      </c>
    </row>
    <row r="31" spans="1:29" ht="15.75" hidden="1" thickBot="1">
      <c r="A31" s="435"/>
      <c r="B31" s="1386">
        <v>111</v>
      </c>
      <c r="C31" s="436"/>
      <c r="D31" s="437">
        <v>100</v>
      </c>
      <c r="E31" s="436"/>
      <c r="F31" s="437">
        <f>SUMIF(98:98,E31,99:99)-SUMIF(98:98,C31,99:99)+100</f>
        <v>100</v>
      </c>
      <c r="G31" s="2612"/>
      <c r="H31" s="437">
        <f>SUMIF(98:98,G31,99:99)-SUMIF(98:98,C31,99:99)+100</f>
        <v>100</v>
      </c>
      <c r="I31" s="436"/>
      <c r="J31" s="437">
        <f>SUMIF(98:98,I31,99:99)-SUMIF(98:98,C31,99:99)+100</f>
        <v>100</v>
      </c>
      <c r="K31" s="2597"/>
      <c r="L31" s="1140"/>
      <c r="M31" s="1131"/>
      <c r="N31" s="1131"/>
      <c r="O31" s="1131"/>
      <c r="P31" s="3220"/>
      <c r="Q31" s="1809">
        <f t="shared" si="11"/>
        <v>111</v>
      </c>
      <c r="R31" s="772" t="s">
        <v>21</v>
      </c>
      <c r="S31" s="773">
        <f t="shared" si="12"/>
        <v>100</v>
      </c>
      <c r="T31" s="772" t="s">
        <v>21</v>
      </c>
      <c r="U31" s="773">
        <f t="shared" si="13"/>
        <v>100</v>
      </c>
      <c r="V31" s="772" t="s">
        <v>21</v>
      </c>
      <c r="W31" s="773">
        <f t="shared" si="14"/>
        <v>100</v>
      </c>
      <c r="X31" s="1812"/>
      <c r="Y31" s="3179"/>
      <c r="Z31" s="1813">
        <f t="shared" si="18"/>
        <v>111</v>
      </c>
      <c r="AA31" s="1810">
        <f t="shared" si="15"/>
        <v>1</v>
      </c>
      <c r="AB31" s="1810">
        <f t="shared" si="16"/>
        <v>1</v>
      </c>
      <c r="AC31" s="1810">
        <f t="shared" si="17"/>
        <v>1</v>
      </c>
    </row>
    <row r="32" spans="1:29" ht="15">
      <c r="A32" s="439" t="s">
        <v>2566</v>
      </c>
      <c r="B32" s="70" t="s">
        <v>2567</v>
      </c>
      <c r="C32" s="2613" t="s">
        <v>3141</v>
      </c>
      <c r="D32" s="466">
        <v>100</v>
      </c>
      <c r="E32" s="2613" t="s">
        <v>3141</v>
      </c>
      <c r="F32" s="460">
        <f>SUMIF(100:100,E32,101:101)-SUMIF(100:100,C32,101:101)+100</f>
        <v>100</v>
      </c>
      <c r="G32" s="2613" t="s">
        <v>3141</v>
      </c>
      <c r="H32" s="466">
        <f>SUMIF(100:100,G32,101:101)-SUMIF(100:100,C32,101:101)+100</f>
        <v>100</v>
      </c>
      <c r="I32" s="2613" t="s">
        <v>3141</v>
      </c>
      <c r="J32" s="434">
        <f>SUMIF(100:100,I32,101:101)-SUMIF(100:100,C32,101:101)+100</f>
        <v>100</v>
      </c>
      <c r="K32" s="425"/>
      <c r="L32" s="1140"/>
      <c r="M32" s="1131"/>
      <c r="N32" s="1131"/>
      <c r="O32" s="1131"/>
      <c r="P32" s="3221" t="s">
        <v>2568</v>
      </c>
      <c r="Q32" s="1809" t="str">
        <f t="shared" si="11"/>
        <v>建筑类型</v>
      </c>
      <c r="R32" s="772" t="s">
        <v>21</v>
      </c>
      <c r="S32" s="773">
        <f t="shared" si="12"/>
        <v>100</v>
      </c>
      <c r="T32" s="772" t="s">
        <v>21</v>
      </c>
      <c r="U32" s="773">
        <f t="shared" si="13"/>
        <v>100</v>
      </c>
      <c r="V32" s="772" t="s">
        <v>21</v>
      </c>
      <c r="W32" s="773">
        <f t="shared" si="14"/>
        <v>100</v>
      </c>
      <c r="X32" s="1812"/>
      <c r="Y32" s="3181" t="s">
        <v>2568</v>
      </c>
      <c r="Z32" s="1813" t="str">
        <f t="shared" si="18"/>
        <v>建筑类型</v>
      </c>
      <c r="AA32" s="1810">
        <f t="shared" si="15"/>
        <v>1</v>
      </c>
      <c r="AB32" s="1810">
        <f t="shared" si="16"/>
        <v>1</v>
      </c>
      <c r="AC32" s="1810">
        <f t="shared" si="17"/>
        <v>1</v>
      </c>
    </row>
    <row r="33" spans="1:29" s="470" customFormat="1" ht="15">
      <c r="A33" s="467"/>
      <c r="B33" s="421" t="s">
        <v>2569</v>
      </c>
      <c r="C33" s="468">
        <f>'数据-基础表'!B3</f>
        <v>131497.4</v>
      </c>
      <c r="D33" s="134">
        <v>100</v>
      </c>
      <c r="E33" s="429">
        <v>450000</v>
      </c>
      <c r="F33" s="424">
        <f>LOOKUP(E33,103:103,104:104)-LOOKUP(C33,103:103,104:104)+100</f>
        <v>102</v>
      </c>
      <c r="G33" s="428">
        <v>477270</v>
      </c>
      <c r="H33" s="134">
        <f>LOOKUP(G33,103:103,104:104)-LOOKUP(C33,103:103,104:104)+100</f>
        <v>102</v>
      </c>
      <c r="I33" s="429">
        <v>387000</v>
      </c>
      <c r="J33" s="134">
        <f>LOOKUP(I33,103:103,104:104)-LOOKUP(C33,103:103,104:104)+100</f>
        <v>101</v>
      </c>
      <c r="K33" s="2597"/>
      <c r="L33" s="1138"/>
      <c r="M33" s="1141"/>
      <c r="N33" s="1141"/>
      <c r="O33" s="1141"/>
      <c r="P33" s="3222"/>
      <c r="Q33" s="774" t="str">
        <f t="shared" si="11"/>
        <v>项目建筑规模</v>
      </c>
      <c r="R33" s="775" t="s">
        <v>21</v>
      </c>
      <c r="S33" s="776">
        <f t="shared" si="12"/>
        <v>102</v>
      </c>
      <c r="T33" s="775" t="s">
        <v>21</v>
      </c>
      <c r="U33" s="776">
        <f t="shared" si="13"/>
        <v>102</v>
      </c>
      <c r="V33" s="775" t="s">
        <v>21</v>
      </c>
      <c r="W33" s="776">
        <f t="shared" si="14"/>
        <v>101</v>
      </c>
      <c r="X33" s="777"/>
      <c r="Y33" s="3181"/>
      <c r="Z33" s="778" t="str">
        <f t="shared" si="18"/>
        <v>项目建筑规模</v>
      </c>
      <c r="AA33" s="1810">
        <f t="shared" si="15"/>
        <v>0.98039215686274506</v>
      </c>
      <c r="AB33" s="1810">
        <f t="shared" si="16"/>
        <v>0.98039215686274506</v>
      </c>
      <c r="AC33" s="1810">
        <f t="shared" si="17"/>
        <v>0.99009900990099009</v>
      </c>
    </row>
    <row r="34" spans="1:29" ht="15">
      <c r="A34" s="471"/>
      <c r="B34" s="421" t="s">
        <v>2570</v>
      </c>
      <c r="C34" s="2614" t="s">
        <v>3134</v>
      </c>
      <c r="D34" s="434">
        <v>100</v>
      </c>
      <c r="E34" s="2614" t="s">
        <v>3134</v>
      </c>
      <c r="F34" s="460">
        <f>SUMIF(105:105,E34,106:106)-SUMIF(105:105,C34,106:106)+100</f>
        <v>100</v>
      </c>
      <c r="G34" s="2614" t="s">
        <v>3134</v>
      </c>
      <c r="H34" s="434">
        <f>SUMIF(105:105,G34,106:106)-SUMIF(105:105,C34,106:106)+100</f>
        <v>100</v>
      </c>
      <c r="I34" s="2614" t="s">
        <v>3134</v>
      </c>
      <c r="J34" s="434">
        <f>SUMIF(105:105,I34,106:106)-SUMIF(105:105,C34,106:106)+100</f>
        <v>100</v>
      </c>
      <c r="K34" s="425"/>
      <c r="L34" s="1140"/>
      <c r="M34" s="1131"/>
      <c r="N34" s="1131"/>
      <c r="O34" s="1131"/>
      <c r="P34" s="3222"/>
      <c r="Q34" s="1809" t="str">
        <f t="shared" si="11"/>
        <v>建筑结构</v>
      </c>
      <c r="R34" s="772" t="s">
        <v>21</v>
      </c>
      <c r="S34" s="773">
        <f t="shared" si="12"/>
        <v>100</v>
      </c>
      <c r="T34" s="772" t="s">
        <v>21</v>
      </c>
      <c r="U34" s="773">
        <f t="shared" si="13"/>
        <v>100</v>
      </c>
      <c r="V34" s="772" t="s">
        <v>21</v>
      </c>
      <c r="W34" s="773">
        <f t="shared" si="14"/>
        <v>100</v>
      </c>
      <c r="X34" s="1812"/>
      <c r="Y34" s="3181"/>
      <c r="Z34" s="1813" t="str">
        <f t="shared" si="18"/>
        <v>建筑结构</v>
      </c>
      <c r="AA34" s="1810">
        <f t="shared" si="15"/>
        <v>1</v>
      </c>
      <c r="AB34" s="1810">
        <f t="shared" si="16"/>
        <v>1</v>
      </c>
      <c r="AC34" s="1810">
        <f t="shared" si="17"/>
        <v>1</v>
      </c>
    </row>
    <row r="35" spans="1:29" ht="15">
      <c r="A35" s="471"/>
      <c r="B35" s="421" t="s">
        <v>2571</v>
      </c>
      <c r="C35" s="2609" t="s">
        <v>3144</v>
      </c>
      <c r="D35" s="434">
        <v>100</v>
      </c>
      <c r="E35" s="2609" t="s">
        <v>3144</v>
      </c>
      <c r="F35" s="460">
        <f>SUMIF(107:107,E35,108:108)-SUMIF(107:107,C35,108:108)+100</f>
        <v>100</v>
      </c>
      <c r="G35" s="2609" t="s">
        <v>3144</v>
      </c>
      <c r="H35" s="434">
        <f>SUMIF(107:107,G35,108:108)-SUMIF(107:107,C35,108:108)+100</f>
        <v>100</v>
      </c>
      <c r="I35" s="2609" t="s">
        <v>3144</v>
      </c>
      <c r="J35" s="434">
        <f>SUMIF(107:107,I35,108:108)-SUMIF(107:107,C35,108:108)+100</f>
        <v>100</v>
      </c>
      <c r="K35" s="425"/>
      <c r="L35" s="1140"/>
      <c r="M35" s="1131"/>
      <c r="N35" s="1131"/>
      <c r="O35" s="1131"/>
      <c r="P35" s="3222"/>
      <c r="Q35" s="1809" t="str">
        <f t="shared" si="11"/>
        <v>建筑品质</v>
      </c>
      <c r="R35" s="772" t="s">
        <v>21</v>
      </c>
      <c r="S35" s="773">
        <f t="shared" si="12"/>
        <v>100</v>
      </c>
      <c r="T35" s="772" t="s">
        <v>21</v>
      </c>
      <c r="U35" s="773">
        <f t="shared" si="13"/>
        <v>100</v>
      </c>
      <c r="V35" s="772" t="s">
        <v>21</v>
      </c>
      <c r="W35" s="773">
        <f t="shared" si="14"/>
        <v>100</v>
      </c>
      <c r="X35" s="1812"/>
      <c r="Y35" s="3181"/>
      <c r="Z35" s="1813" t="str">
        <f t="shared" si="18"/>
        <v>建筑品质</v>
      </c>
      <c r="AA35" s="1810">
        <f t="shared" si="15"/>
        <v>1</v>
      </c>
      <c r="AB35" s="1810">
        <f t="shared" si="16"/>
        <v>1</v>
      </c>
      <c r="AC35" s="1810">
        <f t="shared" si="17"/>
        <v>1</v>
      </c>
    </row>
    <row r="36" spans="1:29" ht="15">
      <c r="A36" s="471"/>
      <c r="B36" s="421" t="s">
        <v>2572</v>
      </c>
      <c r="C36" s="2609" t="s">
        <v>3146</v>
      </c>
      <c r="D36" s="434">
        <v>100</v>
      </c>
      <c r="E36" s="2609" t="s">
        <v>3146</v>
      </c>
      <c r="F36" s="460">
        <f>SUMIF(109:109,E36,110:110)-SUMIF(109:109,C36,110:110)+100</f>
        <v>100</v>
      </c>
      <c r="G36" s="2609" t="s">
        <v>3146</v>
      </c>
      <c r="H36" s="434">
        <f>SUMIF(109:109,G36,110:110)-SUMIF(109:109,C36,110:110)+100</f>
        <v>100</v>
      </c>
      <c r="I36" s="2609" t="s">
        <v>3146</v>
      </c>
      <c r="J36" s="434">
        <f>SUMIF(109:109,I36,110:110)-SUMIF(109:109,C36,110:110)+100</f>
        <v>100</v>
      </c>
      <c r="K36" s="425"/>
      <c r="L36" s="1140"/>
      <c r="M36" s="1131"/>
      <c r="N36" s="1131"/>
      <c r="O36" s="1131"/>
      <c r="P36" s="3222"/>
      <c r="Q36" s="1809" t="str">
        <f t="shared" si="11"/>
        <v>公共部分装修</v>
      </c>
      <c r="R36" s="772" t="s">
        <v>21</v>
      </c>
      <c r="S36" s="773">
        <f t="shared" si="12"/>
        <v>100</v>
      </c>
      <c r="T36" s="772" t="s">
        <v>21</v>
      </c>
      <c r="U36" s="773">
        <f t="shared" si="13"/>
        <v>100</v>
      </c>
      <c r="V36" s="772" t="s">
        <v>21</v>
      </c>
      <c r="W36" s="773">
        <f t="shared" si="14"/>
        <v>100</v>
      </c>
      <c r="X36" s="1812"/>
      <c r="Y36" s="3181"/>
      <c r="Z36" s="1813" t="str">
        <f t="shared" si="18"/>
        <v>公共部分装修</v>
      </c>
      <c r="AA36" s="1810">
        <f t="shared" si="15"/>
        <v>1</v>
      </c>
      <c r="AB36" s="1810">
        <f t="shared" si="16"/>
        <v>1</v>
      </c>
      <c r="AC36" s="1810">
        <f t="shared" si="17"/>
        <v>1</v>
      </c>
    </row>
    <row r="37" spans="1:29" s="116" customFormat="1" ht="15">
      <c r="A37" s="472"/>
      <c r="B37" s="421" t="s">
        <v>2573</v>
      </c>
      <c r="C37" s="473">
        <v>1</v>
      </c>
      <c r="D37" s="134">
        <v>100</v>
      </c>
      <c r="E37" s="473">
        <v>1</v>
      </c>
      <c r="F37" s="424">
        <f>LOOKUP(E37,112:112,113:113)-LOOKUP(C37,112:112,113:113)+100</f>
        <v>100</v>
      </c>
      <c r="G37" s="473">
        <v>1</v>
      </c>
      <c r="H37" s="134">
        <f>LOOKUP(G37,112:112,113:113)-LOOKUP(C37,112:112,113:113)+100</f>
        <v>100</v>
      </c>
      <c r="I37" s="473">
        <v>1</v>
      </c>
      <c r="J37" s="134">
        <f>LOOKUP(I37,112:112,113:113)-LOOKUP(C37,112:112,113:113)+100</f>
        <v>100</v>
      </c>
      <c r="K37" s="425"/>
      <c r="L37" s="1132"/>
      <c r="M37" s="1133"/>
      <c r="N37" s="1133"/>
      <c r="O37" s="1133"/>
      <c r="P37" s="3222"/>
      <c r="Q37" s="1794" t="str">
        <f t="shared" si="11"/>
        <v>成新度</v>
      </c>
      <c r="R37" s="768" t="s">
        <v>21</v>
      </c>
      <c r="S37" s="769">
        <f t="shared" si="12"/>
        <v>100</v>
      </c>
      <c r="T37" s="768" t="s">
        <v>21</v>
      </c>
      <c r="U37" s="769">
        <f t="shared" si="13"/>
        <v>100</v>
      </c>
      <c r="V37" s="768" t="s">
        <v>21</v>
      </c>
      <c r="W37" s="769">
        <f t="shared" si="14"/>
        <v>100</v>
      </c>
      <c r="X37" s="770"/>
      <c r="Y37" s="3181"/>
      <c r="Z37" s="54" t="str">
        <f t="shared" si="18"/>
        <v>成新度</v>
      </c>
      <c r="AA37" s="771">
        <f t="shared" si="15"/>
        <v>1</v>
      </c>
      <c r="AB37" s="771">
        <f t="shared" si="16"/>
        <v>1</v>
      </c>
      <c r="AC37" s="771">
        <f t="shared" si="17"/>
        <v>1</v>
      </c>
    </row>
    <row r="38" spans="1:29" ht="15">
      <c r="A38" s="471"/>
      <c r="B38" s="421" t="s">
        <v>2574</v>
      </c>
      <c r="C38" s="2609" t="s">
        <v>3148</v>
      </c>
      <c r="D38" s="434">
        <v>100</v>
      </c>
      <c r="E38" s="2609" t="s">
        <v>3148</v>
      </c>
      <c r="F38" s="460">
        <f>SUMIF(114:114,E38,115:115)-SUMIF(114:114,C38,115:115)+100</f>
        <v>100</v>
      </c>
      <c r="G38" s="2609" t="s">
        <v>3148</v>
      </c>
      <c r="H38" s="434">
        <f>SUMIF(114:114,G38,115:115)-SUMIF(114:114,C38,115:115)+100</f>
        <v>100</v>
      </c>
      <c r="I38" s="2609" t="s">
        <v>3148</v>
      </c>
      <c r="J38" s="434">
        <f>SUMIF(114:114,I38,115:115)-SUMIF(114:114,C38,115:115)+100</f>
        <v>100</v>
      </c>
      <c r="K38" s="425"/>
      <c r="L38" s="1140"/>
      <c r="M38" s="1131"/>
      <c r="N38" s="1131"/>
      <c r="O38" s="1131"/>
      <c r="P38" s="3222" t="s">
        <v>2568</v>
      </c>
      <c r="Q38" s="1809" t="str">
        <f t="shared" si="11"/>
        <v>物业管理</v>
      </c>
      <c r="R38" s="772" t="s">
        <v>21</v>
      </c>
      <c r="S38" s="773">
        <f t="shared" si="12"/>
        <v>100</v>
      </c>
      <c r="T38" s="772" t="s">
        <v>21</v>
      </c>
      <c r="U38" s="773">
        <f t="shared" si="13"/>
        <v>100</v>
      </c>
      <c r="V38" s="772" t="s">
        <v>21</v>
      </c>
      <c r="W38" s="773">
        <f t="shared" si="14"/>
        <v>100</v>
      </c>
      <c r="X38" s="1812"/>
      <c r="Y38" s="3181" t="s">
        <v>2568</v>
      </c>
      <c r="Z38" s="1813" t="str">
        <f t="shared" si="18"/>
        <v>物业管理</v>
      </c>
      <c r="AA38" s="1810">
        <f t="shared" si="15"/>
        <v>1</v>
      </c>
      <c r="AB38" s="1810">
        <f t="shared" si="16"/>
        <v>1</v>
      </c>
      <c r="AC38" s="1810">
        <f t="shared" si="17"/>
        <v>1</v>
      </c>
    </row>
    <row r="39" spans="1:29" ht="15">
      <c r="A39" s="471"/>
      <c r="B39" s="421" t="s">
        <v>2575</v>
      </c>
      <c r="C39" s="2609" t="s">
        <v>3112</v>
      </c>
      <c r="D39" s="434">
        <v>100</v>
      </c>
      <c r="E39" s="2609" t="s">
        <v>3112</v>
      </c>
      <c r="F39" s="460">
        <f>SUMIF(116:116,E39,117:117)-SUMIF(116:116,C39,117:117)+100</f>
        <v>100</v>
      </c>
      <c r="G39" s="2609" t="s">
        <v>3112</v>
      </c>
      <c r="H39" s="434">
        <f>SUMIF(116:116,G39,117:117)-SUMIF(116:116,C39,117:117)+100</f>
        <v>100</v>
      </c>
      <c r="I39" s="2609" t="s">
        <v>3112</v>
      </c>
      <c r="J39" s="434">
        <f>SUMIF(116:116,I39,117:117)-SUMIF(116:116,C39,117:117)+100</f>
        <v>100</v>
      </c>
      <c r="K39" s="425"/>
      <c r="L39" s="1140"/>
      <c r="M39" s="1131"/>
      <c r="N39" s="1131"/>
      <c r="O39" s="1131"/>
      <c r="P39" s="3222"/>
      <c r="Q39" s="1809" t="str">
        <f t="shared" si="11"/>
        <v>市政基础设施</v>
      </c>
      <c r="R39" s="772" t="s">
        <v>21</v>
      </c>
      <c r="S39" s="773">
        <f t="shared" si="12"/>
        <v>100</v>
      </c>
      <c r="T39" s="772" t="s">
        <v>21</v>
      </c>
      <c r="U39" s="773">
        <f t="shared" si="13"/>
        <v>100</v>
      </c>
      <c r="V39" s="772" t="s">
        <v>21</v>
      </c>
      <c r="W39" s="773">
        <f t="shared" si="14"/>
        <v>100</v>
      </c>
      <c r="X39" s="1812"/>
      <c r="Y39" s="3181"/>
      <c r="Z39" s="1813" t="str">
        <f t="shared" si="18"/>
        <v>市政基础设施</v>
      </c>
      <c r="AA39" s="1810">
        <f t="shared" si="15"/>
        <v>1</v>
      </c>
      <c r="AB39" s="1810">
        <f t="shared" si="16"/>
        <v>1</v>
      </c>
      <c r="AC39" s="1810">
        <f t="shared" si="17"/>
        <v>1</v>
      </c>
    </row>
    <row r="40" spans="1:29" ht="15">
      <c r="A40" s="471"/>
      <c r="B40" s="421" t="s">
        <v>2576</v>
      </c>
      <c r="C40" s="2609" t="s">
        <v>3150</v>
      </c>
      <c r="D40" s="434">
        <v>100</v>
      </c>
      <c r="E40" s="2609" t="s">
        <v>3150</v>
      </c>
      <c r="F40" s="460">
        <f>SUMIF(118:118,E40,119:119)-SUMIF(118:118,C40,119:119)+100</f>
        <v>100</v>
      </c>
      <c r="G40" s="2609" t="s">
        <v>3150</v>
      </c>
      <c r="H40" s="434">
        <f>SUMIF(118:118,G40,119:119)-SUMIF(118:118,C40,119:119)+100</f>
        <v>100</v>
      </c>
      <c r="I40" s="2609" t="s">
        <v>3150</v>
      </c>
      <c r="J40" s="434">
        <f>SUMIF(118:118,I40,119:119)-SUMIF(118:118,C40,119:119)+100</f>
        <v>100</v>
      </c>
      <c r="K40" s="425"/>
      <c r="L40" s="1140"/>
      <c r="M40" s="1131"/>
      <c r="N40" s="1131"/>
      <c r="O40" s="1131"/>
      <c r="P40" s="3222"/>
      <c r="Q40" s="1809" t="str">
        <f t="shared" si="11"/>
        <v>房型</v>
      </c>
      <c r="R40" s="772" t="s">
        <v>21</v>
      </c>
      <c r="S40" s="773">
        <f t="shared" si="12"/>
        <v>100</v>
      </c>
      <c r="T40" s="772" t="s">
        <v>21</v>
      </c>
      <c r="U40" s="773">
        <f t="shared" si="13"/>
        <v>100</v>
      </c>
      <c r="V40" s="772" t="s">
        <v>21</v>
      </c>
      <c r="W40" s="773">
        <f t="shared" si="14"/>
        <v>100</v>
      </c>
      <c r="X40" s="1812"/>
      <c r="Y40" s="3181"/>
      <c r="Z40" s="1813" t="str">
        <f t="shared" si="18"/>
        <v>房型</v>
      </c>
      <c r="AA40" s="1810">
        <f t="shared" si="15"/>
        <v>1</v>
      </c>
      <c r="AB40" s="1810">
        <f t="shared" si="16"/>
        <v>1</v>
      </c>
      <c r="AC40" s="1810">
        <f t="shared" si="17"/>
        <v>1</v>
      </c>
    </row>
    <row r="41" spans="1:29" s="470" customFormat="1" ht="28.5" hidden="1">
      <c r="A41" s="467"/>
      <c r="B41" s="421" t="s">
        <v>2577</v>
      </c>
      <c r="C41" s="468"/>
      <c r="D41" s="134">
        <v>100</v>
      </c>
      <c r="E41" s="468"/>
      <c r="F41" s="424">
        <f>SUMIF(120:120,E41,121:121)-SUMIF(120:120,C41,121:121)+100</f>
        <v>100</v>
      </c>
      <c r="G41" s="468"/>
      <c r="H41" s="134">
        <f>SUMIF(120:120,G41,121:121)-SUMIF(120:120,C41,121:121)+100</f>
        <v>100</v>
      </c>
      <c r="I41" s="468"/>
      <c r="J41" s="434">
        <f>SUMIF(120:120,I41,121:121)-SUMIF(120:120,C41,121:121)+100</f>
        <v>100</v>
      </c>
      <c r="K41" s="2597"/>
      <c r="L41" s="1138"/>
      <c r="M41" s="1141"/>
      <c r="N41" s="1141"/>
      <c r="O41" s="1141"/>
      <c r="P41" s="3222"/>
      <c r="Q41" s="774" t="str">
        <f t="shared" si="11"/>
        <v>单套/主力户型建筑面积</v>
      </c>
      <c r="R41" s="775" t="s">
        <v>21</v>
      </c>
      <c r="S41" s="776">
        <f t="shared" si="12"/>
        <v>100</v>
      </c>
      <c r="T41" s="775" t="s">
        <v>21</v>
      </c>
      <c r="U41" s="776">
        <f t="shared" si="13"/>
        <v>100</v>
      </c>
      <c r="V41" s="775" t="s">
        <v>21</v>
      </c>
      <c r="W41" s="776">
        <f t="shared" si="14"/>
        <v>100</v>
      </c>
      <c r="X41" s="777"/>
      <c r="Y41" s="3181"/>
      <c r="Z41" s="778" t="str">
        <f t="shared" si="18"/>
        <v>单套/主力户型建筑面积</v>
      </c>
      <c r="AA41" s="1810">
        <f t="shared" si="15"/>
        <v>1</v>
      </c>
      <c r="AB41" s="1810">
        <f t="shared" si="16"/>
        <v>1</v>
      </c>
      <c r="AC41" s="1810">
        <f t="shared" si="17"/>
        <v>1</v>
      </c>
    </row>
    <row r="42" spans="1:29" ht="15">
      <c r="A42" s="471"/>
      <c r="B42" s="421" t="s">
        <v>2578</v>
      </c>
      <c r="C42" s="2609" t="s">
        <v>3153</v>
      </c>
      <c r="D42" s="434">
        <v>100</v>
      </c>
      <c r="E42" s="2609" t="s">
        <v>3153</v>
      </c>
      <c r="F42" s="460">
        <f>SUMIF(122:122,E42,123:123)-SUMIF(122:122,C42,123:123)+100</f>
        <v>100</v>
      </c>
      <c r="G42" s="2609" t="s">
        <v>3153</v>
      </c>
      <c r="H42" s="434">
        <f>SUMIF(122:122,G42,123:123)-SUMIF(122:122,C42,123:123)+100</f>
        <v>100</v>
      </c>
      <c r="I42" s="2609" t="s">
        <v>3146</v>
      </c>
      <c r="J42" s="434">
        <f>SUMIF(122:122,I42,123:123)-SUMIF(122:122,C42,123:123)+100</f>
        <v>106</v>
      </c>
      <c r="K42" s="425">
        <v>2</v>
      </c>
      <c r="L42" s="1140"/>
      <c r="M42" s="1131"/>
      <c r="N42" s="1131"/>
      <c r="O42" s="1131"/>
      <c r="P42" s="3222"/>
      <c r="Q42" s="1809" t="str">
        <f t="shared" si="11"/>
        <v>内部装修</v>
      </c>
      <c r="R42" s="772" t="s">
        <v>21</v>
      </c>
      <c r="S42" s="773">
        <f t="shared" si="12"/>
        <v>100</v>
      </c>
      <c r="T42" s="772" t="s">
        <v>21</v>
      </c>
      <c r="U42" s="773">
        <f t="shared" si="13"/>
        <v>100</v>
      </c>
      <c r="V42" s="772" t="s">
        <v>21</v>
      </c>
      <c r="W42" s="773">
        <f t="shared" si="14"/>
        <v>106</v>
      </c>
      <c r="X42" s="1812"/>
      <c r="Y42" s="3181"/>
      <c r="Z42" s="1813" t="str">
        <f t="shared" si="18"/>
        <v>内部装修</v>
      </c>
      <c r="AA42" s="1810">
        <f t="shared" si="15"/>
        <v>1</v>
      </c>
      <c r="AB42" s="1810">
        <f t="shared" si="16"/>
        <v>1</v>
      </c>
      <c r="AC42" s="1810">
        <f t="shared" si="17"/>
        <v>0.94339622641509435</v>
      </c>
    </row>
    <row r="43" spans="1:29" ht="15.75" thickBot="1">
      <c r="A43" s="471"/>
      <c r="B43" s="421" t="s">
        <v>2579</v>
      </c>
      <c r="C43" s="2609" t="s">
        <v>3111</v>
      </c>
      <c r="D43" s="434">
        <v>100</v>
      </c>
      <c r="E43" s="2609" t="s">
        <v>3111</v>
      </c>
      <c r="F43" s="460">
        <f>SUMIF(124:124,E43,125:125)-SUMIF(124:124,C43,125:125)+100</f>
        <v>100</v>
      </c>
      <c r="G43" s="2609" t="s">
        <v>3111</v>
      </c>
      <c r="H43" s="434">
        <f>SUMIF(124:124,G43,125:125)-SUMIF(124:124,C43,125:125)+100</f>
        <v>100</v>
      </c>
      <c r="I43" s="2609" t="s">
        <v>3111</v>
      </c>
      <c r="J43" s="434">
        <f>SUMIF(124:124,I43,125:125)-SUMIF(124:124,C43,125:125)+100</f>
        <v>100</v>
      </c>
      <c r="K43" s="425"/>
      <c r="L43" s="1140"/>
      <c r="M43" s="1131"/>
      <c r="N43" s="1131"/>
      <c r="O43" s="1131"/>
      <c r="P43" s="3222"/>
      <c r="Q43" s="1809" t="str">
        <f t="shared" si="11"/>
        <v>内部装修维护情况</v>
      </c>
      <c r="R43" s="772" t="s">
        <v>21</v>
      </c>
      <c r="S43" s="773">
        <f t="shared" si="12"/>
        <v>100</v>
      </c>
      <c r="T43" s="772" t="s">
        <v>21</v>
      </c>
      <c r="U43" s="773">
        <f t="shared" si="13"/>
        <v>100</v>
      </c>
      <c r="V43" s="772" t="s">
        <v>21</v>
      </c>
      <c r="W43" s="773">
        <f t="shared" si="14"/>
        <v>100</v>
      </c>
      <c r="X43" s="1812"/>
      <c r="Y43" s="3181"/>
      <c r="Z43" s="1813" t="str">
        <f t="shared" si="18"/>
        <v>内部装修维护情况</v>
      </c>
      <c r="AA43" s="1810">
        <f t="shared" si="15"/>
        <v>1</v>
      </c>
      <c r="AB43" s="1810">
        <f t="shared" si="16"/>
        <v>1</v>
      </c>
      <c r="AC43" s="1810">
        <f t="shared" si="17"/>
        <v>1</v>
      </c>
    </row>
    <row r="44" spans="1:29" s="116" customFormat="1" ht="15" hidden="1">
      <c r="A44" s="472"/>
      <c r="B44" s="1386">
        <v>111</v>
      </c>
      <c r="C44" s="468"/>
      <c r="D44" s="134">
        <v>100</v>
      </c>
      <c r="E44" s="468"/>
      <c r="F44" s="424">
        <f>SUMIF(126:126,E44,127:127)-SUMIF(126:126,C44,127:127)+100</f>
        <v>100</v>
      </c>
      <c r="G44" s="468"/>
      <c r="H44" s="134">
        <f>SUMIF(126:126,G44,127:127)-SUMIF(126:126,C44,127:127)+100</f>
        <v>100</v>
      </c>
      <c r="I44" s="468"/>
      <c r="J44" s="134">
        <f>SUMIF(126:126,I44,127:127)-SUMIF(126:126,C44,127:127)+100</f>
        <v>100</v>
      </c>
      <c r="K44" s="2597"/>
      <c r="L44" s="1132"/>
      <c r="M44" s="1133"/>
      <c r="N44" s="1133"/>
      <c r="O44" s="1133"/>
      <c r="P44" s="3222"/>
      <c r="Q44" s="1794">
        <f t="shared" si="11"/>
        <v>111</v>
      </c>
      <c r="R44" s="768" t="s">
        <v>21</v>
      </c>
      <c r="S44" s="769">
        <f t="shared" si="12"/>
        <v>100</v>
      </c>
      <c r="T44" s="768" t="s">
        <v>21</v>
      </c>
      <c r="U44" s="769">
        <f t="shared" si="13"/>
        <v>100</v>
      </c>
      <c r="V44" s="768" t="s">
        <v>21</v>
      </c>
      <c r="W44" s="769">
        <f t="shared" si="14"/>
        <v>100</v>
      </c>
      <c r="X44" s="770"/>
      <c r="Y44" s="3181"/>
      <c r="Z44" s="54">
        <f t="shared" si="18"/>
        <v>111</v>
      </c>
      <c r="AA44" s="771">
        <f t="shared" si="15"/>
        <v>1</v>
      </c>
      <c r="AB44" s="771">
        <f t="shared" si="16"/>
        <v>1</v>
      </c>
      <c r="AC44" s="771">
        <f t="shared" si="17"/>
        <v>1</v>
      </c>
    </row>
    <row r="45" spans="1:29" ht="15" hidden="1">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22"/>
      <c r="Q45" s="1809">
        <f t="shared" si="11"/>
        <v>111</v>
      </c>
      <c r="R45" s="772" t="s">
        <v>21</v>
      </c>
      <c r="S45" s="773">
        <f t="shared" si="12"/>
        <v>100</v>
      </c>
      <c r="T45" s="772" t="s">
        <v>21</v>
      </c>
      <c r="U45" s="773">
        <f t="shared" si="13"/>
        <v>100</v>
      </c>
      <c r="V45" s="772" t="s">
        <v>21</v>
      </c>
      <c r="W45" s="773">
        <f t="shared" si="14"/>
        <v>100</v>
      </c>
      <c r="X45" s="1812"/>
      <c r="Y45" s="3181"/>
      <c r="Z45" s="1813">
        <f t="shared" si="18"/>
        <v>111</v>
      </c>
      <c r="AA45" s="1810">
        <f t="shared" si="15"/>
        <v>1</v>
      </c>
      <c r="AB45" s="1810">
        <f t="shared" si="16"/>
        <v>1</v>
      </c>
      <c r="AC45" s="1810">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23"/>
      <c r="Q46" s="1809">
        <f t="shared" si="11"/>
        <v>111</v>
      </c>
      <c r="R46" s="772" t="s">
        <v>20</v>
      </c>
      <c r="S46" s="773">
        <f t="shared" si="12"/>
        <v>100</v>
      </c>
      <c r="T46" s="772" t="s">
        <v>20</v>
      </c>
      <c r="U46" s="773">
        <f t="shared" si="13"/>
        <v>100</v>
      </c>
      <c r="V46" s="772" t="s">
        <v>20</v>
      </c>
      <c r="W46" s="773">
        <f t="shared" si="14"/>
        <v>100</v>
      </c>
      <c r="X46" s="1812"/>
      <c r="Y46" s="3224"/>
      <c r="Z46" s="1813">
        <f t="shared" si="18"/>
        <v>111</v>
      </c>
      <c r="AA46" s="1810">
        <f t="shared" si="15"/>
        <v>1</v>
      </c>
      <c r="AB46" s="1810">
        <f t="shared" si="16"/>
        <v>1</v>
      </c>
      <c r="AC46" s="1810">
        <f t="shared" si="17"/>
        <v>1</v>
      </c>
    </row>
    <row r="47" spans="1:29" ht="15">
      <c r="A47" s="478" t="s">
        <v>2580</v>
      </c>
      <c r="B47" s="479"/>
      <c r="C47" s="1406" t="s">
        <v>19</v>
      </c>
      <c r="D47" s="1407"/>
      <c r="E47" s="1408">
        <v>23000</v>
      </c>
      <c r="F47" s="1409"/>
      <c r="G47" s="1410">
        <v>24000</v>
      </c>
      <c r="H47" s="1411"/>
      <c r="I47" s="1408">
        <v>26800</v>
      </c>
      <c r="J47" s="1411"/>
      <c r="K47" s="2615"/>
      <c r="L47" s="1143"/>
      <c r="M47" s="1144"/>
      <c r="N47" s="1131"/>
      <c r="O47" s="1144"/>
      <c r="P47" s="3176" t="str">
        <f>A47</f>
        <v>成交单价（元/平方米）</v>
      </c>
      <c r="Q47" s="3176"/>
      <c r="R47" s="3225">
        <f>E47</f>
        <v>23000</v>
      </c>
      <c r="S47" s="3225"/>
      <c r="T47" s="3225">
        <f>G47</f>
        <v>24000</v>
      </c>
      <c r="U47" s="3225"/>
      <c r="V47" s="3225">
        <f>I47</f>
        <v>26800</v>
      </c>
      <c r="W47" s="3225"/>
      <c r="X47" s="757"/>
      <c r="Y47" s="779"/>
      <c r="Z47" s="757"/>
      <c r="AA47" s="757"/>
      <c r="AB47" s="757"/>
      <c r="AC47" s="757"/>
    </row>
    <row r="48" spans="1:29" ht="15.75" thickBot="1">
      <c r="A48" s="485" t="s">
        <v>2581</v>
      </c>
      <c r="B48" s="486"/>
      <c r="C48" s="1412">
        <f>R49</f>
        <v>23620</v>
      </c>
      <c r="D48" s="1413"/>
      <c r="E48" s="1414">
        <f>R48</f>
        <v>23009</v>
      </c>
      <c r="F48" s="1414"/>
      <c r="G48" s="1412">
        <f>T48</f>
        <v>23310</v>
      </c>
      <c r="H48" s="1413"/>
      <c r="I48" s="1414">
        <f>V48</f>
        <v>24542</v>
      </c>
      <c r="J48" s="1413"/>
      <c r="K48" s="2616"/>
      <c r="L48" s="1143"/>
      <c r="M48" s="1144"/>
      <c r="N48" s="1144"/>
      <c r="O48" s="1144"/>
      <c r="P48" s="3176" t="str">
        <f>A48</f>
        <v>比较价值（元/平方米）</v>
      </c>
      <c r="Q48" s="3176"/>
      <c r="R48" s="3225">
        <f>IF(F1="售价",ROUND(PRODUCT(R47,AA7:AA46),0),ROUND(PRODUCT(R47,AA7:AA46),1))</f>
        <v>23009</v>
      </c>
      <c r="S48" s="3225"/>
      <c r="T48" s="3225">
        <f>IF(F1="售价",ROUND(PRODUCT(T47,AB7:AB46),0),ROUND(PRODUCT(T47,AB7:AB46),1))</f>
        <v>23310</v>
      </c>
      <c r="U48" s="3225"/>
      <c r="V48" s="3225">
        <f>IF(F1="售价",ROUND(PRODUCT(V47,AC7:AC46),0),ROUND(PRODUCT(V47,AC7:AC46),1))</f>
        <v>24542</v>
      </c>
      <c r="W48" s="3225"/>
      <c r="X48" s="757"/>
      <c r="Y48" s="757"/>
      <c r="Z48" s="757"/>
      <c r="AA48" s="757"/>
      <c r="AB48" s="757"/>
      <c r="AC48" s="757"/>
    </row>
    <row r="49" spans="1:29" ht="15.75" thickBot="1">
      <c r="A49" s="491" t="s">
        <v>2582</v>
      </c>
      <c r="B49" s="492"/>
      <c r="C49" s="1415">
        <f>R49</f>
        <v>23620</v>
      </c>
      <c r="D49" s="1416"/>
      <c r="E49" s="1416"/>
      <c r="F49" s="1416"/>
      <c r="G49" s="1416"/>
      <c r="H49" s="1416"/>
      <c r="I49" s="1416"/>
      <c r="J49" s="1416"/>
      <c r="K49" s="2617"/>
      <c r="L49" s="1143"/>
      <c r="M49" s="1144"/>
      <c r="N49" s="1144"/>
      <c r="O49" s="1144"/>
      <c r="P49" s="3170" t="str">
        <f>A49</f>
        <v>估价对象XX用房的比较价值（楼面单价，元/平方米）</v>
      </c>
      <c r="Q49" s="3171"/>
      <c r="R49" s="3226">
        <f>IF(F1="售价",ROUND(AVERAGE(R48:V48),0),ROUND(AVERAGE(R48:V48),1))</f>
        <v>23620</v>
      </c>
      <c r="S49" s="3226"/>
      <c r="T49" s="3226"/>
      <c r="U49" s="3226"/>
      <c r="V49" s="3226"/>
      <c r="W49" s="322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2583</v>
      </c>
      <c r="D52" s="497"/>
      <c r="E52" s="498">
        <f>IF(E47&lt;E48,E48/E47-1,E47/E48-1)</f>
        <v>3.9130434782608248E-4</v>
      </c>
      <c r="F52" s="499" t="str">
        <f>IF(OR(E52&gt;=0.3,E52&lt;=-0.3),"超过30%","")</f>
        <v/>
      </c>
      <c r="G52" s="498">
        <f>IF(G47&lt;G48,G48/G47-1,G47/G48-1)</f>
        <v>2.9601029601029616E-2</v>
      </c>
      <c r="H52" s="499" t="str">
        <f>IF(OR(G52&gt;=0.3,G52&lt;=-0.3),"超过30%","")</f>
        <v/>
      </c>
      <c r="I52" s="498">
        <f>IF(I47&lt;I48,I48/I47-1,I47/I48-1)</f>
        <v>9.2005541520658429E-2</v>
      </c>
      <c r="J52" s="499" t="str">
        <f>IF(OR(I52&gt;=0.3,I52&lt;=-0.3),"超过30%","")</f>
        <v/>
      </c>
      <c r="K52" s="1105"/>
      <c r="L52" s="1106"/>
      <c r="M52" s="1144"/>
      <c r="N52" s="1144"/>
      <c r="O52" s="1144"/>
    </row>
    <row r="53" spans="1:29" ht="13.5" customHeight="1">
      <c r="A53" s="1144"/>
      <c r="B53" s="1144"/>
      <c r="C53" s="496" t="s">
        <v>2584</v>
      </c>
      <c r="D53" s="500"/>
      <c r="E53" s="498">
        <f>IF(E48&lt;G48,G48/E48-1,E48/G48-1)</f>
        <v>1.3081837541831565E-2</v>
      </c>
      <c r="F53" s="499" t="str">
        <f>IF(OR(E53&gt;=0.2,E53&lt;=-0.2),"超过20%","")</f>
        <v/>
      </c>
      <c r="G53" s="498">
        <f>IF(G48&lt;I48,I48/G48-1,G48/I48-1)</f>
        <v>5.2852852852852905E-2</v>
      </c>
      <c r="H53" s="499" t="str">
        <f>IF(OR(G53&gt;=0.2,G53&lt;=-0.2),"超过20%","")</f>
        <v/>
      </c>
      <c r="I53" s="498">
        <f>IF(I48&lt;E48,E48/I48-1,I48/E48-1)</f>
        <v>6.6626102829327571E-2</v>
      </c>
      <c r="J53" s="499" t="str">
        <f>IF(OR(I53&gt;=0.2,I53&lt;=-0.2),"超过20%","")</f>
        <v/>
      </c>
      <c r="K53" s="1105"/>
      <c r="L53" s="1106"/>
      <c r="M53" s="1144"/>
      <c r="N53" s="1144"/>
      <c r="O53" s="1144"/>
    </row>
    <row r="54" spans="1:29" s="501" customFormat="1" ht="13.5" customHeight="1">
      <c r="A54" s="1145"/>
      <c r="B54" s="1145"/>
      <c r="C54" s="496" t="s">
        <v>2585</v>
      </c>
      <c r="D54" s="500"/>
      <c r="E54" s="498">
        <f>IF(E47&lt;G47,G47/E47-1,E47/G47-1)</f>
        <v>4.3478260869565188E-2</v>
      </c>
      <c r="F54" s="499" t="str">
        <f>IF(OR(E54&gt;=0.3,E54&lt;=-0.3),"超过30%","")</f>
        <v/>
      </c>
      <c r="G54" s="498">
        <f>IF(G47&lt;I47,I47/G47-1,G47/I47-1)</f>
        <v>0.1166666666666667</v>
      </c>
      <c r="H54" s="499" t="str">
        <f>IF(OR(G54&gt;=0.3,G54&lt;=-0.3),"超过30%","")</f>
        <v/>
      </c>
      <c r="I54" s="498">
        <f>IF(I47&lt;E47,E47/I47-1,I47/E47-1)</f>
        <v>0.16521739130434776</v>
      </c>
      <c r="J54" s="499" t="str">
        <f>IF(OR(I54&gt;=0.3,I54&lt;=-0.3),"超过30%","")</f>
        <v/>
      </c>
      <c r="K54" s="1148"/>
      <c r="L54" s="1149"/>
      <c r="M54" s="1145"/>
      <c r="N54" s="1145"/>
      <c r="O54" s="1145"/>
      <c r="P54" s="2619"/>
    </row>
    <row r="55" spans="1:29" s="501"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0"/>
      <c r="Q57" s="503"/>
    </row>
    <row r="58" spans="1:29" s="507" customFormat="1" ht="15">
      <c r="A58" s="504" t="s">
        <v>2587</v>
      </c>
      <c r="B58" s="505"/>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6" customFormat="1" ht="15">
      <c r="A59" s="508"/>
      <c r="B59" s="2621"/>
      <c r="C59" s="1573">
        <v>100</v>
      </c>
      <c r="D59" s="510"/>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2589</v>
      </c>
      <c r="B61" s="509"/>
      <c r="C61" s="521" t="s">
        <v>2590</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t="str">
        <f>C9</f>
        <v>住宅</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3"/>
      <c r="O66" s="1153"/>
      <c r="P66" s="2624"/>
      <c r="Q66" s="503"/>
    </row>
    <row r="67" spans="1:17" ht="15.75" thickTop="1">
      <c r="A67" s="533"/>
      <c r="B67" s="545" t="s">
        <v>2561</v>
      </c>
      <c r="C67" s="546" t="str">
        <f>C68&amp;"（含）"&amp;"-"&amp;D68</f>
        <v>1（含）-2</v>
      </c>
      <c r="D67" s="546" t="str">
        <f t="shared" ref="D67:L67" si="21">D68&amp;"（含）"&amp;"-"&amp;E68</f>
        <v>2（含）-3</v>
      </c>
      <c r="E67" s="546" t="str">
        <f t="shared" si="21"/>
        <v>3（含）-4</v>
      </c>
      <c r="F67" s="546" t="str">
        <f t="shared" si="21"/>
        <v>4（含）-5</v>
      </c>
      <c r="G67" s="546" t="str">
        <f t="shared" si="21"/>
        <v>5（含）-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4"/>
      <c r="Q67" s="503"/>
    </row>
    <row r="68" spans="1:17" ht="15">
      <c r="A68" s="533"/>
      <c r="B68" s="547"/>
      <c r="C68" s="548">
        <v>1</v>
      </c>
      <c r="D68" s="548">
        <v>2</v>
      </c>
      <c r="E68" s="548">
        <v>3</v>
      </c>
      <c r="F68" s="548">
        <v>4</v>
      </c>
      <c r="G68" s="548">
        <v>5</v>
      </c>
      <c r="H68" s="548"/>
      <c r="I68" s="548"/>
      <c r="J68" s="548"/>
      <c r="K68" s="549"/>
      <c r="L68" s="550"/>
      <c r="M68" s="551"/>
      <c r="N68" s="1152"/>
      <c r="O68" s="1152"/>
      <c r="P68" s="2624"/>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59"/>
      <c r="E73" s="559"/>
      <c r="F73" s="559"/>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4"/>
      <c r="Q81" s="503"/>
    </row>
    <row r="82" spans="1:17" ht="15.75" thickTop="1">
      <c r="A82" s="533"/>
      <c r="B82" s="545" t="s">
        <v>2104</v>
      </c>
      <c r="C82" s="538" t="s">
        <v>2607</v>
      </c>
      <c r="D82" s="538" t="s">
        <v>2608</v>
      </c>
      <c r="E82" s="538" t="s">
        <v>2609</v>
      </c>
      <c r="F82" s="538" t="s">
        <v>2610</v>
      </c>
      <c r="G82" s="538" t="s">
        <v>2611</v>
      </c>
      <c r="H82" s="538"/>
      <c r="I82" s="538"/>
      <c r="J82" s="538"/>
      <c r="K82" s="538"/>
      <c r="L82" s="538"/>
      <c r="M82" s="1382"/>
      <c r="N82" s="1153"/>
      <c r="O82" s="1153"/>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4"/>
      <c r="Q85" s="503"/>
    </row>
    <row r="86" spans="1:17" s="116" customFormat="1" ht="15.75" thickTop="1">
      <c r="A86" s="578"/>
      <c r="B86" s="537" t="s">
        <v>2613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4"/>
      <c r="Q87" s="503"/>
    </row>
    <row r="88" spans="1:17" s="116" customFormat="1" ht="15.75" thickTop="1">
      <c r="A88" s="578"/>
      <c r="B88" s="537" t="s">
        <v>2614</v>
      </c>
      <c r="C88" s="553"/>
      <c r="D88" s="553"/>
      <c r="E88" s="553"/>
      <c r="F88" s="2629"/>
      <c r="G88" s="553"/>
      <c r="H88" s="553"/>
      <c r="I88" s="553"/>
      <c r="J88" s="553"/>
      <c r="K88" s="553"/>
      <c r="L88" s="553"/>
      <c r="M88" s="580"/>
      <c r="N88" s="1151"/>
      <c r="O88" s="1151"/>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4"/>
      <c r="Q89" s="503"/>
    </row>
    <row r="90" spans="1:17" s="470" customFormat="1" ht="15.75" thickTop="1">
      <c r="A90" s="552"/>
      <c r="B90" s="537">
        <f>B27</f>
        <v>111</v>
      </c>
      <c r="C90" s="553"/>
      <c r="D90" s="553"/>
      <c r="E90" s="553"/>
      <c r="F90" s="553"/>
      <c r="G90" s="553"/>
      <c r="H90" s="554"/>
      <c r="I90" s="554"/>
      <c r="J90" s="554"/>
      <c r="K90" s="554"/>
      <c r="L90" s="555"/>
      <c r="M90" s="556"/>
      <c r="N90" s="1154"/>
      <c r="O90" s="1154"/>
      <c r="P90" s="2625"/>
      <c r="Q90" s="558"/>
    </row>
    <row r="91" spans="1:17" s="470" customFormat="1" ht="15.75" thickBot="1">
      <c r="A91" s="552"/>
      <c r="B91" s="542"/>
      <c r="C91" s="559"/>
      <c r="D91" s="559"/>
      <c r="E91" s="559"/>
      <c r="F91" s="559"/>
      <c r="G91" s="559"/>
      <c r="H91" s="561"/>
      <c r="I91" s="561"/>
      <c r="J91" s="561"/>
      <c r="K91" s="561"/>
      <c r="L91" s="561"/>
      <c r="M91" s="562"/>
      <c r="N91" s="1154"/>
      <c r="O91" s="1154"/>
      <c r="P91" s="2625"/>
      <c r="Q91" s="558"/>
    </row>
    <row r="92" spans="1:17" ht="15.75" thickTop="1">
      <c r="A92" s="533"/>
      <c r="B92" s="537">
        <f>B28</f>
        <v>111</v>
      </c>
      <c r="C92" s="553"/>
      <c r="D92" s="553"/>
      <c r="E92" s="553"/>
      <c r="F92" s="553"/>
      <c r="G92" s="582"/>
      <c r="H92" s="582"/>
      <c r="I92" s="582"/>
      <c r="J92" s="582"/>
      <c r="K92" s="583"/>
      <c r="L92" s="584"/>
      <c r="M92" s="585"/>
      <c r="N92" s="1152"/>
      <c r="O92" s="1152"/>
      <c r="P92" s="2624"/>
      <c r="Q92" s="503"/>
    </row>
    <row r="93" spans="1:17" ht="15.75" thickBot="1">
      <c r="A93" s="533"/>
      <c r="B93" s="542"/>
      <c r="C93" s="559"/>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59"/>
      <c r="E95" s="559"/>
      <c r="F95" s="559"/>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69"/>
      <c r="D97" s="569"/>
      <c r="E97" s="569"/>
      <c r="F97" s="569"/>
      <c r="G97" s="535"/>
      <c r="H97" s="535"/>
      <c r="I97" s="535"/>
      <c r="J97" s="535"/>
      <c r="K97" s="535"/>
      <c r="L97" s="535"/>
      <c r="M97" s="536"/>
      <c r="N97" s="1153"/>
      <c r="O97" s="1153"/>
      <c r="P97" s="2624"/>
      <c r="Q97" s="503"/>
    </row>
    <row r="98" spans="1:17" ht="15.75" thickTop="1">
      <c r="A98" s="533"/>
      <c r="B98" s="545">
        <f>B31</f>
        <v>111</v>
      </c>
      <c r="C98" s="586"/>
      <c r="D98" s="586"/>
      <c r="E98" s="586"/>
      <c r="F98" s="586"/>
      <c r="G98" s="586"/>
      <c r="H98" s="586"/>
      <c r="I98" s="586"/>
      <c r="J98" s="586"/>
      <c r="K98" s="587"/>
      <c r="L98" s="588"/>
      <c r="M98" s="589"/>
      <c r="N98" s="1152"/>
      <c r="O98" s="1152"/>
      <c r="P98" s="2624"/>
      <c r="Q98" s="503"/>
    </row>
    <row r="99" spans="1:17" ht="15.75" thickBot="1">
      <c r="A99" s="2630"/>
      <c r="B99" s="568"/>
      <c r="C99" s="590"/>
      <c r="D99" s="590"/>
      <c r="E99" s="590"/>
      <c r="F99" s="590"/>
      <c r="G99" s="590"/>
      <c r="H99" s="590"/>
      <c r="I99" s="590"/>
      <c r="J99" s="590"/>
      <c r="K99" s="590"/>
      <c r="L99" s="590"/>
      <c r="M99" s="591"/>
      <c r="N99" s="1153"/>
      <c r="O99" s="1153"/>
      <c r="P99" s="2624"/>
      <c r="Q99" s="503"/>
    </row>
    <row r="100" spans="1:17">
      <c r="A100" s="526" t="s">
        <v>2566</v>
      </c>
      <c r="B100" s="527" t="s">
        <v>2615</v>
      </c>
      <c r="C100" s="2941" t="s">
        <v>3142</v>
      </c>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4"/>
      <c r="Q101" s="503"/>
    </row>
    <row r="102" spans="1:17" ht="29.25" thickTop="1">
      <c r="A102" s="533"/>
      <c r="B102" s="537" t="s">
        <v>2616</v>
      </c>
      <c r="C102" s="577" t="str">
        <f>C103&amp;"(含)"&amp;"-"&amp;D103</f>
        <v>1(含)-200000</v>
      </c>
      <c r="D102" s="577" t="str">
        <f t="shared" ref="D102:L102" si="27">D103&amp;"(含)"&amp;"-"&amp;E103</f>
        <v>200000(含)-400000</v>
      </c>
      <c r="E102" s="577" t="str">
        <f t="shared" si="27"/>
        <v>400000(含)-600000</v>
      </c>
      <c r="F102" s="577" t="str">
        <f t="shared" si="27"/>
        <v>600000(含)-800000</v>
      </c>
      <c r="G102" s="577" t="str">
        <f t="shared" si="27"/>
        <v>800000(含)-1000000</v>
      </c>
      <c r="H102" s="577" t="str">
        <f t="shared" si="27"/>
        <v>1000000(含)-</v>
      </c>
      <c r="I102" s="577" t="str">
        <f t="shared" si="27"/>
        <v>(含)-</v>
      </c>
      <c r="J102" s="577" t="str">
        <f t="shared" si="27"/>
        <v>(含)-</v>
      </c>
      <c r="K102" s="577" t="str">
        <f>K103&amp;"(含)"&amp;"-"&amp;L103</f>
        <v>(含)-</v>
      </c>
      <c r="L102" s="577" t="str">
        <f t="shared" si="27"/>
        <v>(含)-</v>
      </c>
      <c r="M102" s="577" t="str">
        <f>M103&amp;"(含)"&amp;"-"&amp;P103</f>
        <v>(含)-</v>
      </c>
      <c r="N102" s="1151"/>
      <c r="O102" s="1151"/>
      <c r="P102" s="2624"/>
      <c r="Q102" s="503"/>
    </row>
    <row r="103" spans="1:17" s="470" customFormat="1">
      <c r="A103" s="592"/>
      <c r="B103" s="593"/>
      <c r="C103" s="594">
        <v>1</v>
      </c>
      <c r="D103" s="594">
        <v>200000</v>
      </c>
      <c r="E103" s="594">
        <v>400000</v>
      </c>
      <c r="F103" s="594">
        <v>600000</v>
      </c>
      <c r="G103" s="594">
        <v>800000</v>
      </c>
      <c r="H103" s="594">
        <v>1000000</v>
      </c>
      <c r="I103" s="594"/>
      <c r="J103" s="595"/>
      <c r="K103" s="595"/>
      <c r="L103" s="596"/>
      <c r="M103" s="597"/>
      <c r="N103" s="1154"/>
      <c r="O103" s="1154"/>
      <c r="P103" s="2625"/>
      <c r="Q103" s="558"/>
    </row>
    <row r="104" spans="1:17" s="470" customFormat="1" ht="15.75" thickBot="1">
      <c r="A104" s="552"/>
      <c r="B104" s="542"/>
      <c r="C104" s="559">
        <v>100</v>
      </c>
      <c r="D104" s="535">
        <v>101</v>
      </c>
      <c r="E104" s="535">
        <v>102</v>
      </c>
      <c r="F104" s="559">
        <v>103</v>
      </c>
      <c r="G104" s="535">
        <v>104</v>
      </c>
      <c r="H104" s="535">
        <v>105</v>
      </c>
      <c r="I104" s="535"/>
      <c r="J104" s="535"/>
      <c r="K104" s="535"/>
      <c r="L104" s="535"/>
      <c r="M104" s="535"/>
      <c r="N104" s="1153"/>
      <c r="O104" s="1153"/>
      <c r="P104" s="2625"/>
      <c r="Q104" s="558"/>
    </row>
    <row r="105" spans="1:17" ht="15" thickTop="1">
      <c r="A105" s="598"/>
      <c r="B105" s="537" t="s">
        <v>2617</v>
      </c>
      <c r="C105" s="2943" t="s">
        <v>3143</v>
      </c>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4"/>
      <c r="Q106" s="503"/>
    </row>
    <row r="107" spans="1:17" ht="15" thickTop="1">
      <c r="A107" s="598"/>
      <c r="B107" s="537" t="s">
        <v>2618</v>
      </c>
      <c r="C107" s="2942" t="s">
        <v>3145</v>
      </c>
      <c r="D107" s="582"/>
      <c r="E107" s="582"/>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4"/>
      <c r="Q108" s="503"/>
    </row>
    <row r="109" spans="1:17" ht="15" thickTop="1">
      <c r="A109" s="598"/>
      <c r="B109" s="537" t="s">
        <v>2619</v>
      </c>
      <c r="C109" s="2943" t="s">
        <v>3147</v>
      </c>
      <c r="D109" s="553"/>
      <c r="E109" s="553"/>
      <c r="F109" s="582"/>
      <c r="G109" s="582"/>
      <c r="H109" s="582"/>
      <c r="I109" s="582"/>
      <c r="J109" s="582"/>
      <c r="K109" s="583"/>
      <c r="L109" s="584"/>
      <c r="M109" s="585"/>
      <c r="N109" s="1152"/>
      <c r="O109" s="1152"/>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4"/>
      <c r="Q110" s="503"/>
    </row>
    <row r="111" spans="1:17" s="470" customFormat="1" ht="15" thickTop="1">
      <c r="A111" s="592"/>
      <c r="B111" s="537" t="s">
        <v>2002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5"/>
      <c r="Q113" s="558"/>
    </row>
    <row r="114" spans="1:17" ht="15" thickTop="1">
      <c r="A114" s="598"/>
      <c r="B114" s="537" t="s">
        <v>2620</v>
      </c>
      <c r="C114" s="2943" t="s">
        <v>3149</v>
      </c>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4"/>
      <c r="Q115" s="503"/>
    </row>
    <row r="116" spans="1:17" ht="15" thickTop="1">
      <c r="A116" s="598"/>
      <c r="B116" s="537" t="s">
        <v>2621</v>
      </c>
      <c r="C116" s="2943" t="s">
        <v>3152</v>
      </c>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2622</v>
      </c>
      <c r="C118" s="2942" t="s">
        <v>3151</v>
      </c>
      <c r="D118" s="582"/>
      <c r="E118" s="582"/>
      <c r="F118" s="582"/>
      <c r="G118" s="582"/>
      <c r="H118" s="582"/>
      <c r="I118" s="582"/>
      <c r="J118" s="582"/>
      <c r="K118" s="583"/>
      <c r="L118" s="584"/>
      <c r="M118" s="585"/>
      <c r="N118" s="1152"/>
      <c r="O118" s="1152"/>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4"/>
      <c r="Q119" s="503"/>
    </row>
    <row r="120" spans="1:17" s="470" customFormat="1" ht="28.5" thickTop="1">
      <c r="A120" s="592"/>
      <c r="B120" s="537" t="s">
        <v>2577</v>
      </c>
      <c r="C120" s="553"/>
      <c r="D120" s="553"/>
      <c r="E120" s="553"/>
      <c r="F120" s="553"/>
      <c r="G120" s="553"/>
      <c r="H120" s="553"/>
      <c r="I120" s="553"/>
      <c r="J120" s="553"/>
      <c r="K120" s="553"/>
      <c r="L120" s="579"/>
      <c r="M120" s="580"/>
      <c r="N120" s="1154"/>
      <c r="O120" s="1154"/>
      <c r="P120" s="2625"/>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5"/>
      <c r="Q121" s="558"/>
    </row>
    <row r="122" spans="1:17" ht="15" thickTop="1">
      <c r="A122" s="598"/>
      <c r="B122" s="537" t="s">
        <v>2623</v>
      </c>
      <c r="C122" s="2942" t="s">
        <v>3161</v>
      </c>
      <c r="D122" s="2943" t="s">
        <v>3160</v>
      </c>
      <c r="E122" s="2943" t="s">
        <v>3159</v>
      </c>
      <c r="F122" s="2942" t="s">
        <v>3154</v>
      </c>
      <c r="G122" s="582"/>
      <c r="H122" s="582"/>
      <c r="I122" s="582"/>
      <c r="J122" s="582"/>
      <c r="K122" s="583"/>
      <c r="L122" s="584"/>
      <c r="M122" s="585"/>
      <c r="N122" s="1152"/>
      <c r="O122" s="1152"/>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59"/>
      <c r="E129" s="559"/>
      <c r="F129" s="559"/>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row r="136" spans="1:17" ht="15" thickBot="1">
      <c r="B136" s="2631" t="s">
        <v>2625</v>
      </c>
    </row>
    <row r="137" spans="1:17" ht="15">
      <c r="B137" s="2632" t="s">
        <v>2626</v>
      </c>
      <c r="C137" s="2633"/>
      <c r="D137" s="2633"/>
      <c r="E137" s="2633"/>
      <c r="F137" s="2633"/>
      <c r="G137" s="2634"/>
      <c r="H137" s="2635"/>
      <c r="I137" s="2636" t="s">
        <v>2627</v>
      </c>
      <c r="J137" s="2633"/>
      <c r="K137" s="2637"/>
    </row>
    <row r="138" spans="1:17" ht="15">
      <c r="B138" s="2638"/>
      <c r="C138" s="144" t="s">
        <v>2628</v>
      </c>
      <c r="D138" s="144" t="s">
        <v>2629</v>
      </c>
      <c r="E138" s="2639" t="s">
        <v>2630</v>
      </c>
      <c r="F138" s="2640" t="s">
        <v>2631</v>
      </c>
      <c r="G138" s="144" t="s">
        <v>2629</v>
      </c>
      <c r="H138" s="145" t="s">
        <v>2630</v>
      </c>
      <c r="I138" s="2641"/>
      <c r="J138" s="144" t="s">
        <v>2632</v>
      </c>
      <c r="K138" s="145" t="s">
        <v>2633</v>
      </c>
    </row>
    <row r="139" spans="1:17" ht="15">
      <c r="B139" s="1084">
        <v>6</v>
      </c>
      <c r="C139" s="1085">
        <v>96</v>
      </c>
      <c r="D139" s="2642" t="s">
        <v>2634</v>
      </c>
      <c r="E139" s="1086">
        <v>100</v>
      </c>
      <c r="F139" s="1087">
        <v>102.5</v>
      </c>
      <c r="G139" s="2642" t="s">
        <v>2634</v>
      </c>
      <c r="H139" s="1088">
        <v>105</v>
      </c>
      <c r="I139" s="2643" t="s">
        <v>2635</v>
      </c>
      <c r="J139" s="1085">
        <v>20</v>
      </c>
      <c r="K139" s="1089">
        <f>C145/(J139-2)</f>
        <v>4.0555555555555553E-3</v>
      </c>
    </row>
    <row r="140" spans="1:17" ht="15">
      <c r="B140" s="1090">
        <v>5</v>
      </c>
      <c r="C140" s="1091">
        <v>100</v>
      </c>
      <c r="D140" s="1091"/>
      <c r="E140" s="1092"/>
      <c r="F140" s="1093">
        <v>102</v>
      </c>
      <c r="G140" s="1091"/>
      <c r="H140" s="1094"/>
      <c r="I140" s="2644" t="s">
        <v>2636</v>
      </c>
      <c r="J140" s="314">
        <f>ROUNDUP((J139-1)/2,0)</f>
        <v>10</v>
      </c>
      <c r="K140" s="1095">
        <v>100</v>
      </c>
    </row>
    <row r="141" spans="1:17" ht="15">
      <c r="B141" s="1090">
        <v>4</v>
      </c>
      <c r="C141" s="1091">
        <v>102</v>
      </c>
      <c r="D141" s="1091"/>
      <c r="E141" s="1092"/>
      <c r="F141" s="1093">
        <v>101.5</v>
      </c>
      <c r="G141" s="1091"/>
      <c r="H141" s="1094"/>
      <c r="I141" s="2644" t="s">
        <v>2637</v>
      </c>
      <c r="J141" s="314">
        <v>1</v>
      </c>
      <c r="K141" s="1096">
        <f>ROUND(100+(J141-J140)*K139*100,1)</f>
        <v>96.4</v>
      </c>
    </row>
    <row r="142" spans="1:17" ht="15">
      <c r="B142" s="1090">
        <v>3</v>
      </c>
      <c r="C142" s="1091">
        <v>103</v>
      </c>
      <c r="D142" s="1091"/>
      <c r="E142" s="1092"/>
      <c r="F142" s="1093">
        <v>101</v>
      </c>
      <c r="G142" s="1091"/>
      <c r="H142" s="1094"/>
      <c r="I142" s="2644" t="s">
        <v>2638</v>
      </c>
      <c r="J142" s="314">
        <f>J139</f>
        <v>20</v>
      </c>
      <c r="K142" s="1097">
        <v>95</v>
      </c>
    </row>
    <row r="143" spans="1:17" ht="15">
      <c r="B143" s="1090">
        <v>2</v>
      </c>
      <c r="C143" s="1091">
        <v>100</v>
      </c>
      <c r="D143" s="1091"/>
      <c r="E143" s="1092"/>
      <c r="F143" s="1093">
        <v>100.5</v>
      </c>
      <c r="G143" s="1091"/>
      <c r="H143" s="1094"/>
      <c r="I143" s="2644" t="s">
        <v>2639</v>
      </c>
      <c r="J143" s="1091">
        <v>15</v>
      </c>
      <c r="K143" s="1096">
        <f>ROUND(100+(J143-J140)*K139*100,1)</f>
        <v>102</v>
      </c>
    </row>
    <row r="144" spans="1:17" ht="15">
      <c r="B144" s="1090">
        <v>1</v>
      </c>
      <c r="C144" s="1091">
        <v>98</v>
      </c>
      <c r="D144" s="2645" t="s">
        <v>2640</v>
      </c>
      <c r="E144" s="1092">
        <v>102</v>
      </c>
      <c r="F144" s="1098">
        <v>100</v>
      </c>
      <c r="G144" s="2645" t="s">
        <v>2640</v>
      </c>
      <c r="H144" s="1094">
        <v>105</v>
      </c>
      <c r="I144" s="2644" t="s">
        <v>2639</v>
      </c>
      <c r="J144" s="1091">
        <v>18</v>
      </c>
      <c r="K144" s="1096">
        <f>ROUND(100+(J144-J140)*K139*100,1)</f>
        <v>103.2</v>
      </c>
    </row>
    <row r="145" spans="2:11" ht="15.75" thickBot="1">
      <c r="B145" s="2646" t="s">
        <v>2641</v>
      </c>
      <c r="C145" s="1099">
        <f>ROUND(MAX(C139:C144)/MIN(C139:C144)-1,3)</f>
        <v>7.2999999999999995E-2</v>
      </c>
      <c r="D145" s="1100"/>
      <c r="E145" s="1100"/>
      <c r="F145" s="2647" t="s">
        <v>2642</v>
      </c>
      <c r="G145" s="2648"/>
      <c r="H145" s="2649"/>
      <c r="I145" s="2650" t="s">
        <v>2639</v>
      </c>
      <c r="J145" s="1101">
        <v>8</v>
      </c>
      <c r="K145" s="1102">
        <f>ROUND(100+(J145-J140)*K139*100,1)</f>
        <v>99.2</v>
      </c>
    </row>
    <row r="147" spans="2:11">
      <c r="B147" s="2631" t="s">
        <v>2643</v>
      </c>
    </row>
    <row r="148" spans="2:11">
      <c r="B148" s="2631"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2332</v>
      </c>
      <c r="B1" s="1936"/>
      <c r="C1" s="2550" t="s">
        <v>2434</v>
      </c>
      <c r="D1" s="241"/>
      <c r="E1" s="241"/>
      <c r="F1" s="241"/>
      <c r="G1" s="1379">
        <f>MATCH(B1,'数据-取费表'!A6:A16,0)+5</f>
        <v>11</v>
      </c>
      <c r="H1" s="1282" t="str">
        <f>IF(ISERROR(FIND("住宅",B1)),"非住宅","住宅")</f>
        <v>非住宅</v>
      </c>
    </row>
    <row r="2" spans="1:8" s="243" customFormat="1" ht="18" customHeight="1">
      <c r="A2" s="244" t="s">
        <v>2333</v>
      </c>
      <c r="B2" s="245">
        <f ca="1">ROUND(IF(D2="——",C52/10000,C52/10000-E2),0)</f>
        <v>29030</v>
      </c>
      <c r="C2" s="242" t="s">
        <v>2334</v>
      </c>
      <c r="D2" s="2544" t="s">
        <v>70</v>
      </c>
      <c r="E2" s="1439" t="e">
        <f ca="1">SUMIF(INDIRECT("'"&amp;G2&amp;"'"&amp;"!A:A"),"承租人权益价值",INDIRECT("'"&amp;G2&amp;"'"&amp;"!c:c"))</f>
        <v>#REF!</v>
      </c>
      <c r="F2" s="2545" t="s">
        <v>2334</v>
      </c>
      <c r="G2" s="2546"/>
    </row>
    <row r="3" spans="1:8" s="243" customFormat="1" ht="18" customHeight="1" thickBot="1">
      <c r="A3" s="246" t="s">
        <v>2335</v>
      </c>
      <c r="B3" s="247">
        <f ca="1">ROUND(B2*10000/(IF(B1="",'数据-汇总表'!E3,INDIRECT("'数据-取费表'!k"&amp;$G$1))),0)</f>
        <v>4496</v>
      </c>
      <c r="C3" s="242" t="s">
        <v>2336</v>
      </c>
      <c r="D3" s="242"/>
      <c r="E3" s="242"/>
      <c r="F3" s="242"/>
      <c r="G3" s="242"/>
    </row>
    <row r="4" spans="1:8" s="251" customFormat="1" ht="15.75">
      <c r="A4" s="248" t="s">
        <v>2337</v>
      </c>
      <c r="B4" s="249"/>
      <c r="C4" s="249"/>
      <c r="D4" s="249"/>
      <c r="E4" s="249"/>
      <c r="F4" s="249"/>
      <c r="G4" s="250"/>
    </row>
    <row r="5" spans="1:8" s="257" customFormat="1" ht="13.5" customHeight="1">
      <c r="A5" s="298" t="s">
        <v>2338</v>
      </c>
      <c r="B5" s="253" t="s">
        <v>2339</v>
      </c>
      <c r="C5" s="254">
        <f ca="1">C6+C7+C8</f>
        <v>15884009</v>
      </c>
      <c r="D5" s="254" t="s">
        <v>2340</v>
      </c>
      <c r="E5" s="255" t="s">
        <v>2341</v>
      </c>
      <c r="F5" s="255" t="s">
        <v>2342</v>
      </c>
      <c r="G5" s="256"/>
    </row>
    <row r="6" spans="1:8" s="257" customFormat="1" ht="13.5" customHeight="1">
      <c r="A6" s="949" t="s">
        <v>2343</v>
      </c>
      <c r="B6" s="258" t="s">
        <v>2344</v>
      </c>
      <c r="C6" s="259"/>
      <c r="D6" s="260"/>
      <c r="E6" s="261"/>
      <c r="F6" s="261"/>
      <c r="G6" s="262"/>
    </row>
    <row r="7" spans="1:8" s="257" customFormat="1" ht="13.5" customHeight="1">
      <c r="A7" s="949" t="s">
        <v>2345</v>
      </c>
      <c r="B7" s="258" t="s">
        <v>2346</v>
      </c>
      <c r="C7" s="263">
        <f>ROUND(C6*F7,0)</f>
        <v>0</v>
      </c>
      <c r="D7" s="263"/>
      <c r="E7" s="261"/>
      <c r="F7" s="264">
        <f>'数据-取费表'!B48+'数据-取费表'!B49</f>
        <v>4.0500000000000001E-2</v>
      </c>
      <c r="G7" s="262"/>
    </row>
    <row r="8" spans="1:8" s="266" customFormat="1">
      <c r="A8" s="949" t="s">
        <v>2347</v>
      </c>
      <c r="B8" s="258" t="s">
        <v>2348</v>
      </c>
      <c r="C8" s="263">
        <f ca="1">IF(G8="已包含在土地购买价格中",0,C9+C10)</f>
        <v>15884009</v>
      </c>
      <c r="D8" s="265"/>
      <c r="E8" s="263"/>
      <c r="F8" s="264"/>
      <c r="G8" s="2547"/>
    </row>
    <row r="9" spans="1:8" s="257" customFormat="1" ht="13.5" customHeight="1">
      <c r="A9" s="950" t="s">
        <v>800</v>
      </c>
      <c r="B9" s="267" t="s">
        <v>2349</v>
      </c>
      <c r="C9" s="268">
        <f ca="1">ROUND(D9*E9,0)</f>
        <v>11354861</v>
      </c>
      <c r="D9" s="1032">
        <f ca="1">IF(B1="",'数据-汇总表'!E5,IF(INDIRECT("'数据-取费表'!c"&amp;$G$1)="住宅",INDIRECT("'数据-取费表'!k"&amp;$G$1),0))</f>
        <v>46157.97</v>
      </c>
      <c r="E9" s="268">
        <f>'数据-取费表'!B27</f>
        <v>246</v>
      </c>
      <c r="F9" s="264"/>
      <c r="G9" s="269"/>
    </row>
    <row r="10" spans="1:8" s="257" customFormat="1" ht="13.5" customHeight="1">
      <c r="A10" s="950" t="s">
        <v>801</v>
      </c>
      <c r="B10" s="267" t="s">
        <v>2351</v>
      </c>
      <c r="C10" s="268">
        <f ca="1">ROUND(D10*E10,0)</f>
        <v>4529148</v>
      </c>
      <c r="D10" s="1032">
        <f ca="1">IF(B1="",'数据-汇总表'!E6,IF(INDIRECT("'数据-取费表'!c"&amp;$G$1)="住宅",INDIRECT("'数据-取费表'!s"&amp;$G$1),INDIRECT("'数据-取费表'!k"&amp;$G$1)+INDIRECT("'数据-取费表'!s"&amp;$G$1)))</f>
        <v>18411.170000000006</v>
      </c>
      <c r="E10" s="268">
        <f>'数据-取费表'!B28</f>
        <v>246</v>
      </c>
      <c r="F10" s="264"/>
      <c r="G10" s="269"/>
    </row>
    <row r="11" spans="1:8" s="257" customFormat="1" ht="13.5" hidden="1" customHeight="1">
      <c r="A11" s="270" t="s">
        <v>7</v>
      </c>
      <c r="B11" s="258" t="s">
        <v>2352</v>
      </c>
      <c r="C11" s="254"/>
      <c r="D11" s="1034"/>
      <c r="E11" s="261"/>
      <c r="F11" s="261"/>
      <c r="G11" s="262"/>
    </row>
    <row r="12" spans="1:8" s="257" customFormat="1" ht="13.5" hidden="1" customHeight="1">
      <c r="A12" s="270" t="s">
        <v>8</v>
      </c>
      <c r="B12" s="258" t="s">
        <v>2435</v>
      </c>
      <c r="C12" s="254">
        <v>0</v>
      </c>
      <c r="D12" s="1034"/>
      <c r="E12" s="271"/>
      <c r="F12" s="264">
        <v>3.0499999999999999E-2</v>
      </c>
      <c r="G12" s="262"/>
    </row>
    <row r="13" spans="1:8" s="257" customFormat="1" ht="13.5" hidden="1" customHeight="1">
      <c r="A13" s="270" t="s">
        <v>9</v>
      </c>
      <c r="B13" s="258" t="s">
        <v>2436</v>
      </c>
      <c r="C13" s="254"/>
      <c r="D13" s="1034"/>
      <c r="E13" s="261"/>
      <c r="F13" s="261"/>
      <c r="G13" s="262"/>
    </row>
    <row r="14" spans="1:8" s="257" customFormat="1" ht="13.5" hidden="1" customHeight="1">
      <c r="A14" s="270" t="s">
        <v>10</v>
      </c>
      <c r="B14" s="258" t="s">
        <v>2348</v>
      </c>
      <c r="C14" s="254"/>
      <c r="D14" s="1034"/>
      <c r="E14" s="261"/>
      <c r="F14" s="261"/>
      <c r="G14" s="262" t="s">
        <v>2437</v>
      </c>
    </row>
    <row r="15" spans="1:8" s="257" customFormat="1" ht="13.5" hidden="1" customHeight="1">
      <c r="A15" s="270" t="s">
        <v>11</v>
      </c>
      <c r="B15" s="258" t="s">
        <v>2438</v>
      </c>
      <c r="C15" s="263"/>
      <c r="D15" s="1034"/>
      <c r="E15" s="261"/>
      <c r="F15" s="261"/>
      <c r="G15" s="262" t="s">
        <v>2439</v>
      </c>
    </row>
    <row r="16" spans="1:8" s="257" customFormat="1" ht="13.5" hidden="1" customHeight="1">
      <c r="A16" s="270" t="s">
        <v>12</v>
      </c>
      <c r="B16" s="258" t="s">
        <v>2348</v>
      </c>
      <c r="C16" s="263"/>
      <c r="D16" s="1034"/>
      <c r="E16" s="261"/>
      <c r="F16" s="261"/>
      <c r="G16" s="262"/>
    </row>
    <row r="17" spans="1:7" s="257" customFormat="1" ht="13.5" hidden="1" customHeight="1">
      <c r="A17" s="270" t="s">
        <v>13</v>
      </c>
      <c r="B17" s="258" t="s">
        <v>2440</v>
      </c>
      <c r="C17" s="272"/>
      <c r="D17" s="1035"/>
      <c r="E17" s="272"/>
      <c r="F17" s="272"/>
      <c r="G17" s="262" t="s">
        <v>2439</v>
      </c>
    </row>
    <row r="18" spans="1:7" s="257" customFormat="1" ht="13.5" hidden="1" customHeight="1">
      <c r="A18" s="270" t="s">
        <v>14</v>
      </c>
      <c r="B18" s="258" t="s">
        <v>2441</v>
      </c>
      <c r="C18" s="263">
        <v>0</v>
      </c>
      <c r="D18" s="1034"/>
      <c r="E18" s="261"/>
      <c r="F18" s="264">
        <v>3.0499999999999999E-2</v>
      </c>
      <c r="G18" s="262" t="s">
        <v>2442</v>
      </c>
    </row>
    <row r="19" spans="1:7" s="266" customFormat="1" ht="13.5" customHeight="1">
      <c r="A19" s="298" t="s">
        <v>2443</v>
      </c>
      <c r="B19" s="253" t="s">
        <v>2444</v>
      </c>
      <c r="C19" s="254">
        <f ca="1">IF(G19="已包含在土地取得成本中","0",ROUND(D19*E19,0))</f>
        <v>6456914</v>
      </c>
      <c r="D19" s="1036">
        <f ca="1">D9+D10</f>
        <v>64569.140000000007</v>
      </c>
      <c r="E19" s="254">
        <f>'数据-取费表'!B31</f>
        <v>100</v>
      </c>
      <c r="F19" s="274"/>
      <c r="G19" s="2547"/>
    </row>
    <row r="20" spans="1:7" s="257" customFormat="1" ht="13.5" customHeight="1">
      <c r="A20" s="298" t="s">
        <v>2445</v>
      </c>
      <c r="B20" s="253" t="s">
        <v>2446</v>
      </c>
      <c r="C20" s="275">
        <f ca="1">ROUND((C5+C19)*F20,0)</f>
        <v>335114</v>
      </c>
      <c r="D20" s="275"/>
      <c r="E20" s="275"/>
      <c r="F20" s="276">
        <f>'数据-取费表'!B37</f>
        <v>1.4999999999999999E-2</v>
      </c>
      <c r="G20" s="277" t="s">
        <v>2447</v>
      </c>
    </row>
    <row r="21" spans="1:7" s="257" customFormat="1" ht="13.5" customHeight="1">
      <c r="A21" s="298" t="s">
        <v>2448</v>
      </c>
      <c r="B21" s="253" t="s">
        <v>2449</v>
      </c>
      <c r="C21" s="278">
        <f>F21</f>
        <v>2.5000000000000001E-2</v>
      </c>
      <c r="D21" s="279" t="s">
        <v>2450</v>
      </c>
      <c r="E21" s="275"/>
      <c r="F21" s="276">
        <f>'数据-取费表'!B38</f>
        <v>2.5000000000000001E-2</v>
      </c>
      <c r="G21" s="277" t="s">
        <v>2451</v>
      </c>
    </row>
    <row r="22" spans="1:7" s="257" customFormat="1" ht="13.5" customHeight="1">
      <c r="A22" s="298" t="s">
        <v>2452</v>
      </c>
      <c r="B22" s="253" t="s">
        <v>2453</v>
      </c>
      <c r="C22" s="1380">
        <f ca="1">ROUND(SUM(C23:C25),0)</f>
        <v>2768255</v>
      </c>
      <c r="D22" s="278">
        <f ca="1">C26</f>
        <v>1.5E-3</v>
      </c>
      <c r="E22" s="279" t="s">
        <v>2450</v>
      </c>
      <c r="F22" s="280">
        <f ca="1">'数据-取费表'!B40</f>
        <v>4.7500000000000001E-2</v>
      </c>
      <c r="G22" s="277" t="str">
        <f>IF('数据-取费表'!B22&lt;=1,"单利计息","复利计息")</f>
        <v>复利计息</v>
      </c>
    </row>
    <row r="23" spans="1:7" s="257" customFormat="1" ht="13.5" customHeight="1">
      <c r="A23" s="951" t="s">
        <v>2343</v>
      </c>
      <c r="B23" s="258" t="s">
        <v>2454</v>
      </c>
      <c r="C23" s="1381">
        <f ca="1">ROUND(IF('数据-取费表'!B22&lt;=1,C5*F22*'数据-取费表'!B22,C5*(POWER((1+F22),'数据-取费表'!B22)-1)),0)</f>
        <v>1953952</v>
      </c>
      <c r="D23" s="281"/>
      <c r="E23" s="281"/>
      <c r="F23" s="282"/>
      <c r="G23" s="283" t="s">
        <v>2455</v>
      </c>
    </row>
    <row r="24" spans="1:7" s="257" customFormat="1" ht="13.5" customHeight="1">
      <c r="A24" s="951" t="s">
        <v>2345</v>
      </c>
      <c r="B24" s="258" t="s">
        <v>2456</v>
      </c>
      <c r="C24" s="1381">
        <f ca="1">ROUND(IF('数据-取费表'!B22&lt;=1,C19*F22*('数据-取费表'!B19/2+'数据-取费表'!B20),C19*(POWER((1+F22),('数据-取费表'!B19/2+'数据-取费表'!B20))-1)),0)</f>
        <v>794289</v>
      </c>
      <c r="D24" s="281"/>
      <c r="E24" s="281"/>
      <c r="F24" s="282"/>
      <c r="G24" s="283" t="s">
        <v>2457</v>
      </c>
    </row>
    <row r="25" spans="1:7" s="257" customFormat="1" ht="24">
      <c r="A25" s="951" t="s">
        <v>2347</v>
      </c>
      <c r="B25" s="258" t="s">
        <v>2458</v>
      </c>
      <c r="C25" s="1381">
        <f ca="1">ROUND(IF('数据-取费表'!B22&lt;=1,C20*F22*'数据-取费表'!B22/2,C20*(POWER((1+F22),'数据-取费表'!B22/2)-1)),0)</f>
        <v>20014</v>
      </c>
      <c r="D25" s="281"/>
      <c r="E25" s="284"/>
      <c r="F25" s="282"/>
      <c r="G25" s="285" t="s">
        <v>2459</v>
      </c>
    </row>
    <row r="26" spans="1:7" s="257" customFormat="1">
      <c r="A26" s="951" t="s">
        <v>795</v>
      </c>
      <c r="B26" s="258" t="s">
        <v>2382</v>
      </c>
      <c r="C26" s="281">
        <f ca="1">ROUND(IF('数据-取费表'!B22&lt;=1,F21*F22*'数据-取费表'!B22/2,F21*(POWER((1+F22),'数据-取费表'!B22/2)-1)),4)</f>
        <v>1.5E-3</v>
      </c>
      <c r="D26" s="281"/>
      <c r="E26" s="284"/>
      <c r="F26" s="282"/>
      <c r="G26" s="286"/>
    </row>
    <row r="27" spans="1:7" s="257" customFormat="1" ht="24.75">
      <c r="A27" s="298" t="s">
        <v>2383</v>
      </c>
      <c r="B27" s="287" t="s">
        <v>2384</v>
      </c>
      <c r="C27" s="288">
        <f ca="1">C28</f>
        <v>3854926</v>
      </c>
      <c r="D27" s="278">
        <f ca="1">C29</f>
        <v>4.3E-3</v>
      </c>
      <c r="E27" s="279" t="s">
        <v>2385</v>
      </c>
      <c r="F27" s="289">
        <f ca="1">IF(B1="",'数据-取费表'!Q16,INDIRECT("'数据-取费表'!q"&amp;$G$1))</f>
        <v>0.17</v>
      </c>
      <c r="G27" s="290" t="s">
        <v>2386</v>
      </c>
    </row>
    <row r="28" spans="1:7" s="257" customFormat="1" ht="13.5" customHeight="1">
      <c r="A28" s="951" t="s">
        <v>791</v>
      </c>
      <c r="B28" s="291" t="s">
        <v>2387</v>
      </c>
      <c r="C28" s="292">
        <f ca="1">ROUND((C5+C19+C20)*F27,0)</f>
        <v>3854926</v>
      </c>
      <c r="D28" s="278"/>
      <c r="E28" s="279"/>
      <c r="F28" s="289"/>
      <c r="G28" s="290"/>
    </row>
    <row r="29" spans="1:7" s="257" customFormat="1" ht="13.5" customHeight="1">
      <c r="A29" s="951" t="s">
        <v>792</v>
      </c>
      <c r="B29" s="291" t="s">
        <v>2388</v>
      </c>
      <c r="C29" s="281">
        <f ca="1">ROUND(C21*F27,4)</f>
        <v>4.3E-3</v>
      </c>
      <c r="D29" s="278"/>
      <c r="E29" s="279"/>
      <c r="F29" s="289"/>
      <c r="G29" s="290"/>
    </row>
    <row r="30" spans="1:7" s="257" customFormat="1" ht="13.5" customHeight="1">
      <c r="A30" s="298" t="s">
        <v>2389</v>
      </c>
      <c r="B30" s="253" t="s">
        <v>2390</v>
      </c>
      <c r="C30" s="278">
        <f>ROUND(F30/(1+'数据-取费表'!C42),4)</f>
        <v>5.33E-2</v>
      </c>
      <c r="D30" s="279" t="s">
        <v>2385</v>
      </c>
      <c r="E30" s="284"/>
      <c r="F30" s="280">
        <f>'数据-取费表'!B41</f>
        <v>5.6000000000000001E-2</v>
      </c>
      <c r="G30" s="277" t="s">
        <v>2391</v>
      </c>
    </row>
    <row r="31" spans="1:7" ht="16.5" customHeight="1">
      <c r="A31" s="252">
        <v>1</v>
      </c>
      <c r="B31" s="253" t="s">
        <v>2392</v>
      </c>
      <c r="C31" s="254">
        <f ca="1">ROUND((C5+C19+C20+C22+C27)/(1-C21-D22-D27-C30),0)</f>
        <v>31989538</v>
      </c>
      <c r="D31" s="273"/>
      <c r="E31" s="254"/>
      <c r="F31" s="293"/>
      <c r="G31" s="277" t="s">
        <v>2393</v>
      </c>
    </row>
    <row r="32" spans="1:7" s="251" customFormat="1" ht="15.75">
      <c r="A32" s="295" t="s">
        <v>2460</v>
      </c>
      <c r="B32" s="296"/>
      <c r="C32" s="296"/>
      <c r="D32" s="296"/>
      <c r="E32" s="296"/>
      <c r="F32" s="296"/>
      <c r="G32" s="297"/>
    </row>
    <row r="33" spans="1:7" s="257" customFormat="1" ht="13.5" customHeight="1">
      <c r="A33" s="298" t="s">
        <v>782</v>
      </c>
      <c r="B33" s="253" t="s">
        <v>2461</v>
      </c>
      <c r="C33" s="299">
        <f ca="1">SUM(C34:C38)</f>
        <v>189545719</v>
      </c>
      <c r="D33" s="275"/>
      <c r="E33" s="255"/>
      <c r="F33" s="284"/>
      <c r="G33" s="277"/>
    </row>
    <row r="34" spans="1:7" s="301" customFormat="1" ht="13.5" customHeight="1">
      <c r="A34" s="951" t="s">
        <v>791</v>
      </c>
      <c r="B34" s="258" t="s">
        <v>2396</v>
      </c>
      <c r="C34" s="263">
        <f ca="1">ROUND(IF(B1="",SUMPRODUCT('数据-取费表'!K6:K14,'数据-取费表'!L6:L14),INDIRECT("'数据-取费表'!l"&amp;$G$1)*INDIRECT("'数据-取费表'!k"&amp;$G$1)+'数据-取费表'!L14*INDIRECT("'数据-取费表'!S"&amp;$G$1)),0)</f>
        <v>162907120</v>
      </c>
      <c r="D34" s="260"/>
      <c r="E34" s="263"/>
      <c r="F34" s="300"/>
      <c r="G34" s="262"/>
    </row>
    <row r="35" spans="1:7" ht="13.5" customHeight="1">
      <c r="A35" s="951" t="s">
        <v>796</v>
      </c>
      <c r="B35" s="258" t="s">
        <v>2398</v>
      </c>
      <c r="C35" s="263">
        <f ca="1">ROUND(C34*F35,0)</f>
        <v>4887214</v>
      </c>
      <c r="D35" s="263"/>
      <c r="E35" s="263"/>
      <c r="F35" s="302">
        <f>'数据-取费表'!B33</f>
        <v>0.03</v>
      </c>
      <c r="G35" s="262" t="s">
        <v>2399</v>
      </c>
    </row>
    <row r="36" spans="1:7" ht="24">
      <c r="A36" s="951" t="s">
        <v>797</v>
      </c>
      <c r="B36" s="258" t="s">
        <v>2400</v>
      </c>
      <c r="C36" s="263">
        <f ca="1">ROUND(IF(B1="",SUM('数据-取费表'!AP6:AP13)*F36,IF(INDIRECT("'数据-取费表'!c"&amp;$G$1)="住宅",INDIRECT("'数据-取费表'!k"&amp;$G$1)*INDIRECT("'数据-取费表'!l"&amp;$G$1)*F36,0)),0)</f>
        <v>6393950</v>
      </c>
      <c r="D36" s="263"/>
      <c r="E36" s="263"/>
      <c r="F36" s="302">
        <f>'数据-取费表'!B34</f>
        <v>0.05</v>
      </c>
      <c r="G36" s="303" t="s">
        <v>2401</v>
      </c>
    </row>
    <row r="37" spans="1:7" s="301" customFormat="1" ht="13.5" customHeight="1">
      <c r="A37" s="951" t="s">
        <v>798</v>
      </c>
      <c r="B37" s="258" t="s">
        <v>2402</v>
      </c>
      <c r="C37" s="292">
        <f ca="1">ROUND(E37*D37,0)</f>
        <v>12913828</v>
      </c>
      <c r="D37" s="260">
        <f ca="1">D19</f>
        <v>64569.140000000007</v>
      </c>
      <c r="E37" s="292">
        <f>'数据-取费表'!B35</f>
        <v>200</v>
      </c>
      <c r="F37" s="302"/>
      <c r="G37" s="304"/>
    </row>
    <row r="38" spans="1:7" ht="13.5" customHeight="1">
      <c r="A38" s="951" t="s">
        <v>799</v>
      </c>
      <c r="B38" s="258" t="s">
        <v>2404</v>
      </c>
      <c r="C38" s="263">
        <f ca="1">ROUND(C34*F38,0)</f>
        <v>2443607</v>
      </c>
      <c r="D38" s="263"/>
      <c r="E38" s="263"/>
      <c r="F38" s="302">
        <f>'数据-取费表'!B36</f>
        <v>1.4999999999999999E-2</v>
      </c>
      <c r="G38" s="262" t="s">
        <v>2399</v>
      </c>
    </row>
    <row r="39" spans="1:7" s="257" customFormat="1" ht="13.5" customHeight="1">
      <c r="A39" s="298" t="s">
        <v>2405</v>
      </c>
      <c r="B39" s="253" t="s">
        <v>2406</v>
      </c>
      <c r="C39" s="275">
        <f ca="1">ROUND(C33*F20,0)</f>
        <v>2843186</v>
      </c>
      <c r="D39" s="275"/>
      <c r="E39" s="275"/>
      <c r="F39" s="276"/>
      <c r="G39" s="277" t="s">
        <v>2407</v>
      </c>
    </row>
    <row r="40" spans="1:7" s="257" customFormat="1" ht="13.5" customHeight="1">
      <c r="A40" s="298" t="s">
        <v>2408</v>
      </c>
      <c r="B40" s="253" t="s">
        <v>2409</v>
      </c>
      <c r="C40" s="1727">
        <f>F21</f>
        <v>2.5000000000000001E-2</v>
      </c>
      <c r="D40" s="279" t="s">
        <v>2410</v>
      </c>
      <c r="E40" s="275"/>
      <c r="F40" s="276"/>
      <c r="G40" s="277" t="s">
        <v>2411</v>
      </c>
    </row>
    <row r="41" spans="1:7" s="257" customFormat="1" ht="13.5" customHeight="1">
      <c r="A41" s="298" t="s">
        <v>2412</v>
      </c>
      <c r="B41" s="253" t="s">
        <v>2413</v>
      </c>
      <c r="C41" s="275">
        <f ca="1">ROUND(SUM(C42:C43),0)</f>
        <v>11490127</v>
      </c>
      <c r="D41" s="278">
        <f ca="1">C44</f>
        <v>1.5E-3</v>
      </c>
      <c r="E41" s="279" t="s">
        <v>2410</v>
      </c>
      <c r="F41" s="280"/>
      <c r="G41" s="277" t="str">
        <f>IF('数据-取费表'!B22&lt;=1,"单利计息","复利计息")</f>
        <v>复利计息</v>
      </c>
    </row>
    <row r="42" spans="1:7" ht="13.5" customHeight="1">
      <c r="A42" s="951" t="s">
        <v>791</v>
      </c>
      <c r="B42" s="258" t="s">
        <v>2414</v>
      </c>
      <c r="C42" s="281">
        <f ca="1">ROUND(IF('数据-取费表'!B22&lt;=1,C33*F22*'数据-取费表'!B20/2,C33*(POWER((1+F22),'数据-取费表'!B20/2)-1)),0)</f>
        <v>11320322</v>
      </c>
      <c r="D42" s="281"/>
      <c r="E42" s="281"/>
      <c r="F42" s="282"/>
      <c r="G42" s="3166" t="s">
        <v>2462</v>
      </c>
    </row>
    <row r="43" spans="1:7" ht="13.5" customHeight="1">
      <c r="A43" s="951" t="s">
        <v>792</v>
      </c>
      <c r="B43" s="258" t="s">
        <v>2416</v>
      </c>
      <c r="C43" s="281">
        <f ca="1">ROUND(IF('数据-取费表'!B22&lt;=1,C39*F22*'数据-取费表'!B20/2,C39*(POWER((1+F22),'数据-取费表'!B20/2)-1)),0)</f>
        <v>169805</v>
      </c>
      <c r="D43" s="281"/>
      <c r="E43" s="281"/>
      <c r="F43" s="282"/>
      <c r="G43" s="3167"/>
    </row>
    <row r="44" spans="1:7" ht="13.5" customHeight="1">
      <c r="A44" s="951" t="s">
        <v>793</v>
      </c>
      <c r="B44" s="258" t="s">
        <v>2417</v>
      </c>
      <c r="C44" s="281">
        <f ca="1">ROUND(IF('数据-取费表'!B22&lt;=1,C40*F22*'数据-取费表'!B20/2,C40*(POWER((1+F22),'数据-取费表'!B20/2)-1)),4)</f>
        <v>1.5E-3</v>
      </c>
      <c r="D44" s="281"/>
      <c r="E44" s="281"/>
      <c r="F44" s="282"/>
      <c r="G44" s="3168"/>
    </row>
    <row r="45" spans="1:7" s="257" customFormat="1" ht="13.5" customHeight="1">
      <c r="A45" s="298" t="s">
        <v>2418</v>
      </c>
      <c r="B45" s="287" t="s">
        <v>2384</v>
      </c>
      <c r="C45" s="288">
        <f ca="1">C46</f>
        <v>32706114</v>
      </c>
      <c r="D45" s="278">
        <f ca="1">C47</f>
        <v>4.3E-3</v>
      </c>
      <c r="E45" s="279" t="s">
        <v>2410</v>
      </c>
      <c r="F45" s="289"/>
      <c r="G45" s="290" t="s">
        <v>2419</v>
      </c>
    </row>
    <row r="46" spans="1:7" s="257" customFormat="1" ht="13.5" customHeight="1">
      <c r="A46" s="951" t="s">
        <v>791</v>
      </c>
      <c r="B46" s="291" t="s">
        <v>2420</v>
      </c>
      <c r="C46" s="292">
        <f ca="1">ROUND((C33+C39)*F27,0)</f>
        <v>32706114</v>
      </c>
      <c r="D46" s="306"/>
      <c r="E46" s="279"/>
      <c r="F46" s="289"/>
      <c r="G46" s="290"/>
    </row>
    <row r="47" spans="1:7" s="257" customFormat="1" ht="13.5" customHeight="1">
      <c r="A47" s="951" t="s">
        <v>792</v>
      </c>
      <c r="B47" s="291" t="s">
        <v>2421</v>
      </c>
      <c r="C47" s="281">
        <f ca="1">ROUND(C40*F27,4)</f>
        <v>4.3E-3</v>
      </c>
      <c r="D47" s="306"/>
      <c r="E47" s="279"/>
      <c r="F47" s="289"/>
      <c r="G47" s="290"/>
    </row>
    <row r="48" spans="1:7" s="257" customFormat="1" ht="13.5" customHeight="1">
      <c r="A48" s="298" t="s">
        <v>2383</v>
      </c>
      <c r="B48" s="253" t="s">
        <v>2422</v>
      </c>
      <c r="C48" s="305">
        <f>ROUND(F30/(1+'数据-取费表'!C42),4)</f>
        <v>5.33E-2</v>
      </c>
      <c r="D48" s="279" t="s">
        <v>2410</v>
      </c>
      <c r="E48" s="275"/>
      <c r="F48" s="280"/>
      <c r="G48" s="277" t="s">
        <v>2423</v>
      </c>
    </row>
    <row r="49" spans="1:7" ht="16.5" customHeight="1">
      <c r="A49" s="298" t="s">
        <v>2389</v>
      </c>
      <c r="B49" s="253" t="s">
        <v>2463</v>
      </c>
      <c r="C49" s="275">
        <f ca="1">ROUND((C33+C39+C41+C45)/(1-C40-D41-D45-C48),0)</f>
        <v>258308927</v>
      </c>
      <c r="D49" s="275"/>
      <c r="E49" s="275"/>
      <c r="F49" s="307"/>
      <c r="G49" s="277" t="s">
        <v>2425</v>
      </c>
    </row>
    <row r="50" spans="1:7" s="301" customFormat="1">
      <c r="A50" s="298" t="s">
        <v>2426</v>
      </c>
      <c r="B50" s="253" t="s">
        <v>2427</v>
      </c>
      <c r="C50" s="275"/>
      <c r="D50" s="275"/>
      <c r="E50" s="275"/>
      <c r="F50" s="307">
        <f>IF('数据-取费表'!B24=0,'数据-取费表'!N16,1)</f>
        <v>1</v>
      </c>
      <c r="G50" s="290"/>
    </row>
    <row r="51" spans="1:7" ht="16.5" customHeight="1">
      <c r="A51" s="298" t="s">
        <v>2429</v>
      </c>
      <c r="B51" s="253" t="s">
        <v>2464</v>
      </c>
      <c r="C51" s="275">
        <f ca="1">ROUND(C49*F50,0)</f>
        <v>258308927</v>
      </c>
      <c r="D51" s="275"/>
      <c r="E51" s="275"/>
      <c r="F51" s="307"/>
      <c r="G51" s="277" t="s">
        <v>2431</v>
      </c>
    </row>
    <row r="52" spans="1:7" s="251" customFormat="1" ht="16.5" thickBot="1">
      <c r="A52" s="308" t="s">
        <v>2432</v>
      </c>
      <c r="B52" s="309"/>
      <c r="C52" s="310">
        <f ca="1">C31+C51</f>
        <v>290298465</v>
      </c>
      <c r="D52" s="309"/>
      <c r="E52" s="309"/>
      <c r="F52" s="309"/>
      <c r="G52" s="311"/>
    </row>
    <row r="55" spans="1:7" ht="15">
      <c r="B55" s="313" t="s">
        <v>2433</v>
      </c>
      <c r="C55" s="314"/>
    </row>
    <row r="56" spans="1:7">
      <c r="B56" s="316" t="s">
        <v>1515</v>
      </c>
      <c r="C56" s="318">
        <f ca="1">1-C57</f>
        <v>0.10999999999999999</v>
      </c>
    </row>
    <row r="57" spans="1:7">
      <c r="B57" s="316" t="s">
        <v>1516</v>
      </c>
      <c r="C57" s="317">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1591</v>
      </c>
      <c r="B1" s="780"/>
      <c r="C1" s="1836"/>
      <c r="D1" s="1819"/>
      <c r="E1" s="1820" t="s">
        <v>1388</v>
      </c>
      <c r="F1" s="1283" t="b">
        <f>J53</f>
        <v>0</v>
      </c>
      <c r="G1" s="1835">
        <f>MATCH(C1,'数据-取费表'!A6:A16,0)+5</f>
        <v>11</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2" t="s">
        <v>1590</v>
      </c>
      <c r="I3" s="1839"/>
      <c r="J3" s="1839"/>
      <c r="K3" s="1840"/>
      <c r="L3" s="1839"/>
      <c r="M3" s="1839"/>
    </row>
    <row r="4" spans="1:37" ht="18" customHeight="1">
      <c r="A4" s="339" t="s">
        <v>1597</v>
      </c>
      <c r="B4" s="340" t="s">
        <v>1598</v>
      </c>
      <c r="C4" s="340" t="s">
        <v>1599</v>
      </c>
      <c r="D4" s="340" t="s">
        <v>1600</v>
      </c>
      <c r="E4" s="341" t="s">
        <v>1601</v>
      </c>
      <c r="F4" s="342"/>
      <c r="G4" s="1850"/>
      <c r="H4" s="339" t="s">
        <v>1597</v>
      </c>
      <c r="I4" s="340" t="s">
        <v>1598</v>
      </c>
      <c r="J4" s="340" t="s">
        <v>1599</v>
      </c>
      <c r="K4" s="340" t="s">
        <v>1600</v>
      </c>
      <c r="L4" s="341" t="s">
        <v>1601</v>
      </c>
      <c r="M4" s="342"/>
    </row>
    <row r="5" spans="1:37" ht="18" customHeight="1">
      <c r="A5" s="343">
        <v>1</v>
      </c>
      <c r="B5" s="344" t="s">
        <v>1602</v>
      </c>
      <c r="C5" s="1292">
        <f ca="1">C6+C10+C12</f>
        <v>0</v>
      </c>
      <c r="D5" s="1821" t="s">
        <v>1603</v>
      </c>
      <c r="E5" s="1293"/>
      <c r="F5" s="1294"/>
      <c r="G5" s="1850"/>
      <c r="H5" s="343">
        <v>1</v>
      </c>
      <c r="I5" s="344" t="s">
        <v>1602</v>
      </c>
      <c r="J5" s="1292">
        <f ca="1">J6+J10+J12</f>
        <v>0</v>
      </c>
      <c r="K5" s="1821" t="s">
        <v>1603</v>
      </c>
      <c r="L5" s="1293"/>
      <c r="M5" s="1294"/>
    </row>
    <row r="6" spans="1:37" ht="18" customHeight="1">
      <c r="A6" s="1291" t="s">
        <v>1035</v>
      </c>
      <c r="B6" s="3214" t="s">
        <v>1404</v>
      </c>
      <c r="C6" s="1296">
        <f ca="1">ROUND(F6*F8*F7*(1-F9),0)</f>
        <v>0</v>
      </c>
      <c r="D6" s="163" t="s">
        <v>3034</v>
      </c>
      <c r="E6" s="346" t="s">
        <v>1406</v>
      </c>
      <c r="F6" s="347">
        <f ca="1">INDIRECT("'数据-取费表'!u"&amp;$G$1)</f>
        <v>0</v>
      </c>
      <c r="G6" s="1850"/>
      <c r="H6" s="1291" t="s">
        <v>1035</v>
      </c>
      <c r="I6" s="3214" t="s">
        <v>1404</v>
      </c>
      <c r="J6" s="345">
        <f ca="1">ROUND(M6*M8*M7*(1-M9),0)</f>
        <v>0</v>
      </c>
      <c r="K6" s="1833" t="s">
        <v>3037</v>
      </c>
      <c r="L6" s="346" t="s">
        <v>1406</v>
      </c>
      <c r="M6" s="347">
        <f ca="1">INDIRECT("'数据-取费表'!z"&amp;$G$1)</f>
        <v>0</v>
      </c>
    </row>
    <row r="7" spans="1:37" ht="18" customHeight="1">
      <c r="A7" s="1295"/>
      <c r="B7" s="3215"/>
      <c r="C7" s="1297"/>
      <c r="D7" s="351"/>
      <c r="E7" s="1298" t="s">
        <v>1407</v>
      </c>
      <c r="F7" s="347">
        <f ca="1">IF(INDIRECT("'数据-取费表'!ah"&amp;$G$1)="",INDIRECT("'数据-取费表'!k"&amp;$G$1),INDIRECT("'数据-取费表'!ah"&amp;$G$1))</f>
        <v>0</v>
      </c>
      <c r="G7" s="1850"/>
      <c r="H7" s="348"/>
      <c r="I7" s="3215"/>
      <c r="J7" s="350"/>
      <c r="K7" s="351"/>
      <c r="L7" s="346" t="s">
        <v>1407</v>
      </c>
      <c r="M7" s="347">
        <f ca="1">F7</f>
        <v>0</v>
      </c>
    </row>
    <row r="8" spans="1:37" ht="18" customHeight="1">
      <c r="A8" s="348"/>
      <c r="B8" s="3215"/>
      <c r="C8" s="350"/>
      <c r="D8" s="351"/>
      <c r="E8" s="346" t="s">
        <v>1408</v>
      </c>
      <c r="F8" s="347">
        <f ca="1">INDIRECT("'数据-取费表'!ai"&amp;$G$1)</f>
        <v>0</v>
      </c>
      <c r="G8" s="1850"/>
      <c r="H8" s="348"/>
      <c r="I8" s="3215"/>
      <c r="J8" s="350"/>
      <c r="K8" s="351"/>
      <c r="L8" s="346" t="s">
        <v>1408</v>
      </c>
      <c r="M8" s="347">
        <f ca="1">INDIRECT("'数据-取费表'!ai"&amp;$G$1)</f>
        <v>0</v>
      </c>
    </row>
    <row r="9" spans="1:37" ht="18" customHeight="1">
      <c r="A9" s="348"/>
      <c r="B9" s="3216"/>
      <c r="C9" s="350"/>
      <c r="D9" s="351"/>
      <c r="E9" s="346" t="s">
        <v>1409</v>
      </c>
      <c r="F9" s="356">
        <f ca="1">INDIRECT("'数据-取费表'!w"&amp;$G$1)</f>
        <v>0</v>
      </c>
      <c r="G9" s="1850"/>
      <c r="H9" s="348"/>
      <c r="I9" s="3216"/>
      <c r="J9" s="350"/>
      <c r="K9" s="351"/>
      <c r="L9" s="357" t="s">
        <v>1409</v>
      </c>
      <c r="M9" s="358">
        <f ca="1">INDIRECT("'数据-取费表'!ab"&amp;$G$1)</f>
        <v>0</v>
      </c>
    </row>
    <row r="10" spans="1:37" ht="18" customHeight="1">
      <c r="A10" s="1291" t="s">
        <v>1039</v>
      </c>
      <c r="B10" s="1822" t="s">
        <v>1410</v>
      </c>
      <c r="C10" s="360">
        <f ca="1">ROUND(IF(F10="押一",F6*F8*F7/12*F11,IF(F10="押二",F6*F8*F7/12*2*F11,IF(F10="押三",F6*F8*F7/12*3*F11,C11*F11))),0)</f>
        <v>0</v>
      </c>
      <c r="D10" s="1823" t="s">
        <v>3035</v>
      </c>
      <c r="E10" s="357" t="s">
        <v>1412</v>
      </c>
      <c r="F10" s="1366"/>
      <c r="G10" s="1850"/>
      <c r="H10" s="1291" t="s">
        <v>1039</v>
      </c>
      <c r="I10" s="1822" t="s">
        <v>1410</v>
      </c>
      <c r="J10" s="345">
        <f ca="1">ROUND(IF(M10="押一",M6*M8*M7/12*M11,IF(M10="押二",M6*M8*M7/12*2*M11,IF(M10="押三",M6*M8*M7/12*3*M11,J11*M11))),0)</f>
        <v>0</v>
      </c>
      <c r="K10" s="1834" t="s">
        <v>3036</v>
      </c>
      <c r="L10" s="357" t="s">
        <v>1412</v>
      </c>
      <c r="M10" s="1366"/>
    </row>
    <row r="11" spans="1:37" ht="18" customHeight="1">
      <c r="A11" s="352"/>
      <c r="B11" s="1824" t="s">
        <v>1604</v>
      </c>
      <c r="C11" s="1178"/>
      <c r="D11" s="351"/>
      <c r="E11" s="357" t="s">
        <v>1414</v>
      </c>
      <c r="F11" s="358">
        <f ca="1">'数据-取费表'!B39</f>
        <v>1.4999999999999999E-2</v>
      </c>
      <c r="G11" s="1850"/>
      <c r="H11" s="1299"/>
      <c r="I11" s="1824" t="s">
        <v>1605</v>
      </c>
      <c r="J11" s="1178"/>
      <c r="K11" s="746"/>
      <c r="L11" s="357"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4">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6" t="s">
        <v>1419</v>
      </c>
      <c r="C14" s="362">
        <f ca="1">ROUND(INDIRECT("'数据-取费表'!l"&amp;$G$1)*F43+'数据-取费表'!L14*INDIRECT("'数据-取费表'!S"&amp;$G$1),0)</f>
        <v>0</v>
      </c>
      <c r="D14" s="1799" t="s">
        <v>1420</v>
      </c>
      <c r="E14" s="1793"/>
      <c r="F14" s="363"/>
      <c r="G14" s="1850"/>
      <c r="H14" s="1201" t="s">
        <v>1035</v>
      </c>
      <c r="I14" s="346" t="s">
        <v>1421</v>
      </c>
      <c r="J14" s="24">
        <f ca="1">C29</f>
        <v>0</v>
      </c>
      <c r="K14" s="15"/>
      <c r="L14" s="979"/>
      <c r="M14" s="980"/>
    </row>
    <row r="15" spans="1:37" s="1857" customFormat="1" ht="18" customHeight="1" thickBot="1">
      <c r="A15" s="1201" t="s">
        <v>1036</v>
      </c>
      <c r="B15" s="346" t="s">
        <v>1422</v>
      </c>
      <c r="C15" s="24">
        <f ca="1">ROUND(C14*F15,0)</f>
        <v>0</v>
      </c>
      <c r="D15" s="364" t="s">
        <v>1423</v>
      </c>
      <c r="E15" s="364" t="s">
        <v>1424</v>
      </c>
      <c r="F15" s="365">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6" t="s">
        <v>1425</v>
      </c>
      <c r="C16" s="24">
        <f ca="1">ROUND(INDIRECT("'数据-取费表'!l"&amp;$G$1)*F43*F16,0)</f>
        <v>0</v>
      </c>
      <c r="D16" s="346" t="s">
        <v>1423</v>
      </c>
      <c r="E16" s="346" t="s">
        <v>1424</v>
      </c>
      <c r="F16" s="366">
        <f ca="1">IF(INDIRECT("'数据-取费表'!c"&amp;$G$1)="住宅",'数据-取费表'!B34,0)</f>
        <v>0</v>
      </c>
      <c r="G16" s="1850"/>
      <c r="H16" s="1329" t="s">
        <v>1030</v>
      </c>
      <c r="I16" s="1330" t="s">
        <v>1426</v>
      </c>
      <c r="J16" s="354">
        <f ca="1">ROUND(J17+J22+J23+J24,0)</f>
        <v>0</v>
      </c>
      <c r="K16" s="1337" t="s">
        <v>1427</v>
      </c>
      <c r="L16" s="1338"/>
      <c r="M16" s="1294"/>
    </row>
    <row r="17" spans="1:37" s="1857" customFormat="1" ht="18" customHeight="1">
      <c r="A17" s="1201" t="s">
        <v>1391</v>
      </c>
      <c r="B17" s="346" t="s">
        <v>1428</v>
      </c>
      <c r="C17" s="24">
        <f ca="1">ROUND(F17*(F43+INDIRECT("'数据-取费表'!S"&amp;$G$1)),0)</f>
        <v>0</v>
      </c>
      <c r="D17" s="346" t="s">
        <v>1429</v>
      </c>
      <c r="E17" s="346" t="s">
        <v>1430</v>
      </c>
      <c r="F17" s="26">
        <f>'数据-取费表'!B35</f>
        <v>200</v>
      </c>
      <c r="G17" s="1853"/>
      <c r="H17" s="1201" t="s">
        <v>1035</v>
      </c>
      <c r="I17" s="346" t="s">
        <v>1431</v>
      </c>
      <c r="J17" s="24">
        <f ca="1">ROUND(IF(项目基本情况!B11="自然人",J5*M17,J18+J19+J20),0)</f>
        <v>0</v>
      </c>
      <c r="K17" s="1799" t="s">
        <v>1432</v>
      </c>
      <c r="L17" s="1797" t="s">
        <v>1433</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6" t="s">
        <v>1434</v>
      </c>
      <c r="C18" s="24">
        <f ca="1">ROUND(C14*F18,0)</f>
        <v>0</v>
      </c>
      <c r="D18" s="346" t="s">
        <v>1423</v>
      </c>
      <c r="E18" s="346" t="s">
        <v>1424</v>
      </c>
      <c r="F18" s="366">
        <f>'数据-取费表'!B36</f>
        <v>1.4999999999999999E-2</v>
      </c>
      <c r="G18" s="1853"/>
      <c r="H18" s="1201" t="s">
        <v>1034</v>
      </c>
      <c r="I18" s="346" t="s">
        <v>1435</v>
      </c>
      <c r="J18" s="24">
        <f ca="1">ROUND(J5*M18/(1+'数据-取费表'!C42),0)</f>
        <v>0</v>
      </c>
      <c r="K18" s="1797" t="s">
        <v>1436</v>
      </c>
      <c r="L18" s="346" t="s">
        <v>1424</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6" t="s">
        <v>1437</v>
      </c>
      <c r="C19" s="24">
        <f ca="1">SUM(C14:C18)</f>
        <v>0</v>
      </c>
      <c r="D19" s="138" t="s">
        <v>1438</v>
      </c>
      <c r="E19" s="1817"/>
      <c r="F19" s="26"/>
      <c r="G19" s="1850"/>
      <c r="H19" s="1201" t="s">
        <v>1036</v>
      </c>
      <c r="I19" s="346" t="s">
        <v>1439</v>
      </c>
      <c r="J19" s="24">
        <f ca="1">IF(K19="按租金收入计税",ROUND(J5*M19,0),ROUND(C29*M19*0.7,0))</f>
        <v>0</v>
      </c>
      <c r="K19" s="1827" t="s">
        <v>1440</v>
      </c>
      <c r="L19" s="346" t="s">
        <v>1424</v>
      </c>
      <c r="M19" s="366">
        <f>IF(K19="按租金收入计税",'数据-取费表'!B51,'数据-取费表'!B50)</f>
        <v>1.2E-2</v>
      </c>
    </row>
    <row r="20" spans="1:37" s="1857" customFormat="1" ht="18" customHeight="1">
      <c r="A20" s="1201" t="s">
        <v>1039</v>
      </c>
      <c r="B20" s="346" t="s">
        <v>1441</v>
      </c>
      <c r="C20" s="24">
        <f ca="1">ROUND(C19*F20,0)</f>
        <v>0</v>
      </c>
      <c r="D20" s="368" t="s">
        <v>1442</v>
      </c>
      <c r="E20" s="346" t="s">
        <v>1424</v>
      </c>
      <c r="F20" s="366">
        <f>'数据-取费表'!B37</f>
        <v>1.4999999999999999E-2</v>
      </c>
      <c r="G20" s="1853"/>
      <c r="H20" s="1201" t="s">
        <v>1390</v>
      </c>
      <c r="I20" s="163" t="s">
        <v>1443</v>
      </c>
      <c r="J20" s="25">
        <f ca="1">ROUND(M20*M21,0)</f>
        <v>0</v>
      </c>
      <c r="K20" s="369" t="s">
        <v>1444</v>
      </c>
      <c r="L20" s="346" t="s">
        <v>1445</v>
      </c>
      <c r="M20" s="370">
        <f>'数据-取费表'!B52</f>
        <v>16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6" t="s">
        <v>1446</v>
      </c>
      <c r="C21" s="24" t="s">
        <v>1</v>
      </c>
      <c r="D21" s="368" t="s">
        <v>1447</v>
      </c>
      <c r="E21" s="346" t="s">
        <v>1448</v>
      </c>
      <c r="F21" s="366">
        <f>'数据-取费表'!B38</f>
        <v>2.5000000000000001E-2</v>
      </c>
      <c r="G21" s="1853"/>
      <c r="H21" s="371"/>
      <c r="I21" s="355"/>
      <c r="J21" s="29"/>
      <c r="K21" s="372"/>
      <c r="L21" s="346" t="s">
        <v>1449</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6" t="s">
        <v>1450</v>
      </c>
      <c r="C22" s="24"/>
      <c r="D22" s="138" t="str">
        <f>IF(F23&lt;=1,"单利计息。","复利计息。")&amp;"建造成本、管理费用、销售费用产生的利息。"</f>
        <v>复利计息。建造成本、管理费用、销售费用产生的利息。</v>
      </c>
      <c r="E22" s="1817"/>
      <c r="F22" s="26"/>
      <c r="G22" s="1850"/>
      <c r="H22" s="1201" t="s">
        <v>1039</v>
      </c>
      <c r="I22" s="346" t="s">
        <v>1451</v>
      </c>
      <c r="J22" s="24">
        <f ca="1">ROUND(J14*M22,0)</f>
        <v>0</v>
      </c>
      <c r="K22" s="1797" t="s">
        <v>1452</v>
      </c>
      <c r="L22" s="346" t="s">
        <v>1424</v>
      </c>
      <c r="M22" s="373">
        <f ca="1">INDIRECT("'数据-取费表'!Ak"&amp;$G$1)</f>
        <v>0</v>
      </c>
    </row>
    <row r="23" spans="1:37" s="1857" customFormat="1" ht="18" customHeight="1">
      <c r="A23" s="1201"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2.5</v>
      </c>
      <c r="G23" s="1853"/>
      <c r="H23" s="1201" t="s">
        <v>1075</v>
      </c>
      <c r="I23" s="346" t="s">
        <v>1455</v>
      </c>
      <c r="J23" s="24">
        <f ca="1">ROUND(J13*M23,0)</f>
        <v>0</v>
      </c>
      <c r="K23" s="1797" t="s">
        <v>1456</v>
      </c>
      <c r="L23" s="346" t="s">
        <v>1457</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6" t="s">
        <v>1459</v>
      </c>
      <c r="C24" s="24">
        <f ca="1">ROUND(IF('数据-取费表'!B22&lt;=1,F21*F24*F23/2,F21*(POWER((1+F24),F23/2)-1)),4)</f>
        <v>1.5E-3</v>
      </c>
      <c r="D24" s="374" t="str">
        <f>IF(F23&lt;=1,"销售费用×利率×(建设周期÷2)","销售费用×((1+利率)^(建设周期÷2)-1)")</f>
        <v>销售费用×((1+利率)^(建设周期÷2)-1)</v>
      </c>
      <c r="E24" s="346" t="s">
        <v>1460</v>
      </c>
      <c r="F24" s="376">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6" t="s">
        <v>1463</v>
      </c>
      <c r="C25" s="24"/>
      <c r="D25" s="138" t="s">
        <v>1464</v>
      </c>
      <c r="E25" s="1817"/>
      <c r="F25" s="26"/>
      <c r="G25" s="1850"/>
      <c r="H25" s="1329" t="s">
        <v>1031</v>
      </c>
      <c r="I25" s="1344" t="s">
        <v>1465</v>
      </c>
      <c r="J25" s="354">
        <f ca="1">J5-J16</f>
        <v>0</v>
      </c>
      <c r="K25" s="1345" t="s">
        <v>1466</v>
      </c>
      <c r="L25" s="1346"/>
      <c r="M25" s="1347"/>
    </row>
    <row r="26" spans="1:37" ht="18" customHeight="1">
      <c r="A26" s="1201" t="s">
        <v>1034</v>
      </c>
      <c r="B26" s="346" t="s">
        <v>1467</v>
      </c>
      <c r="C26" s="24">
        <f ca="1">ROUND((C19+C20)*F26,0)</f>
        <v>0</v>
      </c>
      <c r="D26" s="368" t="s">
        <v>1468</v>
      </c>
      <c r="E26" s="357" t="s">
        <v>1469</v>
      </c>
      <c r="F26" s="356">
        <f ca="1">INDIRECT("'数据-取费表'!q"&amp;$G$1)</f>
        <v>0</v>
      </c>
      <c r="G26" s="1850"/>
      <c r="H26" s="343" t="s">
        <v>1032</v>
      </c>
      <c r="I26" s="344" t="s">
        <v>1470</v>
      </c>
      <c r="J26" s="345">
        <f ca="1">IF(J5&lt;&gt;0,ROUND(J25*(1-((1+M28)/(1+M26))^M27)/(M26-M28),0),0)</f>
        <v>0</v>
      </c>
      <c r="K26" s="369" t="s">
        <v>1471</v>
      </c>
      <c r="L26" s="346" t="s">
        <v>1472</v>
      </c>
      <c r="M26" s="356">
        <f ca="1">INDIRECT("'数据-取费表'!I"&amp;$G$1)</f>
        <v>0</v>
      </c>
    </row>
    <row r="27" spans="1:37" ht="18" customHeight="1">
      <c r="A27" s="1201" t="s">
        <v>1036</v>
      </c>
      <c r="B27" s="346" t="s">
        <v>1473</v>
      </c>
      <c r="C27" s="24">
        <f ca="1">ROUND(F21*F26,4)</f>
        <v>0</v>
      </c>
      <c r="D27" s="368" t="s">
        <v>1474</v>
      </c>
      <c r="E27" s="364"/>
      <c r="F27" s="365"/>
      <c r="G27" s="1850"/>
      <c r="H27" s="348"/>
      <c r="I27" s="349"/>
      <c r="J27" s="350"/>
      <c r="K27" s="377" t="s">
        <v>1475</v>
      </c>
      <c r="L27" s="346" t="s">
        <v>1476</v>
      </c>
      <c r="M27" s="378">
        <f ca="1">INDIRECT("'数据-取费表'!ag"&amp;$G$1)</f>
        <v>0</v>
      </c>
    </row>
    <row r="28" spans="1:37" s="1857" customFormat="1" ht="18" customHeight="1">
      <c r="A28" s="1201" t="s">
        <v>1037</v>
      </c>
      <c r="B28" s="346" t="s">
        <v>1477</v>
      </c>
      <c r="C28" s="24">
        <f>ROUND(F28/(1+'数据-取费表'!C42),4)</f>
        <v>5.33E-2</v>
      </c>
      <c r="D28" s="368" t="s">
        <v>1478</v>
      </c>
      <c r="E28" s="346" t="s">
        <v>1424</v>
      </c>
      <c r="F28" s="366">
        <f>'数据-取费表'!B41</f>
        <v>5.6000000000000001E-2</v>
      </c>
      <c r="G28" s="1853"/>
      <c r="H28" s="352"/>
      <c r="I28" s="353"/>
      <c r="J28" s="354"/>
      <c r="K28" s="372"/>
      <c r="L28" s="346" t="s">
        <v>1479</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79" t="s">
        <v>1033</v>
      </c>
      <c r="I29" s="380" t="s">
        <v>1481</v>
      </c>
      <c r="J29" s="381">
        <f ca="1">ROUND(J26/(1+F40)^F41,0)</f>
        <v>0</v>
      </c>
      <c r="K29" s="382" t="s">
        <v>1482</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4">
        <f ca="1">ROUND(C31+C36+C37+C38,0)</f>
        <v>0</v>
      </c>
      <c r="D30" s="1337" t="s">
        <v>1427</v>
      </c>
      <c r="E30" s="1338"/>
      <c r="F30" s="1294"/>
      <c r="G30" s="1850"/>
      <c r="H30" s="743"/>
      <c r="I30" s="744"/>
      <c r="J30" s="745"/>
      <c r="K30" s="746"/>
      <c r="L30" s="747"/>
      <c r="M30" s="748"/>
    </row>
    <row r="31" spans="1:37" ht="18" customHeight="1">
      <c r="A31" s="1201" t="s">
        <v>1035</v>
      </c>
      <c r="B31" s="346" t="s">
        <v>1431</v>
      </c>
      <c r="C31" s="24">
        <f ca="1">ROUND(IF(项目基本情况!B11="自然人",C5*F31,C32+C33+C34),0)</f>
        <v>0</v>
      </c>
      <c r="D31" s="1799" t="s">
        <v>1432</v>
      </c>
      <c r="E31" s="1797" t="s">
        <v>1483</v>
      </c>
      <c r="F31" s="367"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6" t="s">
        <v>1435</v>
      </c>
      <c r="C32" s="24">
        <f ca="1">IF(项目基本情况!B11="自然人","——",ROUND(C5*F32/(1+'数据-取费表'!C42),0))</f>
        <v>0</v>
      </c>
      <c r="D32" s="1797" t="s">
        <v>1436</v>
      </c>
      <c r="E32" s="346" t="s">
        <v>1424</v>
      </c>
      <c r="F32" s="376">
        <f>'数据-取费表'!B41</f>
        <v>5.6000000000000001E-2</v>
      </c>
      <c r="G32" s="1850"/>
      <c r="H32" s="743"/>
      <c r="I32" s="744"/>
      <c r="J32" s="745"/>
      <c r="K32" s="746"/>
      <c r="L32" s="747"/>
      <c r="M32" s="748"/>
    </row>
    <row r="33" spans="1:18" ht="18" customHeight="1">
      <c r="A33" s="1201" t="s">
        <v>1036</v>
      </c>
      <c r="B33" s="346" t="s">
        <v>1439</v>
      </c>
      <c r="C33" s="24">
        <f ca="1">IF(项目基本情况!B11="自然人","——",IF(D33="按租金收入计税",ROUND(C5*F33,0),IF(D33="按房产原值计税",ROUND(C29*F33*0.7,0),INDIRECT("'数据-取费表'!Aj"&amp;$G$1))))</f>
        <v>0</v>
      </c>
      <c r="D33" s="1827" t="s">
        <v>1440</v>
      </c>
      <c r="E33" s="346" t="s">
        <v>1424</v>
      </c>
      <c r="F33" s="366">
        <f>IF(D33="按票据","——",IF(D33="按租金收入计税",'数据-取费表'!B51,'数据-取费表'!B50))</f>
        <v>1.2E-2</v>
      </c>
      <c r="G33" s="1850"/>
      <c r="H33" s="1858"/>
      <c r="I33" s="1859"/>
      <c r="J33" s="1860"/>
      <c r="K33" s="1861"/>
      <c r="L33" s="1858"/>
      <c r="M33" s="1858"/>
    </row>
    <row r="34" spans="1:18" ht="18" customHeight="1">
      <c r="A34" s="1291" t="s">
        <v>1390</v>
      </c>
      <c r="B34" s="163" t="s">
        <v>1443</v>
      </c>
      <c r="C34" s="25">
        <f ca="1">IF(项目基本情况!B11="自然人","——",ROUND(F34*F35,))</f>
        <v>0</v>
      </c>
      <c r="D34" s="369" t="s">
        <v>1444</v>
      </c>
      <c r="E34" s="346" t="s">
        <v>1445</v>
      </c>
      <c r="F34" s="370">
        <f>'数据-取费表'!B52</f>
        <v>16</v>
      </c>
      <c r="G34" s="1850"/>
      <c r="H34" s="743"/>
      <c r="I34" s="1859"/>
      <c r="J34" s="1860"/>
      <c r="K34" s="1862"/>
      <c r="L34" s="1863"/>
      <c r="M34" s="1863"/>
    </row>
    <row r="35" spans="1:18" ht="18" customHeight="1">
      <c r="A35" s="1353"/>
      <c r="B35" s="1351"/>
      <c r="C35" s="29"/>
      <c r="D35" s="372"/>
      <c r="E35" s="346" t="s">
        <v>1449</v>
      </c>
      <c r="F35" s="347">
        <f ca="1">INDIRECT("'数据-取费表'!r"&amp;$G$1)</f>
        <v>0</v>
      </c>
      <c r="G35" s="1850"/>
      <c r="H35" s="743"/>
      <c r="I35" s="1859"/>
      <c r="J35" s="1860"/>
      <c r="K35" s="1861"/>
      <c r="L35" s="1858"/>
      <c r="M35" s="1858"/>
    </row>
    <row r="36" spans="1:18" ht="18" customHeight="1">
      <c r="A36" s="1352" t="s">
        <v>1039</v>
      </c>
      <c r="B36" s="346" t="s">
        <v>1451</v>
      </c>
      <c r="C36" s="24">
        <f ca="1">ROUND(C29*F36,0)</f>
        <v>0</v>
      </c>
      <c r="D36" s="1797" t="s">
        <v>1484</v>
      </c>
      <c r="E36" s="346" t="s">
        <v>1424</v>
      </c>
      <c r="F36" s="373">
        <f ca="1">INDIRECT("'数据-取费表'!Ak"&amp;$G$1)</f>
        <v>0</v>
      </c>
      <c r="G36" s="1850"/>
      <c r="H36" s="1858"/>
      <c r="I36" s="1859"/>
      <c r="J36" s="1860"/>
      <c r="K36" s="749"/>
      <c r="L36" s="1858"/>
      <c r="M36" s="1858"/>
    </row>
    <row r="37" spans="1:18" ht="18" customHeight="1">
      <c r="A37" s="1201" t="s">
        <v>1075</v>
      </c>
      <c r="B37" s="346" t="s">
        <v>1455</v>
      </c>
      <c r="C37" s="24">
        <f ca="1">ROUND(C13*F37,0)</f>
        <v>0</v>
      </c>
      <c r="D37" s="1797" t="s">
        <v>1456</v>
      </c>
      <c r="E37" s="346" t="s">
        <v>1457</v>
      </c>
      <c r="F37" s="375">
        <f ca="1">INDIRECT("'数据-取费表'!Al"&amp;$G$1)</f>
        <v>0</v>
      </c>
      <c r="G37" s="1850"/>
      <c r="H37" s="1858"/>
      <c r="I37" s="1859"/>
      <c r="J37" s="1860"/>
      <c r="K37" s="749"/>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4">
        <f ca="1">C5-C30</f>
        <v>0</v>
      </c>
      <c r="D39" s="1345" t="s">
        <v>1486</v>
      </c>
      <c r="E39" s="1346"/>
      <c r="F39" s="1347"/>
      <c r="G39" s="1850"/>
      <c r="H39" s="1858"/>
      <c r="I39" s="1859"/>
      <c r="J39" s="1860"/>
      <c r="K39" s="1864"/>
      <c r="L39" s="1858"/>
      <c r="M39" s="1858"/>
    </row>
    <row r="40" spans="1:18" ht="18" customHeight="1">
      <c r="A40" s="343" t="s">
        <v>1032</v>
      </c>
      <c r="B40" s="344" t="s">
        <v>1487</v>
      </c>
      <c r="C40" s="345" t="e">
        <f ca="1">ROUND(C39*(1-((1+F42)/(1+F40))^F41)/(F40-F42),0)</f>
        <v>#DIV/0!</v>
      </c>
      <c r="D40" s="369" t="s">
        <v>1471</v>
      </c>
      <c r="E40" s="346" t="s">
        <v>1472</v>
      </c>
      <c r="F40" s="356">
        <f ca="1">INDIRECT("'数据-取费表'!I"&amp;$G$1)</f>
        <v>0</v>
      </c>
      <c r="G40" s="1850"/>
      <c r="H40" s="1838"/>
      <c r="I40" s="1859"/>
      <c r="J40" s="1860"/>
      <c r="K40" s="1864"/>
      <c r="L40" s="1838"/>
      <c r="M40" s="1838"/>
    </row>
    <row r="41" spans="1:18" ht="18" customHeight="1">
      <c r="A41" s="348"/>
      <c r="B41" s="349"/>
      <c r="C41" s="350"/>
      <c r="D41" s="377" t="s">
        <v>1488</v>
      </c>
      <c r="E41" s="346" t="s">
        <v>1476</v>
      </c>
      <c r="F41" s="378">
        <f ca="1">IF(INDIRECT("'数据-取费表'!af"&amp;$G$1)=0,INDIRECT("'数据-取费表'!ae"&amp;$G$1),INDIRECT("'数据-取费表'!af"&amp;$G$1))</f>
        <v>0</v>
      </c>
      <c r="G41" s="1850"/>
      <c r="H41" s="730"/>
      <c r="I41" s="1859"/>
      <c r="J41" s="1860"/>
      <c r="K41" s="749"/>
      <c r="L41" s="730"/>
      <c r="M41" s="730"/>
    </row>
    <row r="42" spans="1:18" ht="18" customHeight="1">
      <c r="A42" s="352"/>
      <c r="B42" s="353"/>
      <c r="C42" s="354"/>
      <c r="D42" s="372"/>
      <c r="E42" s="346" t="s">
        <v>1479</v>
      </c>
      <c r="F42" s="356">
        <f ca="1">INDIRECT("'数据-取费表'!v"&amp;$G$1)</f>
        <v>0</v>
      </c>
      <c r="G42" s="1850"/>
      <c r="H42" s="730"/>
      <c r="I42" s="1859"/>
      <c r="J42" s="1860"/>
      <c r="K42" s="749"/>
      <c r="L42" s="730"/>
      <c r="M42" s="730"/>
    </row>
    <row r="43" spans="1:18" ht="18" customHeight="1" thickBot="1">
      <c r="A43" s="379" t="s">
        <v>1033</v>
      </c>
      <c r="B43" s="380" t="s">
        <v>1489</v>
      </c>
      <c r="C43" s="381" t="e">
        <f ca="1">ROUND(C40/F43,0)</f>
        <v>#DIV/0!</v>
      </c>
      <c r="D43" s="382" t="s">
        <v>1490</v>
      </c>
      <c r="E43" s="383" t="s">
        <v>1491</v>
      </c>
      <c r="F43" s="384">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0"/>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4" t="s">
        <v>1402</v>
      </c>
      <c r="C48" s="1816">
        <f ca="1">C49+C53+C55</f>
        <v>0</v>
      </c>
      <c r="D48" s="1362"/>
      <c r="E48" s="1363"/>
      <c r="F48" s="1181"/>
      <c r="G48" s="790"/>
      <c r="H48" s="791"/>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1"/>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1"/>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7">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8" t="s">
        <v>1410</v>
      </c>
      <c r="C53" s="360">
        <f ca="1">ROUND(IF(F53="押一",F49*F51*F50/12*F11,IF(F53="押二",F49*F51*F50/12*2*F11,IF(F53="押三",F49*F51*F50/12*3*F11,C54*F11))),0)</f>
        <v>0</v>
      </c>
      <c r="D53" s="1823" t="s">
        <v>1411</v>
      </c>
      <c r="E53" s="357" t="s">
        <v>1412</v>
      </c>
      <c r="F53" s="1366"/>
      <c r="I53" s="1904" t="s">
        <v>1549</v>
      </c>
      <c r="J53" s="1905" t="b">
        <f>IF(M47="住宅",J51,IF(D1="——",MIN(J51,L48),IF(D1="在建（套用方法）",MIN(J51,L48-'数据-取费表'!B24),IF(D1="土地（套用方法）",MIN(J51,L48-'数据-取费表'!B20)))))</f>
        <v>0</v>
      </c>
      <c r="K53" s="3217" t="s">
        <v>1550</v>
      </c>
      <c r="L53" s="3218"/>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5">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1">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59" t="s">
        <v>1030</v>
      </c>
      <c r="B58" s="1177" t="s">
        <v>1426</v>
      </c>
      <c r="C58" s="360">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4">
        <f ca="1">ROUND(IF(项目基本情况!B11="自然人",C48*F59,C60+C61+C62),0)</f>
        <v>0</v>
      </c>
      <c r="D59" s="1182" t="s">
        <v>1432</v>
      </c>
      <c r="E59" s="1183" t="s">
        <v>1433</v>
      </c>
      <c r="F59" s="367"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4">
        <f ca="1">IF(项目基本情况!B11="自然人","——",ROUND(C48*F60/(1+'数据-取费表'!C42),0))</f>
        <v>0</v>
      </c>
      <c r="D60" s="1183" t="s">
        <v>1436</v>
      </c>
      <c r="E60" s="1169" t="s">
        <v>1424</v>
      </c>
      <c r="F60" s="376">
        <f t="shared" ref="F60:F66" si="0">F32</f>
        <v>5.6000000000000001E-2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4">
        <f ca="1">IF(项目基本情况!B11="自然人","——",IF(D61="按租金收入计税",ROUND(C48*F61,0),IF(D61="按房产原值计税",ROUND(C57*F61*0.7,0),INDIRECT("'数据-取费表'!Aj"&amp;$G$1))))</f>
        <v>0</v>
      </c>
      <c r="D61" s="1827" t="s">
        <v>1440</v>
      </c>
      <c r="E61" s="1169" t="s">
        <v>1496</v>
      </c>
      <c r="F61" s="366">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5">
        <f ca="1">IF(项目基本情况!B11="自然人","——",ROUND(F62*F63,0))</f>
        <v>0</v>
      </c>
      <c r="D62" s="1184" t="s">
        <v>1499</v>
      </c>
      <c r="E62" s="1169" t="s">
        <v>1500</v>
      </c>
      <c r="F62" s="370">
        <f t="shared" si="0"/>
        <v>16</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1"/>
      <c r="B63" s="1175"/>
      <c r="C63" s="29"/>
      <c r="D63" s="1185"/>
      <c r="E63" s="1169" t="s">
        <v>1501</v>
      </c>
      <c r="F63" s="347">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4">
        <f ca="1">ROUND(C57*F64,0)</f>
        <v>0</v>
      </c>
      <c r="D64" s="1183" t="s">
        <v>1504</v>
      </c>
      <c r="E64" s="1169" t="s">
        <v>1496</v>
      </c>
      <c r="F64" s="373">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4">
        <f ca="1">ROUND(C56*F65,0)</f>
        <v>0</v>
      </c>
      <c r="D65" s="1183" t="s">
        <v>1456</v>
      </c>
      <c r="E65" s="1169" t="s">
        <v>1457</v>
      </c>
      <c r="F65" s="375">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4">
        <f ca="1">ROUND(C48*F66,0)</f>
        <v>0</v>
      </c>
      <c r="D66" s="1183" t="s">
        <v>1507</v>
      </c>
      <c r="E66" s="1169" t="s">
        <v>1424</v>
      </c>
      <c r="F66" s="356">
        <f t="shared" ca="1" si="0"/>
        <v>0</v>
      </c>
      <c r="O66" s="1883" t="s">
        <v>1041</v>
      </c>
      <c r="P66" s="1884" t="s">
        <v>1560</v>
      </c>
      <c r="Q66" s="1885" t="e">
        <f ca="1">L60</f>
        <v>#DIV/0!</v>
      </c>
      <c r="R66" s="1885" t="s">
        <v>1583</v>
      </c>
    </row>
    <row r="67" spans="1:18" s="1841" customFormat="1" ht="16.5" thickBot="1">
      <c r="A67" s="1176" t="s">
        <v>1031</v>
      </c>
      <c r="B67" s="1186" t="s">
        <v>1465</v>
      </c>
      <c r="C67" s="360">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5" t="e">
        <f ca="1">ROUND(C67*(1-((1+F70)/(1+F68))^F69)/(F68-F70),0)</f>
        <v>#DIV/0!</v>
      </c>
      <c r="D68" s="1184" t="s">
        <v>1471</v>
      </c>
      <c r="E68" s="1169" t="s">
        <v>1472</v>
      </c>
      <c r="F68" s="356">
        <f ca="1">F40</f>
        <v>0</v>
      </c>
      <c r="O68" s="1893" t="s">
        <v>1043</v>
      </c>
      <c r="P68" s="1933" t="s">
        <v>1585</v>
      </c>
      <c r="Q68" s="1885">
        <f ca="1">ROUND(Q69-Q70*Q71,0)</f>
        <v>0</v>
      </c>
      <c r="R68" s="1885" t="s">
        <v>1051</v>
      </c>
    </row>
    <row r="69" spans="1:18" s="1841" customFormat="1" ht="13.5" thickBot="1">
      <c r="A69" s="1170"/>
      <c r="B69" s="1171"/>
      <c r="C69" s="350"/>
      <c r="D69" s="1189" t="s">
        <v>1475</v>
      </c>
      <c r="E69" s="1169" t="s">
        <v>1476</v>
      </c>
      <c r="F69" s="378">
        <f ca="1">F41</f>
        <v>0</v>
      </c>
      <c r="O69" s="1893" t="s">
        <v>1048</v>
      </c>
      <c r="P69" s="1933" t="s">
        <v>1586</v>
      </c>
      <c r="Q69" s="1885">
        <f ca="1">C39</f>
        <v>0</v>
      </c>
      <c r="R69" s="1885" t="s">
        <v>1531</v>
      </c>
    </row>
    <row r="70" spans="1:18" s="1841" customFormat="1" ht="13.5" thickBot="1">
      <c r="A70" s="1173"/>
      <c r="B70" s="1174"/>
      <c r="C70" s="354"/>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1" t="e">
        <f ca="1">ROUND(C68/F71,0)</f>
        <v>#DIV/0!</v>
      </c>
      <c r="D71" s="1192" t="s">
        <v>1490</v>
      </c>
      <c r="E71" s="1193" t="s">
        <v>1491</v>
      </c>
      <c r="F71" s="384">
        <f ca="1">F43</f>
        <v>0</v>
      </c>
      <c r="O71" s="1893" t="s">
        <v>1050</v>
      </c>
      <c r="P71" s="1933" t="s">
        <v>1588</v>
      </c>
      <c r="Q71" s="1896">
        <f ca="1">C76</f>
        <v>0</v>
      </c>
      <c r="R71" s="1885"/>
    </row>
    <row r="72" spans="1:18" s="1841" customFormat="1" ht="13.5" thickBot="1">
      <c r="B72" s="794"/>
      <c r="C72" s="794"/>
      <c r="O72" s="1893" t="s">
        <v>1044</v>
      </c>
      <c r="P72" s="1884" t="s">
        <v>1566</v>
      </c>
      <c r="Q72" s="1896">
        <f>L52</f>
        <v>0</v>
      </c>
      <c r="R72" s="1885"/>
    </row>
    <row r="73" spans="1:18" ht="16.5" thickBot="1">
      <c r="A73" s="1841"/>
      <c r="B73" s="794"/>
      <c r="C73" s="794"/>
      <c r="D73" s="1841"/>
      <c r="E73" s="1841"/>
      <c r="F73" s="1841"/>
      <c r="O73" s="1893" t="s">
        <v>1045</v>
      </c>
      <c r="P73" s="1884" t="s">
        <v>1569</v>
      </c>
      <c r="Q73" s="1885" t="e">
        <f ca="1">L58</f>
        <v>#DIV/0!</v>
      </c>
      <c r="R73" s="1885" t="s">
        <v>1570</v>
      </c>
    </row>
    <row r="74" spans="1:18" ht="13.5" thickBot="1">
      <c r="A74" s="1841"/>
      <c r="B74" s="316"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5" t="s">
        <v>1508</v>
      </c>
      <c r="C75" s="386">
        <f ca="1">ROUND(C13*C76,0)</f>
        <v>0</v>
      </c>
      <c r="D75" s="1841"/>
      <c r="E75" s="1841"/>
      <c r="F75" s="1841"/>
      <c r="K75" s="1867"/>
      <c r="L75" s="1841"/>
      <c r="O75" s="1883" t="s">
        <v>1046</v>
      </c>
      <c r="P75" s="1884" t="s">
        <v>1551</v>
      </c>
      <c r="Q75" s="1885" t="e">
        <f ca="1">Q65+Q66</f>
        <v>#DIV/0!</v>
      </c>
      <c r="R75" s="1885" t="s">
        <v>1047</v>
      </c>
    </row>
    <row r="76" spans="1:18">
      <c r="B76" s="387" t="s">
        <v>1509</v>
      </c>
      <c r="C76" s="388">
        <f ca="1">INDIRECT("'数据-取费表'!j"&amp;$G$1)</f>
        <v>0</v>
      </c>
      <c r="I76" s="1841"/>
      <c r="J76" s="1841"/>
      <c r="K76" s="1867"/>
      <c r="L76" s="1841"/>
    </row>
    <row r="77" spans="1:18">
      <c r="B77" s="389" t="s">
        <v>1510</v>
      </c>
      <c r="C77" s="390"/>
      <c r="I77" s="1841"/>
      <c r="J77" s="1841"/>
      <c r="K77" s="1867"/>
      <c r="L77" s="1841"/>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2529</v>
      </c>
      <c r="B1" s="2558"/>
      <c r="C1" s="2558"/>
      <c r="D1" s="2558"/>
      <c r="E1" s="2559"/>
    </row>
    <row r="2" spans="1:6" ht="15.75">
      <c r="A2" s="2560" t="s">
        <v>2333</v>
      </c>
      <c r="B2" s="2561">
        <f ca="1">SUMIF(B6:B13,"&lt;&gt;#ref!",B6:B13)</f>
        <v>12803</v>
      </c>
      <c r="C2" s="2562" t="s">
        <v>2522</v>
      </c>
      <c r="D2" s="2563" t="s">
        <v>2523</v>
      </c>
      <c r="E2" s="2564">
        <f>SUM(E6:E13)</f>
        <v>12766.369999999999</v>
      </c>
    </row>
    <row r="3" spans="1:6" ht="15.75">
      <c r="A3" s="2560" t="s">
        <v>1396</v>
      </c>
      <c r="B3" s="2561">
        <f ca="1">ROUND(B2*10000/E2,0)</f>
        <v>10029</v>
      </c>
      <c r="C3" s="2562" t="s">
        <v>2530</v>
      </c>
      <c r="D3" s="2565"/>
      <c r="E3" s="2566"/>
    </row>
    <row r="4" spans="1:6" ht="15.75">
      <c r="A4" s="2567"/>
      <c r="B4" s="2565"/>
      <c r="C4" s="2565"/>
      <c r="D4" s="2565"/>
      <c r="E4" s="2566"/>
    </row>
    <row r="5" spans="1:6" ht="15">
      <c r="A5" s="2568" t="s">
        <v>2524</v>
      </c>
      <c r="B5" s="3227" t="s">
        <v>2525</v>
      </c>
      <c r="C5" s="3227"/>
      <c r="D5" s="2569"/>
      <c r="E5" s="2570" t="s">
        <v>2526</v>
      </c>
      <c r="F5" s="2571" t="s">
        <v>2527</v>
      </c>
    </row>
    <row r="6" spans="1:6">
      <c r="A6" s="2572">
        <f>'数据-取费表'!AN6</f>
        <v>0</v>
      </c>
      <c r="B6" s="2571" t="e">
        <f ca="1">IF(F6="是",'数据-取费表'!AO6,0)</f>
        <v>#REF!</v>
      </c>
      <c r="C6" s="2562" t="s">
        <v>2522</v>
      </c>
      <c r="D6" s="2565"/>
      <c r="E6" s="2573">
        <f>IF(OR(A6=0,F6="否"),0,'数据-取费表'!K6+'数据-取费表'!S6)</f>
        <v>0</v>
      </c>
      <c r="F6" s="2574" t="s">
        <v>2528</v>
      </c>
    </row>
    <row r="7" spans="1:6">
      <c r="A7" s="2572">
        <f>'数据-取费表'!AN7</f>
        <v>0</v>
      </c>
      <c r="B7" s="2571" t="e">
        <f ca="1">IF(F7="是",'数据-取费表'!AO7,0)</f>
        <v>#REF!</v>
      </c>
      <c r="C7" s="2562" t="s">
        <v>2522</v>
      </c>
      <c r="D7" s="2565"/>
      <c r="E7" s="2573">
        <f>IF(OR(A7=0,F7="否"),0,'数据-取费表'!K7+'数据-取费表'!S7)</f>
        <v>0</v>
      </c>
      <c r="F7" s="2574" t="s">
        <v>2528</v>
      </c>
    </row>
    <row r="8" spans="1:6">
      <c r="A8" s="2572" t="str">
        <f>'数据-取费表'!AN8</f>
        <v>收益法</v>
      </c>
      <c r="B8" s="2571">
        <f ca="1">IF(F8="是",'数据-取费表'!AO8,0)</f>
        <v>2059</v>
      </c>
      <c r="C8" s="2562" t="s">
        <v>2522</v>
      </c>
      <c r="D8" s="2565"/>
      <c r="E8" s="2573">
        <f>IF(OR(A8=0,F8="否"),0,'数据-取费表'!K8+'数据-取费表'!S8)</f>
        <v>7557.49</v>
      </c>
      <c r="F8" s="2574" t="s">
        <v>2528</v>
      </c>
    </row>
    <row r="9" spans="1:6">
      <c r="A9" s="2572">
        <f>'数据-取费表'!AN9</f>
        <v>0</v>
      </c>
      <c r="B9" s="2571" t="e">
        <f ca="1">IF(F9="是",'数据-取费表'!AO9,0)</f>
        <v>#REF!</v>
      </c>
      <c r="C9" s="2562" t="s">
        <v>2522</v>
      </c>
      <c r="D9" s="2565"/>
      <c r="E9" s="2573">
        <f>IF(OR(A9=0,F9="否"),0,'数据-取费表'!K9+'数据-取费表'!S9)</f>
        <v>0</v>
      </c>
      <c r="F9" s="2574" t="s">
        <v>2528</v>
      </c>
    </row>
    <row r="10" spans="1:6">
      <c r="A10" s="2572" t="str">
        <f>'数据-取费表'!AN10</f>
        <v>收益法 (底商)</v>
      </c>
      <c r="B10" s="2571">
        <f ca="1">IF(F10="是",'数据-取费表'!AO10,0)</f>
        <v>10744</v>
      </c>
      <c r="C10" s="2562" t="s">
        <v>2522</v>
      </c>
      <c r="D10" s="2565"/>
      <c r="E10" s="2573">
        <f>IF(OR(A10=0,F10="否"),0,'数据-取费表'!K10+'数据-取费表'!S10)</f>
        <v>5208.88</v>
      </c>
      <c r="F10" s="2574" t="s">
        <v>2528</v>
      </c>
    </row>
    <row r="11" spans="1:6">
      <c r="A11" s="2572">
        <f>'数据-取费表'!AN11</f>
        <v>0</v>
      </c>
      <c r="B11" s="2571" t="e">
        <f ca="1">IF(F11="是",'数据-取费表'!AO11,0)</f>
        <v>#REF!</v>
      </c>
      <c r="C11" s="2562" t="s">
        <v>2522</v>
      </c>
      <c r="D11" s="2565"/>
      <c r="E11" s="2573">
        <f>IF(OR(A11=0,F11="否"),0,'数据-取费表'!K11+'数据-取费表'!S11)</f>
        <v>0</v>
      </c>
      <c r="F11" s="2574" t="s">
        <v>2528</v>
      </c>
    </row>
    <row r="12" spans="1:6">
      <c r="A12" s="2572">
        <f>'数据-取费表'!AN12</f>
        <v>0</v>
      </c>
      <c r="B12" s="2571" t="e">
        <f ca="1">IF(F12="是",'数据-取费表'!AO12,0)</f>
        <v>#REF!</v>
      </c>
      <c r="C12" s="2562" t="s">
        <v>2522</v>
      </c>
      <c r="D12" s="2565"/>
      <c r="E12" s="2573">
        <f>IF(OR(A12=0,F12="否"),0,'数据-取费表'!K12+'数据-取费表'!S12)</f>
        <v>0</v>
      </c>
      <c r="F12" s="2574" t="s">
        <v>2528</v>
      </c>
    </row>
    <row r="13" spans="1:6" ht="15" thickBot="1">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济南三盛房地产开发有限公司：</v>
      </c>
    </row>
    <row r="4" spans="1:1" ht="36">
      <c r="A4" s="1947" t="str">
        <f>"受贵公司委托，我公司对"&amp;项目基本情况!S1&amp;"进行了预评估。"</f>
        <v>受贵公司委托，我公司对山东省济南市高新区凤凰路以西、旅游路以南出让国有建设用地使用权及在建建筑物房地产抵押价值进行了预评估。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高新区凤凰路以西、旅游路以南出让国有建设用地使用权及在建建筑物房地产，为济南三盛房地产开发有限公司所有。根据《国有土地使用证》[]，估价对象（分摊）出让国有建设用地使用权面积为20327.75平方米，建筑面积为64569.14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高新区凤凰路以西、旅游路以南出让国有建设用地使用权及在建建筑物房地产,属济南三盛房地产开发有限公司开发建设的，该项目尚在开发建设中。根据《国有土地使用证》[]，估价对象（分摊）出让国有建设用地使用权面积为20327.75平方米，规划建筑面积为64569.14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为估价委托人在向国投信托有限公司办理贷款手续过程中，确定房地产抵押贷款额度提供参考依据而评估房地产抵押价值。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2017年11月17日（评估专业人员实地查勘之日）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34" t="s">
        <v>1077</v>
      </c>
      <c r="B2" s="3235" t="s">
        <v>1078</v>
      </c>
      <c r="C2" s="3235"/>
      <c r="D2" s="1301" t="s">
        <v>1079</v>
      </c>
      <c r="E2" s="1301" t="s">
        <v>1080</v>
      </c>
      <c r="F2" s="1301" t="s">
        <v>1081</v>
      </c>
      <c r="G2" s="1301" t="s">
        <v>1082</v>
      </c>
      <c r="H2" s="1301" t="s">
        <v>1083</v>
      </c>
      <c r="I2" s="1302" t="s">
        <v>1084</v>
      </c>
    </row>
    <row r="3" spans="1:9">
      <c r="A3" s="3234"/>
      <c r="B3" s="3235" t="s">
        <v>1085</v>
      </c>
      <c r="C3" s="3235"/>
      <c r="D3" s="1303"/>
      <c r="E3" s="1301"/>
      <c r="F3" s="1304"/>
      <c r="G3" s="1304"/>
      <c r="H3" s="1305"/>
      <c r="I3" s="1306">
        <f>ROUND(D3*E3*F3*G3*H3/10000,0)</f>
        <v>0</v>
      </c>
    </row>
    <row r="4" spans="1:9">
      <c r="A4" s="3234"/>
      <c r="B4" s="3235" t="s">
        <v>1086</v>
      </c>
      <c r="C4" s="3235"/>
      <c r="D4" s="1303"/>
      <c r="E4" s="1301"/>
      <c r="F4" s="1304"/>
      <c r="G4" s="1304"/>
      <c r="H4" s="1305"/>
      <c r="I4" s="1306">
        <f t="shared" ref="I4:I9" si="0">ROUND(D4*E4*F4*G4*H4/10000,0)</f>
        <v>0</v>
      </c>
    </row>
    <row r="5" spans="1:9">
      <c r="A5" s="3234"/>
      <c r="B5" s="3235" t="s">
        <v>1087</v>
      </c>
      <c r="C5" s="3235"/>
      <c r="D5" s="1303"/>
      <c r="E5" s="1301"/>
      <c r="F5" s="1304"/>
      <c r="G5" s="1304"/>
      <c r="H5" s="1305"/>
      <c r="I5" s="1306">
        <f t="shared" si="0"/>
        <v>0</v>
      </c>
    </row>
    <row r="6" spans="1:9">
      <c r="A6" s="3234"/>
      <c r="B6" s="3235" t="s">
        <v>1088</v>
      </c>
      <c r="C6" s="3235"/>
      <c r="D6" s="1303"/>
      <c r="E6" s="1301"/>
      <c r="F6" s="1304"/>
      <c r="G6" s="1304"/>
      <c r="H6" s="1305"/>
      <c r="I6" s="1306">
        <f t="shared" si="0"/>
        <v>0</v>
      </c>
    </row>
    <row r="7" spans="1:9">
      <c r="A7" s="3234"/>
      <c r="B7" s="3235" t="s">
        <v>1089</v>
      </c>
      <c r="C7" s="3235"/>
      <c r="D7" s="1303"/>
      <c r="E7" s="1301"/>
      <c r="F7" s="1304"/>
      <c r="G7" s="1304"/>
      <c r="H7" s="1305"/>
      <c r="I7" s="1306">
        <f t="shared" si="0"/>
        <v>0</v>
      </c>
    </row>
    <row r="8" spans="1:9">
      <c r="A8" s="3234"/>
      <c r="B8" s="3235" t="s">
        <v>1090</v>
      </c>
      <c r="C8" s="3235"/>
      <c r="D8" s="1303"/>
      <c r="E8" s="1301"/>
      <c r="F8" s="1304"/>
      <c r="G8" s="1304"/>
      <c r="H8" s="1305"/>
      <c r="I8" s="1306">
        <f t="shared" si="0"/>
        <v>0</v>
      </c>
    </row>
    <row r="9" spans="1:9">
      <c r="A9" s="3234"/>
      <c r="B9" s="3235" t="s">
        <v>1091</v>
      </c>
      <c r="C9" s="3235"/>
      <c r="D9" s="1303"/>
      <c r="E9" s="1301"/>
      <c r="F9" s="1304"/>
      <c r="G9" s="1304"/>
      <c r="H9" s="1305"/>
      <c r="I9" s="1306">
        <f t="shared" si="0"/>
        <v>0</v>
      </c>
    </row>
    <row r="10" spans="1:9">
      <c r="A10" s="3234"/>
      <c r="B10" s="3236" t="s">
        <v>1092</v>
      </c>
      <c r="C10" s="3236"/>
      <c r="D10" s="1307"/>
      <c r="E10" s="1307" t="e">
        <f>ROUND(D1*10000/D10/H9,0)</f>
        <v>#DIV/0!</v>
      </c>
      <c r="F10" s="1308"/>
      <c r="G10" s="1308"/>
      <c r="H10" s="1309"/>
      <c r="I10" s="1310">
        <f>SUM(I3:I9)</f>
        <v>0</v>
      </c>
    </row>
    <row r="11" spans="1:9" ht="14.25">
      <c r="A11" s="3234" t="s">
        <v>1093</v>
      </c>
      <c r="B11" s="3235" t="s">
        <v>1094</v>
      </c>
      <c r="C11" s="3235"/>
      <c r="D11" s="1303" t="s">
        <v>1095</v>
      </c>
      <c r="E11" s="1303" t="s">
        <v>1096</v>
      </c>
      <c r="F11" s="1304" t="s">
        <v>1097</v>
      </c>
      <c r="G11" s="1304" t="s">
        <v>1083</v>
      </c>
      <c r="H11" s="1311" t="s">
        <v>1098</v>
      </c>
      <c r="I11" s="1302" t="s">
        <v>1084</v>
      </c>
    </row>
    <row r="12" spans="1:9">
      <c r="A12" s="3234"/>
      <c r="B12" s="3235" t="s">
        <v>1099</v>
      </c>
      <c r="C12" s="3235"/>
      <c r="D12" s="1303"/>
      <c r="E12" s="1303"/>
      <c r="F12" s="1304"/>
      <c r="G12" s="1305"/>
      <c r="H12" s="1312"/>
      <c r="I12" s="1302">
        <f>ROUND(D12*E12*F12*G12/10000,0)</f>
        <v>0</v>
      </c>
    </row>
    <row r="13" spans="1:9">
      <c r="A13" s="3234"/>
      <c r="B13" s="3235" t="s">
        <v>1100</v>
      </c>
      <c r="C13" s="3235"/>
      <c r="D13" s="1303"/>
      <c r="E13" s="1303"/>
      <c r="F13" s="1304"/>
      <c r="G13" s="1305"/>
      <c r="H13" s="1312"/>
      <c r="I13" s="1302">
        <f>ROUND(D13*E13*F13*G13/10000,0)</f>
        <v>0</v>
      </c>
    </row>
    <row r="14" spans="1:9">
      <c r="A14" s="3234"/>
      <c r="B14" s="3235" t="s">
        <v>1101</v>
      </c>
      <c r="C14" s="3235"/>
      <c r="D14" s="1303"/>
      <c r="E14" s="1303"/>
      <c r="F14" s="1304"/>
      <c r="G14" s="1305"/>
      <c r="H14" s="1312"/>
      <c r="I14" s="1302">
        <f>ROUND(D14*E14*F14*G14/10000,0)</f>
        <v>0</v>
      </c>
    </row>
    <row r="15" spans="1:9">
      <c r="A15" s="3234"/>
      <c r="B15" s="3236" t="s">
        <v>1092</v>
      </c>
      <c r="C15" s="3236"/>
      <c r="D15" s="1307"/>
      <c r="E15" s="1307">
        <f>SUM(E12:E14)</f>
        <v>0</v>
      </c>
      <c r="F15" s="1308"/>
      <c r="G15" s="1305"/>
      <c r="H15" s="1312"/>
      <c r="I15" s="1313">
        <f>SUM(I12:I14)</f>
        <v>0</v>
      </c>
    </row>
    <row r="16" spans="1:9" ht="24">
      <c r="A16" s="3234" t="s">
        <v>1102</v>
      </c>
      <c r="B16" s="3235" t="s">
        <v>1103</v>
      </c>
      <c r="C16" s="3235"/>
      <c r="D16" s="1303" t="s">
        <v>1079</v>
      </c>
      <c r="E16" s="1314" t="s">
        <v>1104</v>
      </c>
      <c r="F16" s="1304" t="s">
        <v>1105</v>
      </c>
      <c r="G16" s="1305" t="s">
        <v>1083</v>
      </c>
      <c r="H16" s="1311" t="s">
        <v>1098</v>
      </c>
      <c r="I16" s="1302" t="s">
        <v>1084</v>
      </c>
    </row>
    <row r="17" spans="1:9" ht="14.25">
      <c r="A17" s="3234"/>
      <c r="B17" s="3235" t="s">
        <v>1106</v>
      </c>
      <c r="C17" s="3235"/>
      <c r="D17" s="1303"/>
      <c r="E17" s="1303"/>
      <c r="F17" s="1304"/>
      <c r="G17" s="1305"/>
      <c r="H17" s="1315"/>
      <c r="I17" s="1316">
        <f>ROUND(D17*E17*F17*G17/10000,0)</f>
        <v>0</v>
      </c>
    </row>
    <row r="18" spans="1:9" ht="14.25">
      <c r="A18" s="3234"/>
      <c r="B18" s="3235" t="s">
        <v>1107</v>
      </c>
      <c r="C18" s="3235"/>
      <c r="D18" s="1303"/>
      <c r="E18" s="1303"/>
      <c r="F18" s="1304"/>
      <c r="G18" s="1305"/>
      <c r="H18" s="1315"/>
      <c r="I18" s="1316">
        <f>ROUND(D18*E18*F18*G18/10000,0)</f>
        <v>0</v>
      </c>
    </row>
    <row r="19" spans="1:9" ht="14.25">
      <c r="A19" s="3234"/>
      <c r="B19" s="3235" t="s">
        <v>1108</v>
      </c>
      <c r="C19" s="3235"/>
      <c r="D19" s="1303"/>
      <c r="E19" s="1303"/>
      <c r="F19" s="1304"/>
      <c r="G19" s="1305"/>
      <c r="H19" s="1315"/>
      <c r="I19" s="1316">
        <f>ROUND(D19*E19*F19*G19/10000,0)</f>
        <v>0</v>
      </c>
    </row>
    <row r="20" spans="1:9">
      <c r="A20" s="3234"/>
      <c r="B20" s="3236" t="s">
        <v>1092</v>
      </c>
      <c r="C20" s="3236"/>
      <c r="D20" s="1307">
        <f>SUM(D17:D19)</f>
        <v>0</v>
      </c>
      <c r="E20" s="1307"/>
      <c r="F20" s="1308"/>
      <c r="G20" s="1305"/>
      <c r="H20" s="1312"/>
      <c r="I20" s="1313">
        <f>SUM(I17:I19)</f>
        <v>0</v>
      </c>
    </row>
    <row r="21" spans="1:9">
      <c r="A21" s="3234" t="s">
        <v>1109</v>
      </c>
      <c r="B21" s="3237"/>
      <c r="C21" s="3237"/>
      <c r="D21" s="3237"/>
      <c r="E21" s="3237"/>
      <c r="F21" s="3237"/>
      <c r="G21" s="3237"/>
      <c r="H21" s="1764">
        <v>0.1</v>
      </c>
      <c r="I21" s="1310">
        <f>ROUND(I10*H21,0)</f>
        <v>0</v>
      </c>
    </row>
    <row r="22" spans="1:9" ht="14.25">
      <c r="A22" s="3238" t="s">
        <v>1110</v>
      </c>
      <c r="B22" s="3239"/>
      <c r="C22" s="3240"/>
      <c r="D22" s="1317" t="s">
        <v>1111</v>
      </c>
      <c r="E22" s="1317" t="s">
        <v>1112</v>
      </c>
      <c r="F22" s="1318" t="s">
        <v>1113</v>
      </c>
      <c r="G22" s="1318" t="s">
        <v>1114</v>
      </c>
      <c r="H22" s="1311" t="s">
        <v>1115</v>
      </c>
      <c r="I22" s="1302" t="s">
        <v>1116</v>
      </c>
    </row>
    <row r="23" spans="1:9" ht="14.25" thickBot="1">
      <c r="A23" s="3241"/>
      <c r="B23" s="3242"/>
      <c r="C23" s="3243"/>
      <c r="D23" s="1319"/>
      <c r="E23" s="1319"/>
      <c r="F23" s="1319"/>
      <c r="G23" s="1320"/>
      <c r="H23" s="1321"/>
      <c r="I23" s="1322">
        <f>ROUND(E23*D23*F23*(1-G23)/10000,0)</f>
        <v>0</v>
      </c>
    </row>
    <row r="26" spans="1:9">
      <c r="A26" s="1323" t="s">
        <v>1117</v>
      </c>
      <c r="B26" s="1323"/>
      <c r="C26" s="1323"/>
      <c r="D26" s="1323"/>
      <c r="E26" s="3231">
        <f>C27-C30-C31-C32</f>
        <v>0</v>
      </c>
      <c r="F26" s="3231"/>
      <c r="G26" s="3231"/>
      <c r="H26" s="1736" t="s">
        <v>1341</v>
      </c>
    </row>
    <row r="27" spans="1:9">
      <c r="A27" s="1324">
        <v>1</v>
      </c>
      <c r="B27" s="1325" t="s">
        <v>1118</v>
      </c>
      <c r="C27" s="1325">
        <f>C28+C29</f>
        <v>0</v>
      </c>
      <c r="D27" s="1325"/>
      <c r="E27" s="3232"/>
      <c r="F27" s="3232"/>
      <c r="G27" s="3232"/>
    </row>
    <row r="28" spans="1:9">
      <c r="A28" s="1326" t="s">
        <v>1119</v>
      </c>
      <c r="B28" s="1325" t="s">
        <v>1120</v>
      </c>
      <c r="C28" s="1325"/>
      <c r="D28" s="1325"/>
      <c r="E28" s="3232"/>
      <c r="F28" s="3232"/>
      <c r="G28" s="323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33"/>
      <c r="F32" s="3233"/>
      <c r="G32" s="3233"/>
    </row>
    <row r="33" spans="1:7" hidden="1">
      <c r="A33" s="3228" t="s">
        <v>1129</v>
      </c>
      <c r="B33" s="3229"/>
      <c r="C33" s="3229"/>
      <c r="D33" s="3230"/>
      <c r="E33" s="3231"/>
      <c r="F33" s="3231"/>
      <c r="G33" s="3231"/>
    </row>
    <row r="34" spans="1:7" hidden="1">
      <c r="A34" s="1328">
        <v>1</v>
      </c>
      <c r="B34" s="1325" t="s">
        <v>1130</v>
      </c>
      <c r="C34" s="1325"/>
      <c r="D34" s="1325"/>
      <c r="E34" s="3232"/>
      <c r="F34" s="3232"/>
      <c r="G34" s="3232"/>
    </row>
    <row r="35" spans="1:7" hidden="1">
      <c r="A35" s="1328">
        <v>2</v>
      </c>
      <c r="B35" s="1325" t="s">
        <v>1131</v>
      </c>
      <c r="C35" s="1325"/>
      <c r="D35" s="1325"/>
      <c r="E35" s="3232"/>
      <c r="F35" s="3232"/>
      <c r="G35" s="3232"/>
    </row>
    <row r="36" spans="1:7" hidden="1">
      <c r="A36" s="1328">
        <v>3</v>
      </c>
      <c r="B36" s="1325" t="s">
        <v>1132</v>
      </c>
      <c r="C36" s="1325"/>
      <c r="D36" s="1325"/>
      <c r="E36" s="3232"/>
      <c r="F36" s="3232"/>
      <c r="G36" s="3232"/>
    </row>
    <row r="37" spans="1:7" hidden="1">
      <c r="A37" s="1328">
        <v>4</v>
      </c>
      <c r="B37" s="1325" t="s">
        <v>1133</v>
      </c>
      <c r="C37" s="1325"/>
      <c r="D37" s="1325"/>
      <c r="E37" s="3232"/>
      <c r="F37" s="3232"/>
      <c r="G37" s="3232"/>
    </row>
    <row r="38" spans="1:7" hidden="1">
      <c r="A38" s="3228" t="s">
        <v>1134</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578" t="s">
        <v>2645</v>
      </c>
      <c r="C1" s="1633" t="s">
        <v>2533</v>
      </c>
      <c r="D1" s="1620"/>
      <c r="E1" s="2651"/>
      <c r="F1" s="2580"/>
      <c r="G1" s="1630" t="s">
        <v>2646</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7" customFormat="1" ht="28.5" customHeight="1" thickTop="1">
      <c r="A2" s="1616" t="s">
        <v>2333</v>
      </c>
      <c r="B2" s="1417" t="e">
        <f ca="1">IF(C2="——",ROUND(C49*D3/10000,0),ROUND(C49*D3/10000,0)-D2)</f>
        <v>#DIV/0!</v>
      </c>
      <c r="C2" s="2582"/>
      <c r="D2" s="1365" t="e">
        <f ca="1">SUMIF(INDIRECT("'"&amp;F2&amp;"'"&amp;"!A:A"),"承租人权益价值",INDIRECT("'"&amp;F2&amp;"'"&amp;"!c:c"))</f>
        <v>#REF!</v>
      </c>
      <c r="E2" s="2583" t="s">
        <v>2334</v>
      </c>
      <c r="F2" s="2584"/>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7" customFormat="1" ht="28.5" customHeight="1" thickBot="1">
      <c r="A3" s="246" t="s">
        <v>2335</v>
      </c>
      <c r="B3" s="608" t="e">
        <f ca="1">IF(C2="——",C49,ROUND(B2*10000/D3,0))</f>
        <v>#DIV/0!</v>
      </c>
      <c r="C3" s="399" t="s">
        <v>2647</v>
      </c>
      <c r="D3" s="398">
        <f>IF(D1="",'数据-汇总表'!E3,SUMIF('数据-汇总表'!$C19:$C33,D1,'数据-汇总表'!$E19:$E33))</f>
        <v>64569.140000000007</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0" t="s">
        <v>2648</v>
      </c>
      <c r="B4" s="401"/>
      <c r="C4" s="3173" t="s">
        <v>2649</v>
      </c>
      <c r="D4" s="3186"/>
      <c r="E4" s="3187" t="s">
        <v>2650</v>
      </c>
      <c r="F4" s="3188"/>
      <c r="G4" s="3173" t="s">
        <v>2651</v>
      </c>
      <c r="H4" s="3186"/>
      <c r="I4" s="3173" t="s">
        <v>2652</v>
      </c>
      <c r="J4" s="3186"/>
      <c r="K4" s="609" t="s">
        <v>2653</v>
      </c>
      <c r="L4" s="1130"/>
      <c r="M4" s="1131"/>
      <c r="N4" s="1131"/>
      <c r="O4" s="1131"/>
      <c r="P4" s="3189" t="s">
        <v>2654</v>
      </c>
      <c r="Q4" s="3190"/>
      <c r="R4" s="3195" t="s">
        <v>2650</v>
      </c>
      <c r="S4" s="3196"/>
      <c r="T4" s="3195" t="s">
        <v>2651</v>
      </c>
      <c r="U4" s="3196"/>
      <c r="V4" s="3182" t="s">
        <v>2652</v>
      </c>
      <c r="W4" s="3182"/>
      <c r="X4" s="1812"/>
      <c r="Y4" s="3195" t="s">
        <v>2654</v>
      </c>
      <c r="Z4" s="3196"/>
      <c r="AA4" s="3183" t="s">
        <v>2650</v>
      </c>
      <c r="AB4" s="3182" t="s">
        <v>2651</v>
      </c>
      <c r="AC4" s="3183" t="s">
        <v>2652</v>
      </c>
    </row>
    <row r="5" spans="1:29" ht="15">
      <c r="A5" s="403"/>
      <c r="B5" s="404"/>
      <c r="C5" s="3208" t="s">
        <v>2545</v>
      </c>
      <c r="D5" s="3204"/>
      <c r="E5" s="3250" t="s">
        <v>2546</v>
      </c>
      <c r="F5" s="3213"/>
      <c r="G5" s="3208" t="s">
        <v>2547</v>
      </c>
      <c r="H5" s="3204"/>
      <c r="I5" s="3208" t="s">
        <v>2548</v>
      </c>
      <c r="J5" s="3204"/>
      <c r="K5" s="609"/>
      <c r="L5" s="1130"/>
      <c r="M5" s="1131"/>
      <c r="N5" s="1131"/>
      <c r="O5" s="1131"/>
      <c r="P5" s="3191"/>
      <c r="Q5" s="3192"/>
      <c r="R5" s="3197"/>
      <c r="S5" s="3198"/>
      <c r="T5" s="3197"/>
      <c r="U5" s="3198"/>
      <c r="V5" s="3182"/>
      <c r="W5" s="3182"/>
      <c r="X5" s="1812"/>
      <c r="Y5" s="3197"/>
      <c r="Z5" s="3198"/>
      <c r="AA5" s="3184"/>
      <c r="AB5" s="3182"/>
      <c r="AC5" s="3184"/>
    </row>
    <row r="6" spans="1:29" ht="15.75" thickBot="1">
      <c r="A6" s="405"/>
      <c r="B6" s="406"/>
      <c r="C6" s="3209" t="s">
        <v>2549</v>
      </c>
      <c r="D6" s="3202"/>
      <c r="E6" s="3249" t="s">
        <v>2549</v>
      </c>
      <c r="F6" s="3211"/>
      <c r="G6" s="3209" t="s">
        <v>2549</v>
      </c>
      <c r="H6" s="3202"/>
      <c r="I6" s="3209" t="s">
        <v>2549</v>
      </c>
      <c r="J6" s="3202"/>
      <c r="K6" s="609" t="s">
        <v>2550</v>
      </c>
      <c r="L6" s="1130"/>
      <c r="M6" s="1131"/>
      <c r="N6" s="1131"/>
      <c r="O6" s="1131"/>
      <c r="P6" s="3193"/>
      <c r="Q6" s="3194"/>
      <c r="R6" s="3197"/>
      <c r="S6" s="3198"/>
      <c r="T6" s="3199"/>
      <c r="U6" s="3200"/>
      <c r="V6" s="3182"/>
      <c r="W6" s="3182"/>
      <c r="X6" s="1812"/>
      <c r="Y6" s="3199"/>
      <c r="Z6" s="3200"/>
      <c r="AA6" s="3185"/>
      <c r="AB6" s="3182"/>
      <c r="AC6" s="3185"/>
    </row>
    <row r="7" spans="1:29" s="116" customFormat="1" ht="15.75" thickBot="1">
      <c r="A7" s="407" t="s">
        <v>2551</v>
      </c>
      <c r="B7" s="408"/>
      <c r="C7" s="409">
        <f>'数据-取费表'!B2</f>
        <v>43056</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05" t="s">
        <v>2552</v>
      </c>
      <c r="Q7" s="3207"/>
      <c r="R7" s="768" t="s">
        <v>17</v>
      </c>
      <c r="S7" s="769">
        <f t="shared" ref="S7:S15" si="0">F7</f>
        <v>0</v>
      </c>
      <c r="T7" s="768" t="s">
        <v>17</v>
      </c>
      <c r="U7" s="769">
        <f t="shared" ref="U7:U15" si="1">H7</f>
        <v>0</v>
      </c>
      <c r="V7" s="768" t="s">
        <v>17</v>
      </c>
      <c r="W7" s="769">
        <f t="shared" ref="W7:W15" si="2">J7</f>
        <v>0</v>
      </c>
      <c r="X7" s="770"/>
      <c r="Y7" s="3205" t="s">
        <v>2552</v>
      </c>
      <c r="Z7" s="3206"/>
      <c r="AA7" s="771" t="e">
        <f>D7/F7</f>
        <v>#DIV/0!</v>
      </c>
      <c r="AB7" s="771" t="e">
        <f>D7/H7</f>
        <v>#DIV/0!</v>
      </c>
      <c r="AC7" s="771"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05" t="s">
        <v>2555</v>
      </c>
      <c r="Q8" s="3206"/>
      <c r="R8" s="768" t="s">
        <v>17</v>
      </c>
      <c r="S8" s="769">
        <f t="shared" si="0"/>
        <v>0</v>
      </c>
      <c r="T8" s="768" t="s">
        <v>17</v>
      </c>
      <c r="U8" s="769">
        <f t="shared" si="1"/>
        <v>0</v>
      </c>
      <c r="V8" s="768" t="s">
        <v>17</v>
      </c>
      <c r="W8" s="769">
        <f t="shared" si="2"/>
        <v>0</v>
      </c>
      <c r="X8" s="770"/>
      <c r="Y8" s="3205" t="s">
        <v>2555</v>
      </c>
      <c r="Z8" s="3206"/>
      <c r="AA8" s="771" t="e">
        <f t="shared" ref="AA8:AA46" si="3">D8/F8</f>
        <v>#DIV/0!</v>
      </c>
      <c r="AB8" s="771" t="e">
        <f t="shared" ref="AB8:AB46" si="4">D8/H8</f>
        <v>#DIV/0!</v>
      </c>
      <c r="AC8" s="771" t="e">
        <f t="shared" ref="AC8:AC46" si="5">D8/J8</f>
        <v>#DIV/0!</v>
      </c>
    </row>
    <row r="9" spans="1:29" s="116" customFormat="1">
      <c r="A9" s="414" t="s">
        <v>2556</v>
      </c>
      <c r="B9" s="70" t="s">
        <v>2557</v>
      </c>
      <c r="C9" s="415"/>
      <c r="D9" s="133">
        <v>100</v>
      </c>
      <c r="E9" s="416"/>
      <c r="F9" s="417">
        <f>SUMIF(63:63,E9,64:64)-SUMIF(63:63,C9,64:64)+100</f>
        <v>100</v>
      </c>
      <c r="G9" s="416"/>
      <c r="H9" s="133">
        <f>SUMIF(63:63,G9,64:64)-SUMIF(63:63,C9,64:64)+100</f>
        <v>100</v>
      </c>
      <c r="I9" s="416"/>
      <c r="J9" s="133">
        <f>SUMIF(63:63,I9,64:64)-SUMIF(63:63,C9,64:64)+100</f>
        <v>100</v>
      </c>
      <c r="K9" s="610"/>
      <c r="L9" s="1132"/>
      <c r="M9" s="1133"/>
      <c r="N9" s="1133"/>
      <c r="O9" s="1133"/>
      <c r="P9" s="3175" t="s">
        <v>2558</v>
      </c>
      <c r="Q9" s="1794" t="str">
        <f t="shared" ref="Q9:Q15" si="6">B9</f>
        <v>用途</v>
      </c>
      <c r="R9" s="768" t="s">
        <v>17</v>
      </c>
      <c r="S9" s="769">
        <f t="shared" si="0"/>
        <v>100</v>
      </c>
      <c r="T9" s="768" t="s">
        <v>17</v>
      </c>
      <c r="U9" s="769">
        <f t="shared" si="1"/>
        <v>100</v>
      </c>
      <c r="V9" s="768" t="s">
        <v>17</v>
      </c>
      <c r="W9" s="769">
        <f t="shared" si="2"/>
        <v>100</v>
      </c>
      <c r="X9" s="770"/>
      <c r="Y9" s="3024" t="s">
        <v>2559</v>
      </c>
      <c r="Z9" s="54" t="str">
        <f t="shared" ref="Z9:Z15" si="7">Q9</f>
        <v>用途</v>
      </c>
      <c r="AA9" s="771">
        <f t="shared" si="3"/>
        <v>1</v>
      </c>
      <c r="AB9" s="771">
        <f t="shared" si="4"/>
        <v>1</v>
      </c>
      <c r="AC9" s="771">
        <f t="shared" si="5"/>
        <v>1</v>
      </c>
    </row>
    <row r="10" spans="1:29" s="426" customFormat="1" ht="27">
      <c r="A10" s="420"/>
      <c r="B10" s="421" t="s">
        <v>2560</v>
      </c>
      <c r="C10" s="422"/>
      <c r="D10" s="134">
        <v>100</v>
      </c>
      <c r="E10" s="423"/>
      <c r="F10" s="424">
        <f>SUMIF(65:65,E10,66:66)-SUMIF(65:65,C10,66:66)+100</f>
        <v>100</v>
      </c>
      <c r="G10" s="422"/>
      <c r="H10" s="134">
        <f>SUMIF(65:65,G10,66:66)-SUMIF(65:65,C10,66:66)+100</f>
        <v>100</v>
      </c>
      <c r="I10" s="422"/>
      <c r="J10" s="134">
        <f>SUMIF(65:65,I10,66:66)-SUMIF(65:65,C10,66:66)+100</f>
        <v>100</v>
      </c>
      <c r="K10" s="611"/>
      <c r="L10" s="1135"/>
      <c r="M10" s="1136"/>
      <c r="N10" s="1136"/>
      <c r="O10" s="1136"/>
      <c r="P10" s="3175"/>
      <c r="Q10" s="1794"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421" t="s">
        <v>2561</v>
      </c>
      <c r="C11" s="428"/>
      <c r="D11" s="134">
        <v>100</v>
      </c>
      <c r="E11" s="429"/>
      <c r="F11" s="424" t="e">
        <f>LOOKUP(E11,68:68,69:69)-LOOKUP(C11,68:68,69:69)+100</f>
        <v>#N/A</v>
      </c>
      <c r="G11" s="428"/>
      <c r="H11" s="134" t="e">
        <f>LOOKUP(G11,68:68,69:69)-LOOKUP(C11,68:68,69:69)+100</f>
        <v>#N/A</v>
      </c>
      <c r="I11" s="428"/>
      <c r="J11" s="134" t="e">
        <f>LOOKUP(I11,68:68,69:69)-LOOKUP(C11,68:68,69:69)+100</f>
        <v>#N/A</v>
      </c>
      <c r="K11" s="611"/>
      <c r="L11" s="1138"/>
      <c r="M11" s="1131"/>
      <c r="N11" s="1131"/>
      <c r="O11" s="1131"/>
      <c r="P11" s="3175"/>
      <c r="Q11" s="1794"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771" t="e">
        <f t="shared" si="5"/>
        <v>#N/A</v>
      </c>
    </row>
    <row r="12" spans="1:29" s="116" customFormat="1" ht="15">
      <c r="A12" s="430"/>
      <c r="B12" s="2596">
        <v>111</v>
      </c>
      <c r="C12" s="431"/>
      <c r="D12" s="432">
        <v>100</v>
      </c>
      <c r="E12" s="433"/>
      <c r="F12" s="424">
        <f>SUMIF(70:70,E12,71:71)-SUMIF(70:70,C12,71:71)+100</f>
        <v>100</v>
      </c>
      <c r="G12" s="433"/>
      <c r="H12" s="134">
        <f>SUMIF(70:70,G12,71:71)-SUMIF(70:70,C12,71:71)+100</f>
        <v>100</v>
      </c>
      <c r="I12" s="433"/>
      <c r="J12" s="134">
        <f>SUMIF(70:70,I12,71:71)-SUMIF(70:70,C12,71:71)+100</f>
        <v>100</v>
      </c>
      <c r="K12" s="612"/>
      <c r="L12" s="1132"/>
      <c r="M12" s="1133"/>
      <c r="N12" s="1133"/>
      <c r="O12" s="1133"/>
      <c r="P12" s="3175"/>
      <c r="Q12" s="1794">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75"/>
      <c r="Q13" s="1794">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75"/>
      <c r="Q14" s="1794">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771">
        <f t="shared" si="5"/>
        <v>1</v>
      </c>
    </row>
    <row r="15" spans="1:29" ht="71.25">
      <c r="A15" s="439" t="s">
        <v>2562</v>
      </c>
      <c r="B15" s="68" t="s">
        <v>2656</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19" t="s">
        <v>2563</v>
      </c>
      <c r="Q15" s="1809" t="str">
        <f t="shared" si="6"/>
        <v>商业繁华度</v>
      </c>
      <c r="R15" s="772" t="s">
        <v>17</v>
      </c>
      <c r="S15" s="773">
        <f t="shared" si="0"/>
        <v>100</v>
      </c>
      <c r="T15" s="772" t="s">
        <v>17</v>
      </c>
      <c r="U15" s="773">
        <f t="shared" si="1"/>
        <v>100</v>
      </c>
      <c r="V15" s="772" t="s">
        <v>17</v>
      </c>
      <c r="W15" s="773">
        <f t="shared" si="2"/>
        <v>100</v>
      </c>
      <c r="X15" s="1812"/>
      <c r="Y15" s="3178" t="s">
        <v>2563</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1"/>
      <c r="P16" s="3220"/>
      <c r="Q16" s="1809"/>
      <c r="R16" s="772"/>
      <c r="S16" s="773"/>
      <c r="T16" s="772"/>
      <c r="U16" s="773"/>
      <c r="V16" s="772"/>
      <c r="W16" s="773"/>
      <c r="X16" s="1812"/>
      <c r="Y16" s="3179"/>
      <c r="Z16" s="1813"/>
      <c r="AA16" s="1810">
        <v>1</v>
      </c>
      <c r="AB16" s="1810">
        <v>1</v>
      </c>
      <c r="AC16" s="1810">
        <v>1</v>
      </c>
    </row>
    <row r="17" spans="1:29" ht="85.5">
      <c r="A17" s="427"/>
      <c r="B17" s="450" t="s">
        <v>2103</v>
      </c>
      <c r="C17" s="260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20"/>
      <c r="Q17" s="1809" t="str">
        <f>B17</f>
        <v>交通便捷度</v>
      </c>
      <c r="R17" s="772" t="s">
        <v>17</v>
      </c>
      <c r="S17" s="773">
        <f>F17</f>
        <v>100</v>
      </c>
      <c r="T17" s="772" t="s">
        <v>17</v>
      </c>
      <c r="U17" s="773">
        <f>H17</f>
        <v>100</v>
      </c>
      <c r="V17" s="772" t="s">
        <v>17</v>
      </c>
      <c r="W17" s="773">
        <f>J17</f>
        <v>100</v>
      </c>
      <c r="X17" s="1812"/>
      <c r="Y17" s="3179"/>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40"/>
      <c r="M18" s="1131"/>
      <c r="N18" s="1131"/>
      <c r="O18" s="1131"/>
      <c r="P18" s="3220"/>
      <c r="Q18" s="1809"/>
      <c r="R18" s="772"/>
      <c r="S18" s="773"/>
      <c r="T18" s="772"/>
      <c r="U18" s="773"/>
      <c r="V18" s="772"/>
      <c r="W18" s="773"/>
      <c r="X18" s="1812"/>
      <c r="Y18" s="3179"/>
      <c r="Z18" s="1813"/>
      <c r="AA18" s="1810">
        <v>1</v>
      </c>
      <c r="AB18" s="1810">
        <v>1</v>
      </c>
      <c r="AC18" s="1810">
        <v>1</v>
      </c>
    </row>
    <row r="19" spans="1:29" ht="42.75">
      <c r="A19" s="427"/>
      <c r="B19" s="450" t="s">
        <v>2657</v>
      </c>
      <c r="C19" s="260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20"/>
      <c r="Q19" s="1809" t="str">
        <f>B19</f>
        <v>公共配套设施</v>
      </c>
      <c r="R19" s="772" t="s">
        <v>17</v>
      </c>
      <c r="S19" s="773">
        <f>F19</f>
        <v>100</v>
      </c>
      <c r="T19" s="772" t="s">
        <v>17</v>
      </c>
      <c r="U19" s="773">
        <f>H19</f>
        <v>100</v>
      </c>
      <c r="V19" s="772" t="s">
        <v>17</v>
      </c>
      <c r="W19" s="773">
        <f>J19</f>
        <v>100</v>
      </c>
      <c r="X19" s="1812"/>
      <c r="Y19" s="3179"/>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40"/>
      <c r="M20" s="1131"/>
      <c r="N20" s="1131"/>
      <c r="O20" s="1131"/>
      <c r="P20" s="3220"/>
      <c r="Q20" s="1809"/>
      <c r="R20" s="772"/>
      <c r="S20" s="773"/>
      <c r="T20" s="772"/>
      <c r="U20" s="773"/>
      <c r="V20" s="772"/>
      <c r="W20" s="773"/>
      <c r="X20" s="1812"/>
      <c r="Y20" s="3179"/>
      <c r="Z20" s="1813"/>
      <c r="AA20" s="1810">
        <v>1</v>
      </c>
      <c r="AB20" s="1810">
        <v>1</v>
      </c>
      <c r="AC20" s="1810">
        <v>1</v>
      </c>
    </row>
    <row r="21" spans="1:29" ht="28.5">
      <c r="A21" s="427"/>
      <c r="B21" s="1384" t="s">
        <v>2658</v>
      </c>
      <c r="C21" s="260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20"/>
      <c r="Q21" s="1809" t="str">
        <f>B21</f>
        <v>基础设施水平</v>
      </c>
      <c r="R21" s="772" t="s">
        <v>17</v>
      </c>
      <c r="S21" s="773">
        <f>F21</f>
        <v>100</v>
      </c>
      <c r="T21" s="772" t="s">
        <v>17</v>
      </c>
      <c r="U21" s="773">
        <f>H21</f>
        <v>100</v>
      </c>
      <c r="V21" s="772" t="s">
        <v>17</v>
      </c>
      <c r="W21" s="773">
        <f>J21</f>
        <v>100</v>
      </c>
      <c r="X21" s="1812"/>
      <c r="Y21" s="3179"/>
      <c r="Z21" s="1813" t="str">
        <f>Q21</f>
        <v>基础设施水平</v>
      </c>
      <c r="AA21" s="1810">
        <f t="shared" ref="AA21" si="8">D21/F21</f>
        <v>1</v>
      </c>
      <c r="AB21" s="1810">
        <f t="shared" ref="AB21" si="9">D21/H21</f>
        <v>1</v>
      </c>
      <c r="AC21" s="1810">
        <f t="shared" ref="AC21" si="10">D21/J21</f>
        <v>1</v>
      </c>
    </row>
    <row r="22" spans="1:29" ht="15">
      <c r="A22" s="427"/>
      <c r="B22" s="1384"/>
      <c r="C22" s="2604"/>
      <c r="D22" s="447"/>
      <c r="E22" s="446"/>
      <c r="F22" s="448"/>
      <c r="G22" s="446"/>
      <c r="H22" s="447"/>
      <c r="I22" s="446"/>
      <c r="J22" s="447"/>
      <c r="K22" s="1383"/>
      <c r="L22" s="1140"/>
      <c r="M22" s="1131"/>
      <c r="N22" s="1131"/>
      <c r="O22" s="1131"/>
      <c r="P22" s="3220"/>
      <c r="Q22" s="1809"/>
      <c r="R22" s="772"/>
      <c r="S22" s="773"/>
      <c r="T22" s="772"/>
      <c r="U22" s="773"/>
      <c r="V22" s="772"/>
      <c r="W22" s="773"/>
      <c r="X22" s="1812"/>
      <c r="Y22" s="3179"/>
      <c r="Z22" s="1813"/>
      <c r="AA22" s="1810">
        <v>1</v>
      </c>
      <c r="AB22" s="1810">
        <v>1</v>
      </c>
      <c r="AC22" s="1810">
        <v>1</v>
      </c>
    </row>
    <row r="23" spans="1:29" ht="57">
      <c r="A23" s="427"/>
      <c r="B23" s="450" t="s">
        <v>2108</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20"/>
      <c r="Q23" s="1809" t="str">
        <f>B23</f>
        <v>自然及人文环境</v>
      </c>
      <c r="R23" s="772" t="s">
        <v>17</v>
      </c>
      <c r="S23" s="773">
        <f>F23</f>
        <v>100</v>
      </c>
      <c r="T23" s="772" t="s">
        <v>17</v>
      </c>
      <c r="U23" s="773">
        <f>H23</f>
        <v>100</v>
      </c>
      <c r="V23" s="772" t="s">
        <v>17</v>
      </c>
      <c r="W23" s="773">
        <f>J23</f>
        <v>100</v>
      </c>
      <c r="X23" s="1812"/>
      <c r="Y23" s="3179"/>
      <c r="Z23" s="1813" t="str">
        <f>Q23</f>
        <v>自然及人文环境</v>
      </c>
      <c r="AA23" s="1810">
        <f t="shared" si="3"/>
        <v>1</v>
      </c>
      <c r="AB23" s="1810">
        <f t="shared" si="4"/>
        <v>1</v>
      </c>
      <c r="AC23" s="1810">
        <f t="shared" si="5"/>
        <v>1</v>
      </c>
    </row>
    <row r="24" spans="1:29" ht="15">
      <c r="A24" s="427"/>
      <c r="B24" s="455"/>
      <c r="C24" s="446"/>
      <c r="D24" s="447"/>
      <c r="E24" s="2601"/>
      <c r="F24" s="448"/>
      <c r="G24" s="2600"/>
      <c r="H24" s="447"/>
      <c r="I24" s="2601"/>
      <c r="J24" s="447"/>
      <c r="K24" s="614"/>
      <c r="L24" s="1140"/>
      <c r="M24" s="1131"/>
      <c r="N24" s="1131"/>
      <c r="O24" s="1131"/>
      <c r="P24" s="3220"/>
      <c r="Q24" s="1809"/>
      <c r="R24" s="772"/>
      <c r="S24" s="773"/>
      <c r="T24" s="772"/>
      <c r="U24" s="773"/>
      <c r="V24" s="772"/>
      <c r="W24" s="773"/>
      <c r="X24" s="1812"/>
      <c r="Y24" s="3179"/>
      <c r="Z24" s="1813"/>
      <c r="AA24" s="1810">
        <v>1</v>
      </c>
      <c r="AB24" s="1810">
        <v>1</v>
      </c>
      <c r="AC24" s="1810">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20"/>
      <c r="Q25" s="1809" t="str">
        <f t="shared" ref="Q25:Q46" si="11">B25</f>
        <v>临街状况</v>
      </c>
      <c r="R25" s="772" t="s">
        <v>17</v>
      </c>
      <c r="S25" s="773">
        <f>F25</f>
        <v>100</v>
      </c>
      <c r="T25" s="772" t="s">
        <v>17</v>
      </c>
      <c r="U25" s="773">
        <f>H25</f>
        <v>100</v>
      </c>
      <c r="V25" s="772" t="s">
        <v>17</v>
      </c>
      <c r="W25" s="773">
        <f>J25</f>
        <v>100</v>
      </c>
      <c r="X25" s="1812"/>
      <c r="Y25" s="3179"/>
      <c r="Z25" s="1813" t="str">
        <f>Q25</f>
        <v>临街状况</v>
      </c>
      <c r="AA25" s="1810">
        <f t="shared" si="3"/>
        <v>1</v>
      </c>
      <c r="AB25" s="1810">
        <f t="shared" si="4"/>
        <v>1</v>
      </c>
      <c r="AC25" s="1810">
        <f t="shared" si="5"/>
        <v>1</v>
      </c>
    </row>
    <row r="26" spans="1:29" ht="15">
      <c r="A26" s="427"/>
      <c r="B26" s="1386" t="s">
        <v>2660</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20"/>
      <c r="Q26" s="1809" t="str">
        <f t="shared" si="11"/>
        <v>平面位置/可视性</v>
      </c>
      <c r="R26" s="772" t="s">
        <v>17</v>
      </c>
      <c r="S26" s="773">
        <f>F26</f>
        <v>100</v>
      </c>
      <c r="T26" s="772" t="s">
        <v>17</v>
      </c>
      <c r="U26" s="773">
        <f>H26</f>
        <v>100</v>
      </c>
      <c r="V26" s="772" t="s">
        <v>17</v>
      </c>
      <c r="W26" s="773">
        <f>J26</f>
        <v>100</v>
      </c>
      <c r="X26" s="1812"/>
      <c r="Y26" s="3179"/>
      <c r="Z26" s="1813" t="str">
        <f>Q26</f>
        <v>平面位置/可视性</v>
      </c>
      <c r="AA26" s="1810">
        <f t="shared" si="3"/>
        <v>1</v>
      </c>
      <c r="AB26" s="1810">
        <f t="shared" si="4"/>
        <v>1</v>
      </c>
      <c r="AC26" s="1810">
        <f t="shared" si="5"/>
        <v>1</v>
      </c>
    </row>
    <row r="27" spans="1:29" s="116" customFormat="1" ht="15">
      <c r="A27" s="430"/>
      <c r="B27" s="450" t="s">
        <v>2661</v>
      </c>
      <c r="C27" s="2659"/>
      <c r="D27" s="461">
        <v>100</v>
      </c>
      <c r="E27" s="2659"/>
      <c r="F27" s="463">
        <f>SUMIF(90:90,E27,91:91)-SUMIF(90:90,C27,91:91)+100</f>
        <v>100</v>
      </c>
      <c r="G27" s="2659"/>
      <c r="H27" s="461">
        <f>SUMIF(90:90,G27,91:91)-SUMIF(90:90,C27,91:91)+100</f>
        <v>100</v>
      </c>
      <c r="I27" s="2659"/>
      <c r="J27" s="461">
        <f>SUMIF(90:90,I27,91:91)-SUMIF(90:90,C27,91:91)+100</f>
        <v>100</v>
      </c>
      <c r="K27" s="611"/>
      <c r="L27" s="1132"/>
      <c r="M27" s="1133"/>
      <c r="N27" s="1133"/>
      <c r="O27" s="1133"/>
      <c r="P27" s="3220"/>
      <c r="Q27" s="1794" t="str">
        <f t="shared" si="11"/>
        <v>人流量</v>
      </c>
      <c r="R27" s="768" t="s">
        <v>17</v>
      </c>
      <c r="S27" s="769">
        <f>F27</f>
        <v>100</v>
      </c>
      <c r="T27" s="768" t="s">
        <v>17</v>
      </c>
      <c r="U27" s="769">
        <f>H27</f>
        <v>100</v>
      </c>
      <c r="V27" s="768" t="s">
        <v>17</v>
      </c>
      <c r="W27" s="769">
        <f>J27</f>
        <v>100</v>
      </c>
      <c r="X27" s="770"/>
      <c r="Y27" s="3179"/>
      <c r="Z27" s="54" t="str">
        <f>Q27</f>
        <v>人流量</v>
      </c>
      <c r="AA27" s="1810">
        <f>D27/F27</f>
        <v>1</v>
      </c>
      <c r="AB27" s="1810">
        <f>D27/H27</f>
        <v>1</v>
      </c>
      <c r="AC27" s="1810">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20"/>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179"/>
      <c r="Z28" s="1813" t="str">
        <f t="shared" ref="Z28:Z46" si="15">Q28</f>
        <v>楼层</v>
      </c>
      <c r="AA28" s="1810">
        <f t="shared" si="3"/>
        <v>1</v>
      </c>
      <c r="AB28" s="1810">
        <f t="shared" si="4"/>
        <v>1</v>
      </c>
      <c r="AC28" s="1810">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0"/>
      <c r="Q29" s="1809">
        <f t="shared" si="11"/>
        <v>111</v>
      </c>
      <c r="R29" s="772" t="s">
        <v>17</v>
      </c>
      <c r="S29" s="773">
        <f t="shared" si="12"/>
        <v>100</v>
      </c>
      <c r="T29" s="772" t="s">
        <v>17</v>
      </c>
      <c r="U29" s="773">
        <f t="shared" si="13"/>
        <v>100</v>
      </c>
      <c r="V29" s="772" t="s">
        <v>17</v>
      </c>
      <c r="W29" s="773">
        <f t="shared" si="14"/>
        <v>100</v>
      </c>
      <c r="X29" s="1812"/>
      <c r="Y29" s="3179"/>
      <c r="Z29" s="1813">
        <f t="shared" si="15"/>
        <v>111</v>
      </c>
      <c r="AA29" s="1810">
        <f t="shared" si="3"/>
        <v>1</v>
      </c>
      <c r="AB29" s="1810">
        <f t="shared" si="4"/>
        <v>1</v>
      </c>
      <c r="AC29" s="1810">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0"/>
      <c r="Q30" s="1809">
        <f t="shared" si="11"/>
        <v>111</v>
      </c>
      <c r="R30" s="772" t="s">
        <v>17</v>
      </c>
      <c r="S30" s="773">
        <f t="shared" si="12"/>
        <v>100</v>
      </c>
      <c r="T30" s="772" t="s">
        <v>17</v>
      </c>
      <c r="U30" s="773">
        <f t="shared" si="13"/>
        <v>100</v>
      </c>
      <c r="V30" s="772" t="s">
        <v>17</v>
      </c>
      <c r="W30" s="773">
        <f t="shared" si="14"/>
        <v>100</v>
      </c>
      <c r="X30" s="1812"/>
      <c r="Y30" s="3179"/>
      <c r="Z30" s="1813">
        <f t="shared" si="15"/>
        <v>111</v>
      </c>
      <c r="AA30" s="1810">
        <f t="shared" si="3"/>
        <v>1</v>
      </c>
      <c r="AB30" s="1810">
        <f t="shared" si="4"/>
        <v>1</v>
      </c>
      <c r="AC30" s="1810">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0"/>
      <c r="Q31" s="1809">
        <f t="shared" si="11"/>
        <v>111</v>
      </c>
      <c r="R31" s="772" t="s">
        <v>17</v>
      </c>
      <c r="S31" s="773">
        <f t="shared" si="12"/>
        <v>100</v>
      </c>
      <c r="T31" s="772" t="s">
        <v>17</v>
      </c>
      <c r="U31" s="773">
        <f t="shared" si="13"/>
        <v>100</v>
      </c>
      <c r="V31" s="772" t="s">
        <v>17</v>
      </c>
      <c r="W31" s="773">
        <f t="shared" si="14"/>
        <v>100</v>
      </c>
      <c r="X31" s="1812"/>
      <c r="Y31" s="3179"/>
      <c r="Z31" s="1813">
        <f t="shared" si="15"/>
        <v>111</v>
      </c>
      <c r="AA31" s="1810">
        <f t="shared" si="3"/>
        <v>1</v>
      </c>
      <c r="AB31" s="1810">
        <f t="shared" si="4"/>
        <v>1</v>
      </c>
      <c r="AC31" s="1810">
        <f t="shared" si="5"/>
        <v>1</v>
      </c>
    </row>
    <row r="32" spans="1:29" ht="15">
      <c r="A32" s="439" t="s">
        <v>2566</v>
      </c>
      <c r="B32" s="70" t="s">
        <v>2663</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40"/>
      <c r="M32" s="1131"/>
      <c r="N32" s="1131"/>
      <c r="O32" s="1131"/>
      <c r="P32" s="3221" t="s">
        <v>2568</v>
      </c>
      <c r="Q32" s="1809" t="str">
        <f t="shared" si="11"/>
        <v>商业类型</v>
      </c>
      <c r="R32" s="772" t="s">
        <v>17</v>
      </c>
      <c r="S32" s="773">
        <f t="shared" si="12"/>
        <v>100</v>
      </c>
      <c r="T32" s="772" t="s">
        <v>17</v>
      </c>
      <c r="U32" s="773">
        <f t="shared" si="13"/>
        <v>100</v>
      </c>
      <c r="V32" s="772" t="s">
        <v>17</v>
      </c>
      <c r="W32" s="773">
        <f t="shared" si="14"/>
        <v>100</v>
      </c>
      <c r="X32" s="1812"/>
      <c r="Y32" s="3181" t="s">
        <v>2568</v>
      </c>
      <c r="Z32" s="1813" t="str">
        <f t="shared" si="15"/>
        <v>商业类型</v>
      </c>
      <c r="AA32" s="1810">
        <f t="shared" si="3"/>
        <v>1</v>
      </c>
      <c r="AB32" s="1810">
        <f t="shared" si="4"/>
        <v>1</v>
      </c>
      <c r="AC32" s="1810">
        <f t="shared" si="5"/>
        <v>1</v>
      </c>
    </row>
    <row r="33" spans="1:29" s="470" customFormat="1" ht="15">
      <c r="A33" s="467"/>
      <c r="B33" s="421" t="s">
        <v>2569</v>
      </c>
      <c r="C33" s="468"/>
      <c r="D33" s="134">
        <v>100</v>
      </c>
      <c r="E33" s="429"/>
      <c r="F33" s="424" t="e">
        <f>LOOKUP(E33,103:103,104:104)-LOOKUP(C33,103:103,104:104)+100</f>
        <v>#N/A</v>
      </c>
      <c r="G33" s="428"/>
      <c r="H33" s="134" t="e">
        <f>LOOKUP(G33,103:103,104:104)-LOOKUP(C33,103:103,104:104)+100</f>
        <v>#N/A</v>
      </c>
      <c r="I33" s="428"/>
      <c r="J33" s="134" t="e">
        <f>LOOKUP(I33,103:103,104:104)-LOOKUP(C33,103:103,104:104)+100</f>
        <v>#N/A</v>
      </c>
      <c r="K33" s="612"/>
      <c r="L33" s="1138"/>
      <c r="M33" s="1141"/>
      <c r="N33" s="1141"/>
      <c r="O33" s="1141"/>
      <c r="P33" s="3222"/>
      <c r="Q33" s="774" t="str">
        <f t="shared" si="11"/>
        <v>项目建筑规模</v>
      </c>
      <c r="R33" s="775" t="s">
        <v>17</v>
      </c>
      <c r="S33" s="776" t="e">
        <f t="shared" si="12"/>
        <v>#N/A</v>
      </c>
      <c r="T33" s="775" t="s">
        <v>17</v>
      </c>
      <c r="U33" s="776" t="e">
        <f t="shared" si="13"/>
        <v>#N/A</v>
      </c>
      <c r="V33" s="775" t="s">
        <v>17</v>
      </c>
      <c r="W33" s="776" t="e">
        <f t="shared" si="14"/>
        <v>#N/A</v>
      </c>
      <c r="X33" s="777"/>
      <c r="Y33" s="3181"/>
      <c r="Z33" s="778" t="str">
        <f t="shared" si="15"/>
        <v>项目建筑规模</v>
      </c>
      <c r="AA33" s="1810" t="e">
        <f t="shared" si="3"/>
        <v>#N/A</v>
      </c>
      <c r="AB33" s="1810" t="e">
        <f t="shared" si="4"/>
        <v>#N/A</v>
      </c>
      <c r="AC33" s="1810" t="e">
        <f t="shared" si="5"/>
        <v>#N/A</v>
      </c>
    </row>
    <row r="34" spans="1:29" ht="15">
      <c r="A34" s="471"/>
      <c r="B34" s="421" t="s">
        <v>2570</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40"/>
      <c r="M34" s="1131"/>
      <c r="N34" s="1131"/>
      <c r="O34" s="1131"/>
      <c r="P34" s="3222"/>
      <c r="Q34" s="1809" t="str">
        <f t="shared" si="11"/>
        <v>建筑结构</v>
      </c>
      <c r="R34" s="772" t="s">
        <v>17</v>
      </c>
      <c r="S34" s="773">
        <f t="shared" si="12"/>
        <v>100</v>
      </c>
      <c r="T34" s="772" t="s">
        <v>17</v>
      </c>
      <c r="U34" s="773">
        <f t="shared" si="13"/>
        <v>100</v>
      </c>
      <c r="V34" s="772" t="s">
        <v>17</v>
      </c>
      <c r="W34" s="773">
        <f t="shared" si="14"/>
        <v>100</v>
      </c>
      <c r="X34" s="1812"/>
      <c r="Y34" s="3181"/>
      <c r="Z34" s="1813" t="str">
        <f t="shared" si="15"/>
        <v>建筑结构</v>
      </c>
      <c r="AA34" s="1810">
        <f t="shared" si="3"/>
        <v>1</v>
      </c>
      <c r="AB34" s="1810">
        <f t="shared" si="4"/>
        <v>1</v>
      </c>
      <c r="AC34" s="1810">
        <f t="shared" si="5"/>
        <v>1</v>
      </c>
    </row>
    <row r="35" spans="1:29" ht="15">
      <c r="A35" s="471"/>
      <c r="B35" s="421" t="s">
        <v>2664</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40"/>
      <c r="M35" s="1131"/>
      <c r="N35" s="1131"/>
      <c r="O35" s="1131"/>
      <c r="P35" s="3222"/>
      <c r="Q35" s="1809" t="str">
        <f t="shared" si="11"/>
        <v>公共部分装修</v>
      </c>
      <c r="R35" s="772" t="s">
        <v>17</v>
      </c>
      <c r="S35" s="773">
        <f t="shared" si="12"/>
        <v>100</v>
      </c>
      <c r="T35" s="772" t="s">
        <v>17</v>
      </c>
      <c r="U35" s="773">
        <f t="shared" si="13"/>
        <v>100</v>
      </c>
      <c r="V35" s="772" t="s">
        <v>17</v>
      </c>
      <c r="W35" s="773">
        <f t="shared" si="14"/>
        <v>100</v>
      </c>
      <c r="X35" s="1812"/>
      <c r="Y35" s="3181"/>
      <c r="Z35" s="1813" t="str">
        <f t="shared" si="15"/>
        <v>公共部分装修</v>
      </c>
      <c r="AA35" s="1810">
        <f t="shared" si="3"/>
        <v>1</v>
      </c>
      <c r="AB35" s="1810">
        <f t="shared" si="4"/>
        <v>1</v>
      </c>
      <c r="AC35" s="1810">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22"/>
      <c r="Q36" s="1809" t="str">
        <f t="shared" si="11"/>
        <v>成新度</v>
      </c>
      <c r="R36" s="772" t="s">
        <v>17</v>
      </c>
      <c r="S36" s="773" t="e">
        <f t="shared" si="12"/>
        <v>#N/A</v>
      </c>
      <c r="T36" s="772" t="s">
        <v>17</v>
      </c>
      <c r="U36" s="773" t="e">
        <f t="shared" si="13"/>
        <v>#N/A</v>
      </c>
      <c r="V36" s="772" t="s">
        <v>17</v>
      </c>
      <c r="W36" s="773" t="e">
        <f t="shared" si="14"/>
        <v>#N/A</v>
      </c>
      <c r="X36" s="1812"/>
      <c r="Y36" s="3181"/>
      <c r="Z36" s="1813" t="str">
        <f t="shared" si="15"/>
        <v>成新度</v>
      </c>
      <c r="AA36" s="1810" t="e">
        <f t="shared" si="3"/>
        <v>#N/A</v>
      </c>
      <c r="AB36" s="1810" t="e">
        <f t="shared" si="4"/>
        <v>#N/A</v>
      </c>
      <c r="AC36" s="1810" t="e">
        <f t="shared" si="5"/>
        <v>#N/A</v>
      </c>
    </row>
    <row r="37" spans="1:29" s="116" customFormat="1" ht="15">
      <c r="A37" s="472"/>
      <c r="B37" s="421" t="s">
        <v>2666</v>
      </c>
      <c r="C37" s="2609"/>
      <c r="D37" s="134">
        <v>100</v>
      </c>
      <c r="E37" s="2609"/>
      <c r="F37" s="460">
        <f>SUMIF(112:112,E37,113:113)-SUMIF(112:112,C37,113:113)+100</f>
        <v>100</v>
      </c>
      <c r="G37" s="2609"/>
      <c r="H37" s="434">
        <f>SUMIF(112:112,G37,113:113)-SUMIF(112:112,C37,113:113)+100</f>
        <v>100</v>
      </c>
      <c r="I37" s="2609"/>
      <c r="J37" s="434">
        <f>SUMIF(112:112,I37,113:113)-SUMIF(112:112,C37,113:113)+100</f>
        <v>100</v>
      </c>
      <c r="K37" s="611"/>
      <c r="L37" s="1132"/>
      <c r="M37" s="1133"/>
      <c r="N37" s="1133"/>
      <c r="O37" s="1133"/>
      <c r="P37" s="3222"/>
      <c r="Q37" s="1794" t="str">
        <f t="shared" si="11"/>
        <v>市政基础设施</v>
      </c>
      <c r="R37" s="768" t="s">
        <v>17</v>
      </c>
      <c r="S37" s="769">
        <f t="shared" si="12"/>
        <v>100</v>
      </c>
      <c r="T37" s="768" t="s">
        <v>17</v>
      </c>
      <c r="U37" s="769">
        <f t="shared" si="13"/>
        <v>100</v>
      </c>
      <c r="V37" s="768" t="s">
        <v>17</v>
      </c>
      <c r="W37" s="769">
        <f t="shared" si="14"/>
        <v>100</v>
      </c>
      <c r="X37" s="770"/>
      <c r="Y37" s="3181"/>
      <c r="Z37" s="54" t="str">
        <f t="shared" si="15"/>
        <v>市政基础设施</v>
      </c>
      <c r="AA37" s="771">
        <f t="shared" si="3"/>
        <v>1</v>
      </c>
      <c r="AB37" s="771">
        <f t="shared" si="4"/>
        <v>1</v>
      </c>
      <c r="AC37" s="771">
        <f t="shared" si="5"/>
        <v>1</v>
      </c>
    </row>
    <row r="38" spans="1:29" ht="15">
      <c r="A38" s="471"/>
      <c r="B38" s="421" t="s">
        <v>2667</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40"/>
      <c r="M38" s="1131"/>
      <c r="N38" s="1131"/>
      <c r="O38" s="1131"/>
      <c r="P38" s="3222" t="s">
        <v>2568</v>
      </c>
      <c r="Q38" s="1809" t="str">
        <f t="shared" si="11"/>
        <v>业态</v>
      </c>
      <c r="R38" s="772" t="s">
        <v>17</v>
      </c>
      <c r="S38" s="773">
        <f t="shared" si="12"/>
        <v>100</v>
      </c>
      <c r="T38" s="772" t="s">
        <v>17</v>
      </c>
      <c r="U38" s="773">
        <f t="shared" si="13"/>
        <v>100</v>
      </c>
      <c r="V38" s="772" t="s">
        <v>17</v>
      </c>
      <c r="W38" s="773">
        <f t="shared" si="14"/>
        <v>100</v>
      </c>
      <c r="X38" s="1812"/>
      <c r="Y38" s="3181" t="s">
        <v>2568</v>
      </c>
      <c r="Z38" s="1813" t="str">
        <f t="shared" si="15"/>
        <v>业态</v>
      </c>
      <c r="AA38" s="1810">
        <f t="shared" si="3"/>
        <v>1</v>
      </c>
      <c r="AB38" s="1810">
        <f t="shared" si="4"/>
        <v>1</v>
      </c>
      <c r="AC38" s="1810">
        <f t="shared" si="5"/>
        <v>1</v>
      </c>
    </row>
    <row r="39" spans="1:29" ht="15">
      <c r="A39" s="471"/>
      <c r="B39" s="421" t="s">
        <v>2668</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40"/>
      <c r="M39" s="1131"/>
      <c r="N39" s="1131"/>
      <c r="O39" s="1131"/>
      <c r="P39" s="3222"/>
      <c r="Q39" s="1809" t="str">
        <f t="shared" si="11"/>
        <v>层高</v>
      </c>
      <c r="R39" s="772" t="s">
        <v>17</v>
      </c>
      <c r="S39" s="773">
        <f t="shared" si="12"/>
        <v>100</v>
      </c>
      <c r="T39" s="772" t="s">
        <v>17</v>
      </c>
      <c r="U39" s="773">
        <f t="shared" si="13"/>
        <v>100</v>
      </c>
      <c r="V39" s="772" t="s">
        <v>17</v>
      </c>
      <c r="W39" s="773">
        <f t="shared" si="14"/>
        <v>100</v>
      </c>
      <c r="X39" s="1812"/>
      <c r="Y39" s="3181"/>
      <c r="Z39" s="1813" t="str">
        <f t="shared" si="15"/>
        <v>层高</v>
      </c>
      <c r="AA39" s="1810">
        <f t="shared" si="3"/>
        <v>1</v>
      </c>
      <c r="AB39" s="1810">
        <f t="shared" si="4"/>
        <v>1</v>
      </c>
      <c r="AC39" s="1810">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22"/>
      <c r="Q40" s="1809" t="str">
        <f t="shared" si="11"/>
        <v>单套建筑面积</v>
      </c>
      <c r="R40" s="772" t="s">
        <v>17</v>
      </c>
      <c r="S40" s="773">
        <f t="shared" si="12"/>
        <v>100</v>
      </c>
      <c r="T40" s="772" t="s">
        <v>17</v>
      </c>
      <c r="U40" s="773">
        <f t="shared" si="13"/>
        <v>100</v>
      </c>
      <c r="V40" s="772" t="s">
        <v>17</v>
      </c>
      <c r="W40" s="773">
        <f t="shared" si="14"/>
        <v>100</v>
      </c>
      <c r="X40" s="1812"/>
      <c r="Y40" s="3181"/>
      <c r="Z40" s="1813" t="str">
        <f t="shared" si="15"/>
        <v>单套建筑面积</v>
      </c>
      <c r="AA40" s="1810">
        <f t="shared" si="3"/>
        <v>1</v>
      </c>
      <c r="AB40" s="1810">
        <f t="shared" si="4"/>
        <v>1</v>
      </c>
      <c r="AC40" s="1810">
        <f t="shared" si="5"/>
        <v>1</v>
      </c>
    </row>
    <row r="41" spans="1:29" s="470" customFormat="1" ht="15">
      <c r="A41" s="467"/>
      <c r="B41" s="1811"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22"/>
      <c r="Q41" s="774" t="str">
        <f t="shared" si="11"/>
        <v>进深比</v>
      </c>
      <c r="R41" s="775" t="s">
        <v>17</v>
      </c>
      <c r="S41" s="776">
        <f t="shared" si="12"/>
        <v>100</v>
      </c>
      <c r="T41" s="775" t="s">
        <v>17</v>
      </c>
      <c r="U41" s="776">
        <f t="shared" si="13"/>
        <v>100</v>
      </c>
      <c r="V41" s="775" t="s">
        <v>17</v>
      </c>
      <c r="W41" s="776">
        <f t="shared" si="14"/>
        <v>100</v>
      </c>
      <c r="X41" s="777"/>
      <c r="Y41" s="3181"/>
      <c r="Z41" s="778" t="str">
        <f t="shared" si="15"/>
        <v>进深比</v>
      </c>
      <c r="AA41" s="1810">
        <f t="shared" si="3"/>
        <v>1</v>
      </c>
      <c r="AB41" s="1810">
        <f t="shared" si="4"/>
        <v>1</v>
      </c>
      <c r="AC41" s="1810">
        <f t="shared" si="5"/>
        <v>1</v>
      </c>
    </row>
    <row r="42" spans="1:29" ht="15">
      <c r="A42" s="471"/>
      <c r="B42" s="421" t="s">
        <v>2671</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40"/>
      <c r="M42" s="1131"/>
      <c r="N42" s="1131"/>
      <c r="O42" s="1131"/>
      <c r="P42" s="3222"/>
      <c r="Q42" s="1809" t="str">
        <f t="shared" si="11"/>
        <v>内部装修</v>
      </c>
      <c r="R42" s="772" t="s">
        <v>17</v>
      </c>
      <c r="S42" s="773">
        <f t="shared" si="12"/>
        <v>100</v>
      </c>
      <c r="T42" s="772" t="s">
        <v>17</v>
      </c>
      <c r="U42" s="773">
        <f t="shared" si="13"/>
        <v>100</v>
      </c>
      <c r="V42" s="772" t="s">
        <v>17</v>
      </c>
      <c r="W42" s="773">
        <f t="shared" si="14"/>
        <v>100</v>
      </c>
      <c r="X42" s="1812"/>
      <c r="Y42" s="3181"/>
      <c r="Z42" s="1813" t="str">
        <f t="shared" si="15"/>
        <v>内部装修</v>
      </c>
      <c r="AA42" s="1810">
        <f t="shared" si="3"/>
        <v>1</v>
      </c>
      <c r="AB42" s="1810">
        <f t="shared" si="4"/>
        <v>1</v>
      </c>
      <c r="AC42" s="1810">
        <f t="shared" si="5"/>
        <v>1</v>
      </c>
    </row>
    <row r="43" spans="1:29" ht="15">
      <c r="A43" s="471"/>
      <c r="B43" s="421" t="s">
        <v>2579</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40"/>
      <c r="M43" s="1131"/>
      <c r="N43" s="1131"/>
      <c r="O43" s="1131"/>
      <c r="P43" s="3222"/>
      <c r="Q43" s="1809" t="str">
        <f t="shared" si="11"/>
        <v>内部装修维护情况</v>
      </c>
      <c r="R43" s="772" t="s">
        <v>17</v>
      </c>
      <c r="S43" s="773">
        <f t="shared" si="12"/>
        <v>100</v>
      </c>
      <c r="T43" s="772" t="s">
        <v>17</v>
      </c>
      <c r="U43" s="773">
        <f t="shared" si="13"/>
        <v>100</v>
      </c>
      <c r="V43" s="772" t="s">
        <v>17</v>
      </c>
      <c r="W43" s="773">
        <f t="shared" si="14"/>
        <v>100</v>
      </c>
      <c r="X43" s="1812"/>
      <c r="Y43" s="3181"/>
      <c r="Z43" s="1813" t="str">
        <f t="shared" si="15"/>
        <v>内部装修维护情况</v>
      </c>
      <c r="AA43" s="1810">
        <f t="shared" si="3"/>
        <v>1</v>
      </c>
      <c r="AB43" s="1810">
        <f t="shared" si="4"/>
        <v>1</v>
      </c>
      <c r="AC43" s="1810">
        <f t="shared" si="5"/>
        <v>1</v>
      </c>
    </row>
    <row r="44" spans="1:29" s="116" customFormat="1" ht="15">
      <c r="A44" s="472"/>
      <c r="B44" s="1386">
        <v>111</v>
      </c>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32"/>
      <c r="M44" s="1133"/>
      <c r="N44" s="1133"/>
      <c r="O44" s="1133"/>
      <c r="P44" s="3222"/>
      <c r="Q44" s="1794">
        <f t="shared" si="11"/>
        <v>111</v>
      </c>
      <c r="R44" s="768" t="s">
        <v>17</v>
      </c>
      <c r="S44" s="769">
        <f t="shared" si="12"/>
        <v>100</v>
      </c>
      <c r="T44" s="768" t="s">
        <v>17</v>
      </c>
      <c r="U44" s="769">
        <f t="shared" si="13"/>
        <v>100</v>
      </c>
      <c r="V44" s="768" t="s">
        <v>17</v>
      </c>
      <c r="W44" s="769">
        <f t="shared" si="14"/>
        <v>100</v>
      </c>
      <c r="X44" s="770"/>
      <c r="Y44" s="3181"/>
      <c r="Z44" s="54">
        <f t="shared" si="15"/>
        <v>111</v>
      </c>
      <c r="AA44" s="771">
        <f t="shared" si="3"/>
        <v>1</v>
      </c>
      <c r="AB44" s="771">
        <f t="shared" si="4"/>
        <v>1</v>
      </c>
      <c r="AC44" s="771">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2"/>
      <c r="Q45" s="1809">
        <f t="shared" si="11"/>
        <v>111</v>
      </c>
      <c r="R45" s="772" t="s">
        <v>17</v>
      </c>
      <c r="S45" s="773">
        <f t="shared" si="12"/>
        <v>100</v>
      </c>
      <c r="T45" s="772" t="s">
        <v>17</v>
      </c>
      <c r="U45" s="773">
        <f t="shared" si="13"/>
        <v>100</v>
      </c>
      <c r="V45" s="772" t="s">
        <v>17</v>
      </c>
      <c r="W45" s="773">
        <f t="shared" si="14"/>
        <v>100</v>
      </c>
      <c r="X45" s="1812"/>
      <c r="Y45" s="3181"/>
      <c r="Z45" s="1813">
        <f t="shared" si="15"/>
        <v>111</v>
      </c>
      <c r="AA45" s="1810">
        <f t="shared" si="3"/>
        <v>1</v>
      </c>
      <c r="AB45" s="1810">
        <f t="shared" si="4"/>
        <v>1</v>
      </c>
      <c r="AC45" s="1810">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3"/>
      <c r="Q46" s="1809">
        <f t="shared" si="11"/>
        <v>111</v>
      </c>
      <c r="R46" s="772" t="s">
        <v>17</v>
      </c>
      <c r="S46" s="773">
        <f t="shared" si="12"/>
        <v>100</v>
      </c>
      <c r="T46" s="772" t="s">
        <v>17</v>
      </c>
      <c r="U46" s="773">
        <f t="shared" si="13"/>
        <v>100</v>
      </c>
      <c r="V46" s="772" t="s">
        <v>17</v>
      </c>
      <c r="W46" s="773">
        <f t="shared" si="14"/>
        <v>100</v>
      </c>
      <c r="X46" s="1812"/>
      <c r="Y46" s="3224"/>
      <c r="Z46" s="1813">
        <f t="shared" si="15"/>
        <v>111</v>
      </c>
      <c r="AA46" s="1810">
        <f t="shared" si="3"/>
        <v>1</v>
      </c>
      <c r="AB46" s="1810">
        <f t="shared" si="4"/>
        <v>1</v>
      </c>
      <c r="AC46" s="1810">
        <f t="shared" si="5"/>
        <v>1</v>
      </c>
    </row>
    <row r="47" spans="1:29" ht="15">
      <c r="A47" s="478" t="s">
        <v>2580</v>
      </c>
      <c r="B47" s="479"/>
      <c r="C47" s="1406" t="s">
        <v>1</v>
      </c>
      <c r="D47" s="1407"/>
      <c r="E47" s="1408"/>
      <c r="F47" s="1409"/>
      <c r="G47" s="1410"/>
      <c r="H47" s="1411"/>
      <c r="I47" s="1408"/>
      <c r="J47" s="1411"/>
      <c r="K47" s="781"/>
      <c r="L47" s="1143"/>
      <c r="M47" s="1144"/>
      <c r="N47" s="1131"/>
      <c r="O47" s="1144"/>
      <c r="P47" s="3176" t="str">
        <f>A47</f>
        <v>成交单价（元/平方米）</v>
      </c>
      <c r="Q47" s="3176"/>
      <c r="R47" s="3182">
        <f>E47</f>
        <v>0</v>
      </c>
      <c r="S47" s="3182"/>
      <c r="T47" s="3182">
        <f>G47</f>
        <v>0</v>
      </c>
      <c r="U47" s="3182"/>
      <c r="V47" s="3182">
        <f>I47</f>
        <v>0</v>
      </c>
      <c r="W47" s="3182"/>
      <c r="X47" s="757"/>
      <c r="Y47" s="779"/>
      <c r="Z47" s="757"/>
      <c r="AA47" s="757"/>
      <c r="AB47" s="757"/>
      <c r="AC47" s="757"/>
    </row>
    <row r="48" spans="1:29" ht="15.75" thickBot="1">
      <c r="A48" s="485" t="s">
        <v>2672</v>
      </c>
      <c r="B48" s="486"/>
      <c r="C48" s="1412" t="e">
        <f>R49</f>
        <v>#DIV/0!</v>
      </c>
      <c r="D48" s="1413"/>
      <c r="E48" s="1414" t="e">
        <f>R48</f>
        <v>#DIV/0!</v>
      </c>
      <c r="F48" s="1414"/>
      <c r="G48" s="1412" t="e">
        <f>T48</f>
        <v>#DIV/0!</v>
      </c>
      <c r="H48" s="1413"/>
      <c r="I48" s="1414" t="e">
        <f>V48</f>
        <v>#DIV/0!</v>
      </c>
      <c r="J48" s="1413"/>
      <c r="K48" s="782"/>
      <c r="L48" s="1143"/>
      <c r="M48" s="1144"/>
      <c r="N48" s="1131"/>
      <c r="O48" s="1144"/>
      <c r="P48" s="3176" t="str">
        <f>A48</f>
        <v>比较价值（元/平方米）</v>
      </c>
      <c r="Q48" s="3176"/>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1" t="s">
        <v>2673</v>
      </c>
      <c r="B49" s="492"/>
      <c r="C49" s="1416" t="e">
        <f>R49</f>
        <v>#DIV/0!</v>
      </c>
      <c r="D49" s="1416"/>
      <c r="E49" s="1416"/>
      <c r="F49" s="1416"/>
      <c r="G49" s="1416"/>
      <c r="H49" s="1416"/>
      <c r="I49" s="1416"/>
      <c r="J49" s="1416"/>
      <c r="K49" s="783"/>
      <c r="L49" s="1143"/>
      <c r="M49" s="1144"/>
      <c r="N49" s="1131"/>
      <c r="O49" s="1144"/>
      <c r="P49" s="3170" t="str">
        <f>A49</f>
        <v>估价对象XX用房的比较价值（楼面单价，元/平方米）</v>
      </c>
      <c r="Q49" s="3171"/>
      <c r="R49" s="3226" t="e">
        <f>IF(F1="售价",ROUND(AVERAGE(R48:V48),0),ROUND(AVERAGE(R48:V48),1))</f>
        <v>#DIV/0!</v>
      </c>
      <c r="S49" s="3226"/>
      <c r="T49" s="3226"/>
      <c r="U49" s="3226"/>
      <c r="V49" s="3226"/>
      <c r="W49" s="322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4"/>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4"/>
      <c r="Q51" s="757"/>
      <c r="R51" s="757"/>
      <c r="S51" s="757"/>
      <c r="T51" s="757"/>
      <c r="U51" s="757"/>
      <c r="V51" s="757"/>
      <c r="W51" s="757"/>
      <c r="X51" s="757"/>
      <c r="Y51" s="757"/>
      <c r="Z51" s="757"/>
      <c r="AA51" s="757"/>
      <c r="AB51" s="757"/>
      <c r="AC51" s="757"/>
    </row>
    <row r="52" spans="1:29" ht="13.5" customHeight="1">
      <c r="A52" s="1144"/>
      <c r="B52" s="1144"/>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7"/>
      <c r="R52" s="757"/>
      <c r="S52" s="757"/>
      <c r="T52" s="757"/>
      <c r="U52" s="757"/>
      <c r="V52" s="757"/>
      <c r="W52" s="757"/>
      <c r="X52" s="757"/>
      <c r="Y52" s="757"/>
      <c r="Z52" s="757"/>
      <c r="AA52" s="757"/>
      <c r="AB52" s="757"/>
      <c r="AC52" s="757"/>
    </row>
    <row r="53" spans="1:29" ht="13.5" customHeight="1">
      <c r="A53" s="1144"/>
      <c r="B53" s="1144"/>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7"/>
      <c r="R53" s="757"/>
      <c r="S53" s="757"/>
      <c r="T53" s="757"/>
      <c r="U53" s="757"/>
      <c r="V53" s="757"/>
      <c r="W53" s="757"/>
      <c r="X53" s="757"/>
      <c r="Y53" s="757"/>
      <c r="Z53" s="757"/>
      <c r="AA53" s="757"/>
      <c r="AB53" s="757"/>
      <c r="AC53" s="757"/>
    </row>
    <row r="54" spans="1:29" s="501" customFormat="1" ht="13.5" customHeight="1">
      <c r="A54" s="1145"/>
      <c r="B54" s="1145"/>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0"/>
      <c r="Q54" s="758"/>
      <c r="R54" s="758"/>
      <c r="S54" s="758"/>
      <c r="T54" s="758"/>
      <c r="U54" s="758"/>
      <c r="V54" s="758"/>
      <c r="W54" s="758"/>
      <c r="X54" s="758"/>
      <c r="Y54" s="758"/>
      <c r="Z54" s="758"/>
      <c r="AA54" s="758"/>
      <c r="AB54" s="758"/>
      <c r="AC54" s="758"/>
    </row>
    <row r="55" spans="1:29" s="501" customFormat="1">
      <c r="A55" s="1145"/>
      <c r="B55" s="1146"/>
      <c r="C55" s="1150"/>
      <c r="D55" s="1145"/>
      <c r="E55" s="1145"/>
      <c r="F55" s="1145"/>
      <c r="G55" s="1145"/>
      <c r="H55" s="1145"/>
      <c r="I55" s="1145"/>
      <c r="J55" s="1145"/>
      <c r="K55" s="1148"/>
      <c r="L55" s="1149"/>
      <c r="M55" s="1145"/>
      <c r="N55" s="1145"/>
      <c r="O55" s="1145"/>
      <c r="P55" s="2660"/>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4"/>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1"/>
      <c r="Q57" s="2662"/>
      <c r="R57" s="757"/>
      <c r="S57" s="757"/>
      <c r="T57" s="757"/>
      <c r="U57" s="757"/>
      <c r="V57" s="757"/>
      <c r="W57" s="757"/>
      <c r="X57" s="757"/>
      <c r="Y57" s="757"/>
      <c r="Z57" s="757"/>
      <c r="AA57" s="757"/>
      <c r="AB57" s="757"/>
      <c r="AC57" s="757"/>
    </row>
    <row r="58" spans="1:29" s="507" customFormat="1" ht="15">
      <c r="A58" s="504" t="s">
        <v>2551</v>
      </c>
      <c r="B58" s="505"/>
      <c r="C58" s="1574" t="str">
        <f>YEAR(C7)&amp;"-"&amp;MONTH(C7)</f>
        <v>2017-11</v>
      </c>
      <c r="D58" s="1575">
        <f>EDATE(C58,-1)</f>
        <v>43009</v>
      </c>
      <c r="E58" s="1575">
        <f t="shared" ref="E58:N58" si="16">EDATE(D58,-1)</f>
        <v>42979</v>
      </c>
      <c r="F58" s="1575">
        <f t="shared" si="16"/>
        <v>42948</v>
      </c>
      <c r="G58" s="1575">
        <f t="shared" si="16"/>
        <v>42917</v>
      </c>
      <c r="H58" s="1575">
        <f t="shared" si="16"/>
        <v>42887</v>
      </c>
      <c r="I58" s="1575">
        <f t="shared" si="16"/>
        <v>42856</v>
      </c>
      <c r="J58" s="1575">
        <f t="shared" si="16"/>
        <v>42826</v>
      </c>
      <c r="K58" s="1575">
        <f t="shared" si="16"/>
        <v>42795</v>
      </c>
      <c r="L58" s="1575">
        <f t="shared" si="16"/>
        <v>42767</v>
      </c>
      <c r="M58" s="1575">
        <f t="shared" si="16"/>
        <v>42736</v>
      </c>
      <c r="N58" s="1575">
        <f t="shared" si="16"/>
        <v>42705</v>
      </c>
      <c r="O58" s="1575">
        <f>EDATE(N58,-1)</f>
        <v>42675</v>
      </c>
      <c r="P58" s="1570"/>
    </row>
    <row r="59" spans="1:29" s="116" customFormat="1" ht="15">
      <c r="A59" s="508"/>
      <c r="B59" s="509"/>
      <c r="C59" s="1573">
        <v>100</v>
      </c>
      <c r="D59" s="511"/>
      <c r="E59" s="511"/>
      <c r="F59" s="511"/>
      <c r="G59" s="511"/>
      <c r="H59" s="511"/>
      <c r="I59" s="511"/>
      <c r="J59" s="511"/>
      <c r="K59" s="511"/>
      <c r="L59" s="511"/>
      <c r="M59" s="512"/>
      <c r="N59" s="511"/>
      <c r="O59" s="512"/>
      <c r="P59" s="2622"/>
    </row>
    <row r="60" spans="1:29" s="116" customFormat="1" ht="15.75" thickBot="1">
      <c r="A60" s="514" t="s">
        <v>2588</v>
      </c>
      <c r="B60" s="515"/>
      <c r="C60" s="516"/>
      <c r="D60" s="517"/>
      <c r="E60" s="517"/>
      <c r="F60" s="517"/>
      <c r="G60" s="517"/>
      <c r="H60" s="517"/>
      <c r="I60" s="517"/>
      <c r="J60" s="517"/>
      <c r="K60" s="517"/>
      <c r="L60" s="517"/>
      <c r="M60" s="518"/>
      <c r="N60" s="517"/>
      <c r="O60" s="518"/>
      <c r="P60" s="2622"/>
      <c r="Q60" s="503"/>
    </row>
    <row r="61" spans="1:29" s="116" customFormat="1" ht="15">
      <c r="A61" s="520" t="s">
        <v>2553</v>
      </c>
      <c r="B61" s="509"/>
      <c r="C61" s="521" t="s">
        <v>2655</v>
      </c>
      <c r="D61" s="522"/>
      <c r="E61" s="522"/>
      <c r="F61" s="522"/>
      <c r="G61" s="522"/>
      <c r="H61" s="522"/>
      <c r="I61" s="522"/>
      <c r="J61" s="522"/>
      <c r="K61" s="522"/>
      <c r="L61" s="523"/>
      <c r="M61" s="524"/>
      <c r="N61" s="1151"/>
      <c r="O61" s="1151"/>
      <c r="P61" s="2623"/>
      <c r="Q61" s="503"/>
    </row>
    <row r="62" spans="1:29" s="116" customFormat="1" ht="15.75" thickBot="1">
      <c r="A62" s="520"/>
      <c r="B62" s="509"/>
      <c r="C62" s="510">
        <v>100</v>
      </c>
      <c r="D62" s="511"/>
      <c r="E62" s="511"/>
      <c r="F62" s="511"/>
      <c r="G62" s="511"/>
      <c r="H62" s="511"/>
      <c r="I62" s="511"/>
      <c r="J62" s="511"/>
      <c r="K62" s="511"/>
      <c r="L62" s="511"/>
      <c r="M62" s="513"/>
      <c r="N62" s="1151"/>
      <c r="O62" s="1151"/>
      <c r="P62" s="2622"/>
      <c r="Q62" s="503"/>
    </row>
    <row r="63" spans="1:29">
      <c r="A63" s="526" t="s">
        <v>2591</v>
      </c>
      <c r="B63" s="527" t="s">
        <v>2557</v>
      </c>
      <c r="C63" s="528">
        <f>C9</f>
        <v>0</v>
      </c>
      <c r="D63" s="529"/>
      <c r="E63" s="529"/>
      <c r="F63" s="529"/>
      <c r="G63" s="529"/>
      <c r="H63" s="529"/>
      <c r="I63" s="529"/>
      <c r="J63" s="529"/>
      <c r="K63" s="530"/>
      <c r="L63" s="531"/>
      <c r="M63" s="532"/>
      <c r="N63" s="1152"/>
      <c r="O63" s="1152"/>
      <c r="P63" s="2624"/>
      <c r="Q63" s="503"/>
    </row>
    <row r="64" spans="1:29" ht="15.75" thickBot="1">
      <c r="A64" s="533"/>
      <c r="B64" s="534"/>
      <c r="C64" s="535">
        <v>100</v>
      </c>
      <c r="D64" s="535"/>
      <c r="E64" s="535"/>
      <c r="F64" s="535"/>
      <c r="G64" s="535"/>
      <c r="H64" s="535"/>
      <c r="I64" s="535"/>
      <c r="J64" s="535"/>
      <c r="K64" s="535"/>
      <c r="L64" s="535"/>
      <c r="M64" s="536"/>
      <c r="N64" s="1153"/>
      <c r="O64" s="1153"/>
      <c r="P64" s="2624"/>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2"/>
      <c r="O65" s="1152"/>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4"/>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4"/>
      <c r="Q67" s="503"/>
    </row>
    <row r="68" spans="1:17" ht="15">
      <c r="A68" s="533"/>
      <c r="B68" s="547"/>
      <c r="C68" s="548"/>
      <c r="D68" s="548"/>
      <c r="E68" s="548"/>
      <c r="F68" s="548"/>
      <c r="G68" s="548"/>
      <c r="H68" s="548"/>
      <c r="I68" s="548"/>
      <c r="J68" s="548"/>
      <c r="K68" s="549"/>
      <c r="L68" s="550"/>
      <c r="M68" s="551"/>
      <c r="N68" s="1152"/>
      <c r="O68" s="1152"/>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4"/>
      <c r="Q69" s="503"/>
    </row>
    <row r="70" spans="1:17" s="470" customFormat="1" ht="15.75" thickTop="1">
      <c r="A70" s="552"/>
      <c r="B70" s="537">
        <f>B12</f>
        <v>111</v>
      </c>
      <c r="C70" s="553"/>
      <c r="D70" s="553"/>
      <c r="E70" s="553"/>
      <c r="F70" s="553"/>
      <c r="G70" s="553"/>
      <c r="H70" s="554"/>
      <c r="I70" s="554"/>
      <c r="J70" s="554"/>
      <c r="K70" s="554"/>
      <c r="L70" s="555"/>
      <c r="M70" s="556"/>
      <c r="N70" s="1154"/>
      <c r="O70" s="1154"/>
      <c r="P70" s="2625"/>
      <c r="Q70" s="558"/>
    </row>
    <row r="71" spans="1:17" s="470" customFormat="1" ht="15.75" thickBot="1">
      <c r="A71" s="552"/>
      <c r="B71" s="542"/>
      <c r="C71" s="559"/>
      <c r="D71" s="535"/>
      <c r="E71" s="535"/>
      <c r="F71" s="535"/>
      <c r="G71" s="535"/>
      <c r="H71" s="535"/>
      <c r="I71" s="535"/>
      <c r="J71" s="535"/>
      <c r="K71" s="535"/>
      <c r="L71" s="535"/>
      <c r="M71" s="536"/>
      <c r="N71" s="1153"/>
      <c r="O71" s="1153"/>
      <c r="P71" s="2625"/>
      <c r="Q71" s="558"/>
    </row>
    <row r="72" spans="1:17" s="470" customFormat="1" ht="15.75" thickTop="1">
      <c r="A72" s="552"/>
      <c r="B72" s="537">
        <f>B13</f>
        <v>111</v>
      </c>
      <c r="C72" s="553"/>
      <c r="D72" s="553"/>
      <c r="E72" s="553"/>
      <c r="F72" s="553"/>
      <c r="G72" s="553"/>
      <c r="H72" s="554"/>
      <c r="I72" s="554"/>
      <c r="J72" s="554"/>
      <c r="K72" s="554"/>
      <c r="L72" s="555"/>
      <c r="M72" s="556"/>
      <c r="N72" s="1154"/>
      <c r="O72" s="1154"/>
      <c r="P72" s="2626"/>
      <c r="Q72" s="560"/>
    </row>
    <row r="73" spans="1:17" s="470" customFormat="1" ht="15.75" thickBot="1">
      <c r="A73" s="552"/>
      <c r="B73" s="542"/>
      <c r="C73" s="559"/>
      <c r="D73" s="535"/>
      <c r="E73" s="535"/>
      <c r="F73" s="535"/>
      <c r="G73" s="559"/>
      <c r="H73" s="561"/>
      <c r="I73" s="561"/>
      <c r="J73" s="561"/>
      <c r="K73" s="561"/>
      <c r="L73" s="561"/>
      <c r="M73" s="562"/>
      <c r="N73" s="1154"/>
      <c r="O73" s="1154"/>
      <c r="P73" s="2625"/>
      <c r="Q73" s="558"/>
    </row>
    <row r="74" spans="1:17" s="470" customFormat="1" ht="15.75" thickTop="1">
      <c r="A74" s="552"/>
      <c r="B74" s="545">
        <f>B14</f>
        <v>111</v>
      </c>
      <c r="C74" s="553"/>
      <c r="D74" s="553"/>
      <c r="E74" s="553"/>
      <c r="F74" s="553"/>
      <c r="G74" s="522"/>
      <c r="H74" s="563"/>
      <c r="I74" s="563"/>
      <c r="J74" s="563"/>
      <c r="K74" s="563"/>
      <c r="L74" s="564"/>
      <c r="M74" s="565"/>
      <c r="N74" s="1154"/>
      <c r="O74" s="1154"/>
      <c r="P74" s="2627"/>
      <c r="Q74" s="558"/>
    </row>
    <row r="75" spans="1:17" s="470" customFormat="1" ht="15.75" thickBot="1">
      <c r="A75" s="567"/>
      <c r="B75" s="568"/>
      <c r="C75" s="569"/>
      <c r="D75" s="569"/>
      <c r="E75" s="569"/>
      <c r="F75" s="569"/>
      <c r="G75" s="569"/>
      <c r="H75" s="570"/>
      <c r="I75" s="570"/>
      <c r="J75" s="570"/>
      <c r="K75" s="570"/>
      <c r="L75" s="570"/>
      <c r="M75" s="571"/>
      <c r="N75" s="1154"/>
      <c r="O75" s="1154"/>
      <c r="P75" s="2625"/>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2"/>
      <c r="O76" s="1152"/>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4"/>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2"/>
      <c r="O78" s="1152"/>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4"/>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2"/>
      <c r="O80" s="1152"/>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4"/>
      <c r="Q81" s="503"/>
    </row>
    <row r="82" spans="1:17" ht="15.75" thickTop="1">
      <c r="A82" s="533"/>
      <c r="B82" s="545" t="s">
        <v>2658</v>
      </c>
      <c r="C82" s="659" t="s">
        <v>2678</v>
      </c>
      <c r="D82" s="659" t="s">
        <v>2679</v>
      </c>
      <c r="E82" s="659" t="s">
        <v>2680</v>
      </c>
      <c r="F82" s="659" t="s">
        <v>2681</v>
      </c>
      <c r="G82" s="659" t="s">
        <v>2682</v>
      </c>
      <c r="H82" s="538"/>
      <c r="I82" s="538"/>
      <c r="J82" s="538"/>
      <c r="K82" s="538"/>
      <c r="L82" s="538"/>
      <c r="M82" s="1382"/>
      <c r="N82" s="1153"/>
      <c r="O82" s="1153"/>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4"/>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2"/>
      <c r="O84" s="1152"/>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4"/>
      <c r="Q85" s="503"/>
    </row>
    <row r="86" spans="1:17" s="116" customFormat="1" ht="15.75" thickTop="1">
      <c r="A86" s="578"/>
      <c r="B86" s="537" t="s">
        <v>2683</v>
      </c>
      <c r="C86" s="553"/>
      <c r="D86" s="553"/>
      <c r="E86" s="553"/>
      <c r="F86" s="553"/>
      <c r="G86" s="553"/>
      <c r="H86" s="553"/>
      <c r="I86" s="553"/>
      <c r="J86" s="553"/>
      <c r="K86" s="553"/>
      <c r="L86" s="579"/>
      <c r="M86" s="580"/>
      <c r="N86" s="1151"/>
      <c r="O86" s="1151"/>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51"/>
      <c r="O88" s="1151"/>
      <c r="P88" s="2624"/>
      <c r="Q88" s="503"/>
    </row>
    <row r="89" spans="1:17" s="116" customFormat="1" ht="15.75" thickBot="1">
      <c r="A89" s="578"/>
      <c r="B89" s="542"/>
      <c r="C89" s="559"/>
      <c r="D89" s="535"/>
      <c r="E89" s="535"/>
      <c r="F89" s="535"/>
      <c r="G89" s="535"/>
      <c r="H89" s="535"/>
      <c r="I89" s="535"/>
      <c r="J89" s="535"/>
      <c r="K89" s="535"/>
      <c r="L89" s="535"/>
      <c r="M89" s="535"/>
      <c r="N89" s="1153"/>
      <c r="O89" s="1153"/>
      <c r="P89" s="2624"/>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25"/>
      <c r="Q91" s="558"/>
    </row>
    <row r="92" spans="1:17" ht="15.75" thickTop="1">
      <c r="A92" s="533"/>
      <c r="B92" s="537" t="str">
        <f>B28</f>
        <v>楼层</v>
      </c>
      <c r="C92" s="553"/>
      <c r="D92" s="553"/>
      <c r="E92" s="553"/>
      <c r="F92" s="553"/>
      <c r="G92" s="553"/>
      <c r="H92" s="553"/>
      <c r="I92" s="553"/>
      <c r="J92" s="553"/>
      <c r="K92" s="553"/>
      <c r="L92" s="579"/>
      <c r="M92" s="580"/>
      <c r="N92" s="1152"/>
      <c r="O92" s="1152"/>
      <c r="P92" s="2624"/>
      <c r="Q92" s="503"/>
    </row>
    <row r="93" spans="1:17" ht="15.75" thickBot="1">
      <c r="A93" s="533"/>
      <c r="B93" s="542"/>
      <c r="C93" s="535"/>
      <c r="D93" s="535"/>
      <c r="E93" s="535"/>
      <c r="F93" s="535"/>
      <c r="G93" s="535"/>
      <c r="H93" s="535"/>
      <c r="I93" s="535"/>
      <c r="J93" s="535"/>
      <c r="K93" s="535"/>
      <c r="L93" s="535"/>
      <c r="M93" s="536"/>
      <c r="N93" s="1153"/>
      <c r="O93" s="1153"/>
      <c r="P93" s="2624"/>
      <c r="Q93" s="503"/>
    </row>
    <row r="94" spans="1:17" ht="15.75" thickTop="1">
      <c r="A94" s="533"/>
      <c r="B94" s="537">
        <f>B29</f>
        <v>111</v>
      </c>
      <c r="C94" s="553"/>
      <c r="D94" s="553"/>
      <c r="E94" s="553"/>
      <c r="F94" s="553"/>
      <c r="G94" s="582"/>
      <c r="H94" s="582"/>
      <c r="I94" s="582"/>
      <c r="J94" s="582"/>
      <c r="K94" s="583"/>
      <c r="L94" s="584"/>
      <c r="M94" s="585"/>
      <c r="N94" s="1152"/>
      <c r="O94" s="1152"/>
      <c r="P94" s="2624"/>
      <c r="Q94" s="503"/>
    </row>
    <row r="95" spans="1:17" ht="15.75" thickBot="1">
      <c r="A95" s="533"/>
      <c r="B95" s="542"/>
      <c r="C95" s="559"/>
      <c r="D95" s="535"/>
      <c r="E95" s="535"/>
      <c r="F95" s="535"/>
      <c r="G95" s="535"/>
      <c r="H95" s="535"/>
      <c r="I95" s="535"/>
      <c r="J95" s="535"/>
      <c r="K95" s="535"/>
      <c r="L95" s="535"/>
      <c r="M95" s="536"/>
      <c r="N95" s="1153"/>
      <c r="O95" s="1153"/>
      <c r="P95" s="2624"/>
      <c r="Q95" s="503"/>
    </row>
    <row r="96" spans="1:17" ht="15.75" thickTop="1">
      <c r="A96" s="533"/>
      <c r="B96" s="537">
        <f>B30</f>
        <v>111</v>
      </c>
      <c r="C96" s="553"/>
      <c r="D96" s="553"/>
      <c r="E96" s="553"/>
      <c r="F96" s="553"/>
      <c r="G96" s="582"/>
      <c r="H96" s="582"/>
      <c r="I96" s="582"/>
      <c r="J96" s="582"/>
      <c r="K96" s="583"/>
      <c r="L96" s="584"/>
      <c r="M96" s="585"/>
      <c r="N96" s="1152"/>
      <c r="O96" s="1152"/>
      <c r="P96" s="2624"/>
      <c r="Q96" s="503"/>
    </row>
    <row r="97" spans="1:17" ht="15.75" thickBot="1">
      <c r="A97" s="533"/>
      <c r="B97" s="542"/>
      <c r="C97" s="559"/>
      <c r="D97" s="535"/>
      <c r="E97" s="535"/>
      <c r="F97" s="535"/>
      <c r="G97" s="535"/>
      <c r="H97" s="535"/>
      <c r="I97" s="535"/>
      <c r="J97" s="535"/>
      <c r="K97" s="535"/>
      <c r="L97" s="535"/>
      <c r="M97" s="536"/>
      <c r="N97" s="1153"/>
      <c r="O97" s="1153"/>
      <c r="P97" s="2624"/>
      <c r="Q97" s="503"/>
    </row>
    <row r="98" spans="1:17" ht="15.75" thickTop="1">
      <c r="A98" s="533"/>
      <c r="B98" s="545">
        <f>B31</f>
        <v>111</v>
      </c>
      <c r="C98" s="553"/>
      <c r="D98" s="553"/>
      <c r="E98" s="553"/>
      <c r="F98" s="553"/>
      <c r="G98" s="586"/>
      <c r="H98" s="586"/>
      <c r="I98" s="586"/>
      <c r="J98" s="586"/>
      <c r="K98" s="587"/>
      <c r="L98" s="588"/>
      <c r="M98" s="589"/>
      <c r="N98" s="1152"/>
      <c r="O98" s="1152"/>
      <c r="P98" s="2624"/>
      <c r="Q98" s="503"/>
    </row>
    <row r="99" spans="1:17" ht="15.75" thickBot="1">
      <c r="A99" s="2630"/>
      <c r="B99" s="568"/>
      <c r="C99" s="569"/>
      <c r="D99" s="569"/>
      <c r="E99" s="569"/>
      <c r="F99" s="569"/>
      <c r="G99" s="590"/>
      <c r="H99" s="590"/>
      <c r="I99" s="590"/>
      <c r="J99" s="590"/>
      <c r="K99" s="590"/>
      <c r="L99" s="590"/>
      <c r="M99" s="591"/>
      <c r="N99" s="1153"/>
      <c r="O99" s="1153"/>
      <c r="P99" s="2624"/>
      <c r="Q99" s="503"/>
    </row>
    <row r="100" spans="1:17">
      <c r="A100" s="526" t="s">
        <v>2566</v>
      </c>
      <c r="B100" s="527" t="s">
        <v>2684</v>
      </c>
      <c r="C100" s="529"/>
      <c r="D100" s="529"/>
      <c r="E100" s="529"/>
      <c r="F100" s="529"/>
      <c r="G100" s="529"/>
      <c r="H100" s="529"/>
      <c r="I100" s="529"/>
      <c r="J100" s="529"/>
      <c r="K100" s="530"/>
      <c r="L100" s="531"/>
      <c r="M100" s="532"/>
      <c r="N100" s="1152"/>
      <c r="O100" s="1152"/>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4"/>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4"/>
      <c r="Q102" s="503"/>
    </row>
    <row r="103" spans="1:17" s="470" customFormat="1">
      <c r="A103" s="592"/>
      <c r="B103" s="593"/>
      <c r="C103" s="594"/>
      <c r="D103" s="594"/>
      <c r="E103" s="594"/>
      <c r="F103" s="594"/>
      <c r="G103" s="594"/>
      <c r="H103" s="594"/>
      <c r="I103" s="594"/>
      <c r="J103" s="595"/>
      <c r="K103" s="595"/>
      <c r="L103" s="596"/>
      <c r="M103" s="597"/>
      <c r="N103" s="1154"/>
      <c r="O103" s="1154"/>
      <c r="P103" s="2625"/>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25"/>
      <c r="Q104" s="558"/>
    </row>
    <row r="105" spans="1:17" ht="15" thickTop="1">
      <c r="A105" s="598"/>
      <c r="B105" s="537" t="s">
        <v>2617</v>
      </c>
      <c r="C105" s="553"/>
      <c r="D105" s="553"/>
      <c r="E105" s="582"/>
      <c r="F105" s="582"/>
      <c r="G105" s="582"/>
      <c r="H105" s="582"/>
      <c r="I105" s="582"/>
      <c r="J105" s="582"/>
      <c r="K105" s="583"/>
      <c r="L105" s="584"/>
      <c r="M105" s="585"/>
      <c r="N105" s="1152"/>
      <c r="O105" s="1152"/>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4"/>
      <c r="Q106" s="503"/>
    </row>
    <row r="107" spans="1:17" ht="15" thickTop="1">
      <c r="A107" s="598"/>
      <c r="B107" s="537" t="s">
        <v>2619</v>
      </c>
      <c r="C107" s="553"/>
      <c r="D107" s="553"/>
      <c r="E107" s="553"/>
      <c r="F107" s="582"/>
      <c r="G107" s="582"/>
      <c r="H107" s="582"/>
      <c r="I107" s="582"/>
      <c r="J107" s="582"/>
      <c r="K107" s="583"/>
      <c r="L107" s="584"/>
      <c r="M107" s="585"/>
      <c r="N107" s="1152"/>
      <c r="O107" s="1152"/>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4"/>
      <c r="Q108" s="503"/>
    </row>
    <row r="109" spans="1:17" ht="15" thickTop="1">
      <c r="A109" s="598"/>
      <c r="B109" s="537" t="s">
        <v>2002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4"/>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4"/>
      <c r="Q111" s="503"/>
    </row>
    <row r="112" spans="1:17" s="470" customFormat="1" ht="15" thickTop="1">
      <c r="A112" s="592"/>
      <c r="B112" s="537" t="s">
        <v>2621</v>
      </c>
      <c r="C112" s="553"/>
      <c r="D112" s="553"/>
      <c r="E112" s="553"/>
      <c r="F112" s="553"/>
      <c r="G112" s="553"/>
      <c r="H112" s="582"/>
      <c r="I112" s="582"/>
      <c r="J112" s="582"/>
      <c r="K112" s="583"/>
      <c r="L112" s="584"/>
      <c r="M112" s="585"/>
      <c r="N112" s="1154"/>
      <c r="O112" s="1154"/>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25"/>
      <c r="Q113" s="558"/>
    </row>
    <row r="114" spans="1:17" ht="15" thickTop="1">
      <c r="A114" s="598"/>
      <c r="B114" s="537" t="s">
        <v>2685</v>
      </c>
      <c r="C114" s="553"/>
      <c r="D114" s="553"/>
      <c r="E114" s="582"/>
      <c r="F114" s="582"/>
      <c r="G114" s="582"/>
      <c r="H114" s="582"/>
      <c r="I114" s="582"/>
      <c r="J114" s="582"/>
      <c r="K114" s="583"/>
      <c r="L114" s="584"/>
      <c r="M114" s="585"/>
      <c r="N114" s="1152"/>
      <c r="O114" s="1152"/>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4"/>
      <c r="Q115" s="503"/>
    </row>
    <row r="116" spans="1:17" ht="15" thickTop="1">
      <c r="A116" s="598"/>
      <c r="B116" s="537" t="s">
        <v>2686</v>
      </c>
      <c r="C116" s="553"/>
      <c r="D116" s="553"/>
      <c r="E116" s="553"/>
      <c r="F116" s="553"/>
      <c r="G116" s="553"/>
      <c r="H116" s="582"/>
      <c r="I116" s="582"/>
      <c r="J116" s="582"/>
      <c r="K116" s="583"/>
      <c r="L116" s="584"/>
      <c r="M116" s="585"/>
      <c r="N116" s="1152"/>
      <c r="O116" s="1152"/>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4"/>
      <c r="Q117" s="503"/>
    </row>
    <row r="118" spans="1:17" ht="15" thickTop="1">
      <c r="A118" s="598"/>
      <c r="B118" s="537" t="s">
        <v>2687</v>
      </c>
      <c r="C118" s="626"/>
      <c r="D118" s="626"/>
      <c r="E118" s="626"/>
      <c r="F118" s="626"/>
      <c r="G118" s="626"/>
      <c r="H118" s="554"/>
      <c r="I118" s="554"/>
      <c r="J118" s="554"/>
      <c r="K118" s="554"/>
      <c r="L118" s="555"/>
      <c r="M118" s="556"/>
      <c r="N118" s="1152"/>
      <c r="O118" s="1152"/>
      <c r="P118" s="2624"/>
      <c r="Q118" s="503"/>
    </row>
    <row r="119" spans="1:17" ht="15.75" thickBot="1">
      <c r="A119" s="533"/>
      <c r="B119" s="542"/>
      <c r="C119" s="559"/>
      <c r="D119" s="535"/>
      <c r="E119" s="535"/>
      <c r="F119" s="535"/>
      <c r="G119" s="535"/>
      <c r="H119" s="535"/>
      <c r="I119" s="535"/>
      <c r="J119" s="535"/>
      <c r="K119" s="535"/>
      <c r="L119" s="535"/>
      <c r="M119" s="536"/>
      <c r="N119" s="1153"/>
      <c r="O119" s="1153"/>
      <c r="P119" s="2624"/>
      <c r="Q119" s="503"/>
    </row>
    <row r="120" spans="1:17" s="470" customFormat="1" ht="15" thickTop="1">
      <c r="A120" s="592"/>
      <c r="B120" s="537" t="s">
        <v>2688</v>
      </c>
      <c r="C120" s="582"/>
      <c r="D120" s="582"/>
      <c r="E120" s="582"/>
      <c r="F120" s="582"/>
      <c r="G120" s="554"/>
      <c r="H120" s="554"/>
      <c r="I120" s="554"/>
      <c r="J120" s="554"/>
      <c r="K120" s="554"/>
      <c r="L120" s="555"/>
      <c r="M120" s="556"/>
      <c r="N120" s="1154"/>
      <c r="O120" s="1154"/>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25"/>
      <c r="Q121" s="558"/>
    </row>
    <row r="122" spans="1:17" ht="15" thickTop="1">
      <c r="A122" s="598"/>
      <c r="B122" s="537" t="s">
        <v>2623</v>
      </c>
      <c r="C122" s="553"/>
      <c r="D122" s="553"/>
      <c r="E122" s="553"/>
      <c r="F122" s="582"/>
      <c r="G122" s="582"/>
      <c r="H122" s="582"/>
      <c r="I122" s="582"/>
      <c r="J122" s="582"/>
      <c r="K122" s="583"/>
      <c r="L122" s="584"/>
      <c r="M122" s="585"/>
      <c r="N122" s="1152"/>
      <c r="O122" s="1152"/>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4"/>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2"/>
      <c r="O124" s="1152"/>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4"/>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5"/>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5"/>
      <c r="Q127" s="558"/>
    </row>
    <row r="128" spans="1:17" ht="15" thickTop="1">
      <c r="A128" s="598"/>
      <c r="B128" s="537">
        <f>B45</f>
        <v>111</v>
      </c>
      <c r="C128" s="553"/>
      <c r="D128" s="553"/>
      <c r="E128" s="553"/>
      <c r="F128" s="553"/>
      <c r="G128" s="582"/>
      <c r="H128" s="582"/>
      <c r="I128" s="582"/>
      <c r="J128" s="582"/>
      <c r="K128" s="583"/>
      <c r="L128" s="584"/>
      <c r="M128" s="585"/>
      <c r="N128" s="1152"/>
      <c r="O128" s="1152"/>
      <c r="P128" s="2624"/>
      <c r="Q128" s="503"/>
    </row>
    <row r="129" spans="1:17" ht="15.75" thickBot="1">
      <c r="A129" s="533"/>
      <c r="B129" s="542"/>
      <c r="C129" s="559"/>
      <c r="D129" s="535"/>
      <c r="E129" s="535"/>
      <c r="F129" s="535"/>
      <c r="G129" s="535"/>
      <c r="H129" s="535"/>
      <c r="I129" s="535"/>
      <c r="J129" s="535"/>
      <c r="K129" s="535"/>
      <c r="L129" s="535"/>
      <c r="M129" s="536"/>
      <c r="N129" s="1153"/>
      <c r="O129" s="1153"/>
      <c r="P129" s="2624"/>
      <c r="Q129" s="503"/>
    </row>
    <row r="130" spans="1:17" ht="15" thickTop="1">
      <c r="A130" s="598"/>
      <c r="B130" s="545">
        <f>B46</f>
        <v>111</v>
      </c>
      <c r="C130" s="553"/>
      <c r="D130" s="553"/>
      <c r="E130" s="553"/>
      <c r="F130" s="553"/>
      <c r="G130" s="586"/>
      <c r="H130" s="586"/>
      <c r="I130" s="586"/>
      <c r="J130" s="586"/>
      <c r="K130" s="522"/>
      <c r="L130" s="523"/>
      <c r="M130" s="589"/>
      <c r="N130" s="1152"/>
      <c r="O130" s="1152"/>
      <c r="P130" s="2624"/>
      <c r="Q130" s="503"/>
    </row>
    <row r="131" spans="1:17" ht="15.75" thickBot="1">
      <c r="A131" s="2630"/>
      <c r="B131" s="568"/>
      <c r="C131" s="569"/>
      <c r="D131" s="569"/>
      <c r="E131" s="569"/>
      <c r="F131" s="569"/>
      <c r="G131" s="590"/>
      <c r="H131" s="590"/>
      <c r="I131" s="590"/>
      <c r="J131" s="590"/>
      <c r="K131" s="590"/>
      <c r="L131" s="590"/>
      <c r="M131" s="591"/>
      <c r="N131" s="1153"/>
      <c r="O131" s="1153"/>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3" t="s">
        <v>2689</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2333</v>
      </c>
      <c r="B2" s="1417" t="e">
        <f ca="1">IF(C2="——",ROUND(C50*D3/10000,0),ROUND(C50*D3/10000,0)-D2)</f>
        <v>#DIV/0!</v>
      </c>
      <c r="C2" s="2582"/>
      <c r="D2" s="1365" t="e">
        <f ca="1">SUMIF(INDIRECT("'"&amp;F2&amp;"'"&amp;"!A:A"),"承租人权益价值",INDIRECT("'"&amp;F2&amp;"'"&amp;"!c:c"))</f>
        <v>#REF!</v>
      </c>
      <c r="E2" s="2583" t="s">
        <v>2334</v>
      </c>
      <c r="F2" s="2584"/>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2335</v>
      </c>
      <c r="B3" s="608" t="e">
        <f ca="1">IF(C2="——",C50,ROUND(B2*10000/D3,0))</f>
        <v>#DIV/0!</v>
      </c>
      <c r="C3" s="399" t="s">
        <v>2647</v>
      </c>
      <c r="D3" s="398">
        <f>IF(D1="",'数据-汇总表'!E3,SUMIF('数据-汇总表'!$C19:$C33,D1,'数据-汇总表'!$E19:$E33))</f>
        <v>64569.140000000007</v>
      </c>
      <c r="E3" s="2657"/>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0" t="s">
        <v>2648</v>
      </c>
      <c r="B4" s="401"/>
      <c r="C4" s="3173" t="s">
        <v>2649</v>
      </c>
      <c r="D4" s="3186"/>
      <c r="E4" s="3187" t="s">
        <v>2650</v>
      </c>
      <c r="F4" s="3188"/>
      <c r="G4" s="3173" t="s">
        <v>2651</v>
      </c>
      <c r="H4" s="3186"/>
      <c r="I4" s="3173" t="s">
        <v>2652</v>
      </c>
      <c r="J4" s="3186"/>
      <c r="K4" s="609" t="s">
        <v>2653</v>
      </c>
      <c r="L4" s="1130"/>
      <c r="M4" s="1131"/>
      <c r="N4" s="1131"/>
      <c r="O4" s="1131"/>
      <c r="P4" s="3257" t="s">
        <v>2654</v>
      </c>
      <c r="Q4" s="3258"/>
      <c r="R4" s="3261" t="s">
        <v>2650</v>
      </c>
      <c r="S4" s="3262"/>
      <c r="T4" s="3261" t="s">
        <v>2651</v>
      </c>
      <c r="U4" s="3262"/>
      <c r="V4" s="3263" t="s">
        <v>2652</v>
      </c>
      <c r="W4" s="3263"/>
      <c r="X4" s="2664"/>
      <c r="Y4" s="3261" t="s">
        <v>2654</v>
      </c>
      <c r="Z4" s="3262"/>
      <c r="AA4" s="3265" t="s">
        <v>2650</v>
      </c>
      <c r="AB4" s="3265" t="s">
        <v>2651</v>
      </c>
      <c r="AC4" s="3254" t="s">
        <v>2652</v>
      </c>
    </row>
    <row r="5" spans="1:29" ht="15">
      <c r="A5" s="403"/>
      <c r="B5" s="404"/>
      <c r="C5" s="3208" t="s">
        <v>2545</v>
      </c>
      <c r="D5" s="3204"/>
      <c r="E5" s="3250" t="s">
        <v>2546</v>
      </c>
      <c r="F5" s="3213"/>
      <c r="G5" s="3208" t="s">
        <v>2547</v>
      </c>
      <c r="H5" s="3204"/>
      <c r="I5" s="3208" t="s">
        <v>2548</v>
      </c>
      <c r="J5" s="3204"/>
      <c r="K5" s="609"/>
      <c r="L5" s="1130"/>
      <c r="M5" s="1131"/>
      <c r="N5" s="1131"/>
      <c r="O5" s="1131"/>
      <c r="P5" s="3259"/>
      <c r="Q5" s="3192"/>
      <c r="R5" s="3197"/>
      <c r="S5" s="3198"/>
      <c r="T5" s="3197"/>
      <c r="U5" s="3198"/>
      <c r="V5" s="3182"/>
      <c r="W5" s="3182"/>
      <c r="X5" s="1812"/>
      <c r="Y5" s="3197"/>
      <c r="Z5" s="3198"/>
      <c r="AA5" s="3184"/>
      <c r="AB5" s="3184"/>
      <c r="AC5" s="3255"/>
    </row>
    <row r="6" spans="1:29" ht="15.75" thickBot="1">
      <c r="A6" s="405"/>
      <c r="B6" s="406"/>
      <c r="C6" s="3209" t="s">
        <v>2549</v>
      </c>
      <c r="D6" s="3202"/>
      <c r="E6" s="3249" t="s">
        <v>2549</v>
      </c>
      <c r="F6" s="3211"/>
      <c r="G6" s="3209" t="s">
        <v>2549</v>
      </c>
      <c r="H6" s="3202"/>
      <c r="I6" s="3209" t="s">
        <v>2549</v>
      </c>
      <c r="J6" s="3202"/>
      <c r="K6" s="609" t="s">
        <v>2550</v>
      </c>
      <c r="L6" s="1130"/>
      <c r="M6" s="1131"/>
      <c r="N6" s="1131"/>
      <c r="O6" s="1131"/>
      <c r="P6" s="3260"/>
      <c r="Q6" s="3194"/>
      <c r="R6" s="3197"/>
      <c r="S6" s="3198"/>
      <c r="T6" s="3199"/>
      <c r="U6" s="3200"/>
      <c r="V6" s="3182"/>
      <c r="W6" s="3182"/>
      <c r="X6" s="1812"/>
      <c r="Y6" s="3199"/>
      <c r="Z6" s="3200"/>
      <c r="AA6" s="3185"/>
      <c r="AB6" s="3185"/>
      <c r="AC6" s="3256"/>
    </row>
    <row r="7" spans="1:29" s="116" customFormat="1" ht="15.75" thickBot="1">
      <c r="A7" s="407" t="s">
        <v>2551</v>
      </c>
      <c r="B7" s="408"/>
      <c r="C7" s="409">
        <f>'数据-取费表'!B2</f>
        <v>43056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64" t="s">
        <v>2552</v>
      </c>
      <c r="Q7" s="3207"/>
      <c r="R7" s="768" t="s">
        <v>17</v>
      </c>
      <c r="S7" s="769">
        <f t="shared" ref="S7:S15" si="0">F7</f>
        <v>0</v>
      </c>
      <c r="T7" s="768" t="s">
        <v>17</v>
      </c>
      <c r="U7" s="769">
        <f t="shared" ref="U7:U15" si="1">H7</f>
        <v>0</v>
      </c>
      <c r="V7" s="768" t="s">
        <v>17</v>
      </c>
      <c r="W7" s="769">
        <f t="shared" ref="W7:W15" si="2">J7</f>
        <v>0</v>
      </c>
      <c r="X7" s="770"/>
      <c r="Y7" s="3205" t="s">
        <v>2552</v>
      </c>
      <c r="Z7" s="3206"/>
      <c r="AA7" s="771" t="e">
        <f>D7/F7</f>
        <v>#DIV/0!</v>
      </c>
      <c r="AB7" s="771" t="e">
        <f>D7/H7</f>
        <v>#DIV/0!</v>
      </c>
      <c r="AC7" s="2665"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64" t="s">
        <v>2555</v>
      </c>
      <c r="Q8" s="3206"/>
      <c r="R8" s="768" t="s">
        <v>17</v>
      </c>
      <c r="S8" s="769">
        <f t="shared" si="0"/>
        <v>0</v>
      </c>
      <c r="T8" s="768" t="s">
        <v>17</v>
      </c>
      <c r="U8" s="769">
        <f t="shared" si="1"/>
        <v>0</v>
      </c>
      <c r="V8" s="768" t="s">
        <v>17</v>
      </c>
      <c r="W8" s="769">
        <f t="shared" si="2"/>
        <v>0</v>
      </c>
      <c r="X8" s="770"/>
      <c r="Y8" s="3205" t="s">
        <v>2555</v>
      </c>
      <c r="Z8" s="3206"/>
      <c r="AA8" s="771" t="e">
        <f t="shared" ref="AA8:AA47" si="3">D8/F8</f>
        <v>#DIV/0!</v>
      </c>
      <c r="AB8" s="771" t="e">
        <f t="shared" ref="AB8:AB47" si="4">D8/H8</f>
        <v>#DIV/0!</v>
      </c>
      <c r="AC8" s="2665" t="e">
        <f t="shared" ref="AC8:AC47" si="5">D8/J8</f>
        <v>#DIV/0!</v>
      </c>
    </row>
    <row r="9" spans="1:29" s="116" customFormat="1">
      <c r="A9" s="414" t="s">
        <v>2556</v>
      </c>
      <c r="B9" s="70" t="s">
        <v>2557</v>
      </c>
      <c r="C9" s="415"/>
      <c r="D9" s="133">
        <v>100</v>
      </c>
      <c r="E9" s="418"/>
      <c r="F9" s="133">
        <f>SUMIF(64:64,E9,65:65)-SUMIF(64:64,C9,65:65)+100</f>
        <v>100</v>
      </c>
      <c r="G9" s="416"/>
      <c r="H9" s="133">
        <f>SUMIF(64:64,G9,65:65)-SUMIF(64:64,C9,65:65)+100</f>
        <v>100</v>
      </c>
      <c r="I9" s="416"/>
      <c r="J9" s="133">
        <f>SUMIF(64:64,I9,65:65)-SUMIF(64:64,C9,65:65)+100</f>
        <v>100</v>
      </c>
      <c r="K9" s="610"/>
      <c r="L9" s="1132"/>
      <c r="M9" s="1133"/>
      <c r="N9" s="1133"/>
      <c r="O9" s="1133"/>
      <c r="P9" s="3175" t="s">
        <v>2558</v>
      </c>
      <c r="Q9" s="1794" t="str">
        <f t="shared" ref="Q9:Q15" si="6">B9</f>
        <v>用途</v>
      </c>
      <c r="R9" s="768" t="s">
        <v>17</v>
      </c>
      <c r="S9" s="769">
        <f t="shared" si="0"/>
        <v>100</v>
      </c>
      <c r="T9" s="768" t="s">
        <v>17</v>
      </c>
      <c r="U9" s="769">
        <f t="shared" si="1"/>
        <v>100</v>
      </c>
      <c r="V9" s="768" t="s">
        <v>17</v>
      </c>
      <c r="W9" s="769">
        <f t="shared" si="2"/>
        <v>100</v>
      </c>
      <c r="X9" s="770"/>
      <c r="Y9" s="3024" t="s">
        <v>2559</v>
      </c>
      <c r="Z9" s="54" t="str">
        <f t="shared" ref="Z9:Z15" si="7">Q9</f>
        <v>用途</v>
      </c>
      <c r="AA9" s="771">
        <f t="shared" si="3"/>
        <v>1</v>
      </c>
      <c r="AB9" s="771">
        <f t="shared" si="4"/>
        <v>1</v>
      </c>
      <c r="AC9" s="2665">
        <f t="shared" si="5"/>
        <v>1</v>
      </c>
    </row>
    <row r="10" spans="1:29" s="426" customFormat="1" ht="27">
      <c r="A10" s="420"/>
      <c r="B10" s="421" t="s">
        <v>2560</v>
      </c>
      <c r="C10" s="422"/>
      <c r="D10" s="134">
        <v>100</v>
      </c>
      <c r="E10" s="422"/>
      <c r="F10" s="134">
        <f>SUMIF(66:66,E10,67:67)-SUMIF(66:66,C10,67:67)+100</f>
        <v>100</v>
      </c>
      <c r="G10" s="423"/>
      <c r="H10" s="134">
        <f>SUMIF(66:66,G10,67:67)-SUMIF(66:66,C10,67:67)+100</f>
        <v>100</v>
      </c>
      <c r="I10" s="422"/>
      <c r="J10" s="134">
        <f>SUMIF(66:66,I10,67:67)-SUMIF(66:66,C10,67:67)+100</f>
        <v>100</v>
      </c>
      <c r="K10" s="611"/>
      <c r="L10" s="1135"/>
      <c r="M10" s="1136"/>
      <c r="N10" s="1136"/>
      <c r="O10" s="1136"/>
      <c r="P10" s="3175"/>
      <c r="Q10" s="1794"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2665">
        <f t="shared" si="5"/>
        <v>1</v>
      </c>
    </row>
    <row r="11" spans="1:29" ht="15">
      <c r="A11" s="427"/>
      <c r="B11" s="421" t="s">
        <v>2561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8"/>
      <c r="M11" s="1131"/>
      <c r="N11" s="1131"/>
      <c r="O11" s="1131"/>
      <c r="P11" s="3175"/>
      <c r="Q11" s="1794"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2665" t="e">
        <f t="shared" si="5"/>
        <v>#N/A</v>
      </c>
    </row>
    <row r="12" spans="1:29" s="116" customFormat="1" ht="15">
      <c r="A12" s="430"/>
      <c r="B12" s="2596">
        <v>111</v>
      </c>
      <c r="C12" s="431"/>
      <c r="D12" s="432">
        <v>100</v>
      </c>
      <c r="E12" s="431"/>
      <c r="F12" s="134">
        <f>SUMIF(71:71,E12,72:72)-SUMIF(71:71,C12,72:72)+100</f>
        <v>100</v>
      </c>
      <c r="G12" s="2666"/>
      <c r="H12" s="134">
        <f>SUMIF(71:71,G12,72:72)-SUMIF(71:71,C12,72:72)+100</f>
        <v>100</v>
      </c>
      <c r="I12" s="431"/>
      <c r="J12" s="134">
        <f>SUMIF(71:71,I12,72:72)-SUMIF(71:71,C12,72:72)+100</f>
        <v>100</v>
      </c>
      <c r="K12" s="612"/>
      <c r="L12" s="1132"/>
      <c r="M12" s="1133"/>
      <c r="N12" s="1133"/>
      <c r="O12" s="1133"/>
      <c r="P12" s="3175"/>
      <c r="Q12" s="1794">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2665">
        <f>D12/J12</f>
        <v>1</v>
      </c>
    </row>
    <row r="13" spans="1:29" ht="15">
      <c r="A13" s="427"/>
      <c r="B13" s="2596">
        <v>111</v>
      </c>
      <c r="C13" s="433"/>
      <c r="D13" s="434">
        <v>100</v>
      </c>
      <c r="E13" s="431"/>
      <c r="F13" s="134">
        <f>SUMIF(73:73,E13,74:74)-SUMIF(73:73,C13,74:74)+100</f>
        <v>100</v>
      </c>
      <c r="G13" s="2666"/>
      <c r="H13" s="434">
        <f>SUMIF(73:73,G13,74:74)-SUMIF(73:73,C13,74:74)+100</f>
        <v>100</v>
      </c>
      <c r="I13" s="431"/>
      <c r="J13" s="434">
        <f>SUMIF(73:73,I13,74:74)-SUMIF(73:73,C13,74:74)+100</f>
        <v>100</v>
      </c>
      <c r="K13" s="612"/>
      <c r="L13" s="1140"/>
      <c r="M13" s="1131"/>
      <c r="N13" s="1131"/>
      <c r="O13" s="1131"/>
      <c r="P13" s="3175"/>
      <c r="Q13" s="1794">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40"/>
      <c r="M14" s="1131"/>
      <c r="N14" s="1131"/>
      <c r="O14" s="1131"/>
      <c r="P14" s="3175"/>
      <c r="Q14" s="1794">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2665">
        <f t="shared" si="5"/>
        <v>1</v>
      </c>
    </row>
    <row r="15" spans="1:29" ht="71.25">
      <c r="A15" s="439" t="s">
        <v>2562</v>
      </c>
      <c r="B15" s="628" t="s">
        <v>2690</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19" t="s">
        <v>2563</v>
      </c>
      <c r="Q15" s="1809" t="str">
        <f t="shared" si="6"/>
        <v>办公集聚程度</v>
      </c>
      <c r="R15" s="772" t="s">
        <v>17</v>
      </c>
      <c r="S15" s="773">
        <f t="shared" si="0"/>
        <v>100</v>
      </c>
      <c r="T15" s="772" t="s">
        <v>17</v>
      </c>
      <c r="U15" s="773">
        <f t="shared" si="1"/>
        <v>100</v>
      </c>
      <c r="V15" s="772" t="s">
        <v>17</v>
      </c>
      <c r="W15" s="773">
        <f t="shared" si="2"/>
        <v>100</v>
      </c>
      <c r="X15" s="1812"/>
      <c r="Y15" s="3178" t="s">
        <v>2563</v>
      </c>
      <c r="Z15" s="1813" t="str">
        <f t="shared" si="7"/>
        <v>办公集聚程度</v>
      </c>
      <c r="AA15" s="1810">
        <f t="shared" si="3"/>
        <v>1</v>
      </c>
      <c r="AB15" s="1810">
        <f t="shared" si="4"/>
        <v>1</v>
      </c>
      <c r="AC15" s="2668">
        <f t="shared" si="5"/>
        <v>1</v>
      </c>
    </row>
    <row r="16" spans="1:29" ht="15">
      <c r="A16" s="427"/>
      <c r="B16" s="629"/>
      <c r="C16" s="2607"/>
      <c r="D16" s="447"/>
      <c r="E16" s="446"/>
      <c r="F16" s="447"/>
      <c r="G16" s="2607"/>
      <c r="H16" s="449"/>
      <c r="I16" s="446"/>
      <c r="J16" s="447"/>
      <c r="K16" s="614"/>
      <c r="L16" s="1140"/>
      <c r="M16" s="1131"/>
      <c r="N16" s="1131"/>
      <c r="O16" s="1131"/>
      <c r="P16" s="3220"/>
      <c r="Q16" s="1809"/>
      <c r="R16" s="772"/>
      <c r="S16" s="773"/>
      <c r="T16" s="772"/>
      <c r="U16" s="773"/>
      <c r="V16" s="772"/>
      <c r="W16" s="773"/>
      <c r="X16" s="1812"/>
      <c r="Y16" s="3179"/>
      <c r="Z16" s="1813"/>
      <c r="AA16" s="1810">
        <v>1</v>
      </c>
      <c r="AB16" s="1810">
        <v>1</v>
      </c>
      <c r="AC16" s="2668">
        <v>1</v>
      </c>
    </row>
    <row r="17" spans="1:29" ht="71.25">
      <c r="A17" s="427"/>
      <c r="B17" s="630" t="s">
        <v>2103</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20"/>
      <c r="Q17" s="1809" t="str">
        <f>B17</f>
        <v>交通便捷度</v>
      </c>
      <c r="R17" s="772" t="s">
        <v>17</v>
      </c>
      <c r="S17" s="773">
        <f>F17</f>
        <v>100</v>
      </c>
      <c r="T17" s="772" t="s">
        <v>17</v>
      </c>
      <c r="U17" s="773">
        <f>H17</f>
        <v>100</v>
      </c>
      <c r="V17" s="772" t="s">
        <v>17</v>
      </c>
      <c r="W17" s="773">
        <f>J17</f>
        <v>100</v>
      </c>
      <c r="X17" s="1812"/>
      <c r="Y17" s="3179"/>
      <c r="Z17" s="1813" t="str">
        <f>Q17</f>
        <v>交通便捷度</v>
      </c>
      <c r="AA17" s="1810">
        <f t="shared" si="3"/>
        <v>1</v>
      </c>
      <c r="AB17" s="1810">
        <f t="shared" si="4"/>
        <v>1</v>
      </c>
      <c r="AC17" s="2668">
        <f t="shared" si="5"/>
        <v>1</v>
      </c>
    </row>
    <row r="18" spans="1:29" ht="15">
      <c r="A18" s="427"/>
      <c r="B18" s="631"/>
      <c r="C18" s="2670"/>
      <c r="D18" s="449"/>
      <c r="E18" s="2605"/>
      <c r="F18" s="449"/>
      <c r="G18" s="2606"/>
      <c r="H18" s="447"/>
      <c r="I18" s="2606"/>
      <c r="J18" s="447"/>
      <c r="K18" s="614"/>
      <c r="L18" s="1140"/>
      <c r="M18" s="1131"/>
      <c r="N18" s="1131"/>
      <c r="O18" s="1131"/>
      <c r="P18" s="3220"/>
      <c r="Q18" s="1809"/>
      <c r="R18" s="772"/>
      <c r="S18" s="773"/>
      <c r="T18" s="772"/>
      <c r="U18" s="773"/>
      <c r="V18" s="772"/>
      <c r="W18" s="773"/>
      <c r="X18" s="1812"/>
      <c r="Y18" s="3179"/>
      <c r="Z18" s="1813"/>
      <c r="AA18" s="1810">
        <v>1</v>
      </c>
      <c r="AB18" s="1810">
        <v>1</v>
      </c>
      <c r="AC18" s="2668">
        <v>1</v>
      </c>
    </row>
    <row r="19" spans="1:29" ht="42.75">
      <c r="A19" s="427"/>
      <c r="B19" s="630" t="s">
        <v>2691</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20"/>
      <c r="Q19" s="1809" t="str">
        <f>B19</f>
        <v>公共配套设施</v>
      </c>
      <c r="R19" s="772" t="s">
        <v>17</v>
      </c>
      <c r="S19" s="773">
        <f>F19</f>
        <v>100</v>
      </c>
      <c r="T19" s="772" t="s">
        <v>17</v>
      </c>
      <c r="U19" s="773">
        <f>H19</f>
        <v>100</v>
      </c>
      <c r="V19" s="772" t="s">
        <v>17</v>
      </c>
      <c r="W19" s="773">
        <f>J19</f>
        <v>100</v>
      </c>
      <c r="X19" s="1812"/>
      <c r="Y19" s="3179"/>
      <c r="Z19" s="1813" t="str">
        <f>Q19</f>
        <v>公共配套设施</v>
      </c>
      <c r="AA19" s="1810">
        <f t="shared" si="3"/>
        <v>1</v>
      </c>
      <c r="AB19" s="1810">
        <f t="shared" si="4"/>
        <v>1</v>
      </c>
      <c r="AC19" s="2668">
        <f t="shared" si="5"/>
        <v>1</v>
      </c>
    </row>
    <row r="20" spans="1:29" ht="15">
      <c r="A20" s="427"/>
      <c r="B20" s="631"/>
      <c r="C20" s="2607"/>
      <c r="D20" s="447"/>
      <c r="E20" s="2600"/>
      <c r="F20" s="447"/>
      <c r="G20" s="2601"/>
      <c r="H20" s="447"/>
      <c r="I20" s="2601"/>
      <c r="J20" s="447"/>
      <c r="K20" s="614"/>
      <c r="L20" s="1140"/>
      <c r="M20" s="1131"/>
      <c r="N20" s="1131"/>
      <c r="O20" s="1131"/>
      <c r="P20" s="3220"/>
      <c r="Q20" s="1809"/>
      <c r="R20" s="772"/>
      <c r="S20" s="773"/>
      <c r="T20" s="772"/>
      <c r="U20" s="773"/>
      <c r="V20" s="772"/>
      <c r="W20" s="773"/>
      <c r="X20" s="1812"/>
      <c r="Y20" s="3179"/>
      <c r="Z20" s="1813"/>
      <c r="AA20" s="1810">
        <v>1</v>
      </c>
      <c r="AB20" s="1810">
        <v>1</v>
      </c>
      <c r="AC20" s="2668">
        <v>1</v>
      </c>
    </row>
    <row r="21" spans="1:29" ht="28.5">
      <c r="A21" s="427"/>
      <c r="B21" s="632" t="s">
        <v>2692</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20"/>
      <c r="Q21" s="1809" t="str">
        <f>B21</f>
        <v>基础设施水平</v>
      </c>
      <c r="R21" s="772" t="s">
        <v>17</v>
      </c>
      <c r="S21" s="773">
        <f>F21</f>
        <v>100</v>
      </c>
      <c r="T21" s="772" t="s">
        <v>17</v>
      </c>
      <c r="U21" s="773">
        <f>H21</f>
        <v>100</v>
      </c>
      <c r="V21" s="772" t="s">
        <v>17</v>
      </c>
      <c r="W21" s="773">
        <f>J21</f>
        <v>100</v>
      </c>
      <c r="X21" s="1812"/>
      <c r="Y21" s="3179"/>
      <c r="Z21" s="1813" t="str">
        <f>Q21</f>
        <v>基础设施水平</v>
      </c>
      <c r="AA21" s="1810">
        <f t="shared" ref="AA21" si="8">D21/F21</f>
        <v>1</v>
      </c>
      <c r="AB21" s="1810">
        <f t="shared" ref="AB21" si="9">D21/H21</f>
        <v>1</v>
      </c>
      <c r="AC21" s="2668">
        <f t="shared" ref="AC21" si="10">D21/J21</f>
        <v>1</v>
      </c>
    </row>
    <row r="22" spans="1:29" ht="15">
      <c r="A22" s="427"/>
      <c r="B22" s="632"/>
      <c r="C22" s="2670"/>
      <c r="D22" s="447"/>
      <c r="E22" s="446"/>
      <c r="F22" s="447"/>
      <c r="G22" s="2607"/>
      <c r="H22" s="447"/>
      <c r="I22" s="2607"/>
      <c r="J22" s="447"/>
      <c r="K22" s="1383"/>
      <c r="L22" s="1140"/>
      <c r="M22" s="1131"/>
      <c r="N22" s="1131"/>
      <c r="O22" s="1131"/>
      <c r="P22" s="3220"/>
      <c r="Q22" s="1809"/>
      <c r="R22" s="772"/>
      <c r="S22" s="773"/>
      <c r="T22" s="772"/>
      <c r="U22" s="773"/>
      <c r="V22" s="772"/>
      <c r="W22" s="773"/>
      <c r="X22" s="1812"/>
      <c r="Y22" s="3179"/>
      <c r="Z22" s="1813"/>
      <c r="AA22" s="1810">
        <v>1</v>
      </c>
      <c r="AB22" s="1810">
        <v>1</v>
      </c>
      <c r="AC22" s="2668">
        <v>1</v>
      </c>
    </row>
    <row r="23" spans="1:29" ht="42.75">
      <c r="A23" s="427"/>
      <c r="B23" s="630" t="s">
        <v>2693</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20"/>
      <c r="Q23" s="1809" t="str">
        <f>B23</f>
        <v>环境质量</v>
      </c>
      <c r="R23" s="772" t="s">
        <v>17</v>
      </c>
      <c r="S23" s="773">
        <f>F23</f>
        <v>100</v>
      </c>
      <c r="T23" s="772" t="s">
        <v>17</v>
      </c>
      <c r="U23" s="773">
        <f>H23</f>
        <v>100</v>
      </c>
      <c r="V23" s="772" t="s">
        <v>17</v>
      </c>
      <c r="W23" s="773">
        <f>J23</f>
        <v>100</v>
      </c>
      <c r="X23" s="1812"/>
      <c r="Y23" s="3179"/>
      <c r="Z23" s="1813" t="str">
        <f>Q23</f>
        <v>环境质量</v>
      </c>
      <c r="AA23" s="1810">
        <f t="shared" si="3"/>
        <v>1</v>
      </c>
      <c r="AB23" s="1810">
        <f t="shared" si="4"/>
        <v>1</v>
      </c>
      <c r="AC23" s="2668">
        <f t="shared" si="5"/>
        <v>1</v>
      </c>
    </row>
    <row r="24" spans="1:29" ht="15">
      <c r="A24" s="427"/>
      <c r="B24" s="632"/>
      <c r="C24" s="2607"/>
      <c r="D24" s="447"/>
      <c r="E24" s="2600"/>
      <c r="F24" s="447"/>
      <c r="G24" s="2601"/>
      <c r="H24" s="447"/>
      <c r="I24" s="2601"/>
      <c r="J24" s="447"/>
      <c r="K24" s="614"/>
      <c r="L24" s="1140"/>
      <c r="M24" s="1131"/>
      <c r="N24" s="1131"/>
      <c r="O24" s="1131"/>
      <c r="P24" s="3220"/>
      <c r="Q24" s="1809"/>
      <c r="R24" s="772"/>
      <c r="S24" s="773"/>
      <c r="T24" s="772"/>
      <c r="U24" s="773"/>
      <c r="V24" s="772"/>
      <c r="W24" s="773"/>
      <c r="X24" s="1812"/>
      <c r="Y24" s="3179"/>
      <c r="Z24" s="1813"/>
      <c r="AA24" s="1810">
        <v>1</v>
      </c>
      <c r="AB24" s="1810">
        <v>1</v>
      </c>
      <c r="AC24" s="2668">
        <v>1</v>
      </c>
    </row>
    <row r="25" spans="1:29" ht="27">
      <c r="A25" s="403"/>
      <c r="B25" s="630" t="s">
        <v>2694</v>
      </c>
      <c r="C25" s="2611"/>
      <c r="D25" s="434">
        <v>100</v>
      </c>
      <c r="E25" s="433"/>
      <c r="F25" s="434">
        <f>SUMIF(87:87,E26,88:88)-SUMIF(87:87,C26,88:88)+100</f>
        <v>100</v>
      </c>
      <c r="G25" s="2611"/>
      <c r="H25" s="434">
        <f>SUMIF(87:87,G26,88:88)-SUMIF(87:87,C26,88:88)+100</f>
        <v>100</v>
      </c>
      <c r="I25" s="433"/>
      <c r="J25" s="434">
        <f>SUMIF(87:87,I26,88:88)-SUMIF(87:87,C26,88:88)+100</f>
        <v>100</v>
      </c>
      <c r="K25" s="613"/>
      <c r="L25" s="1140"/>
      <c r="M25" s="1131"/>
      <c r="N25" s="1131"/>
      <c r="O25" s="1131"/>
      <c r="P25" s="3220"/>
      <c r="Q25" s="1809" t="str">
        <f>B25</f>
        <v>毗邻道路的类型与等级</v>
      </c>
      <c r="R25" s="772" t="s">
        <v>17</v>
      </c>
      <c r="S25" s="773">
        <f>F25</f>
        <v>100</v>
      </c>
      <c r="T25" s="772" t="s">
        <v>17</v>
      </c>
      <c r="U25" s="773">
        <f>H25</f>
        <v>100</v>
      </c>
      <c r="V25" s="772" t="s">
        <v>17</v>
      </c>
      <c r="W25" s="773">
        <f>J25</f>
        <v>100</v>
      </c>
      <c r="X25" s="1812"/>
      <c r="Y25" s="3179"/>
      <c r="Z25" s="1813" t="str">
        <f>Q25</f>
        <v>毗邻道路的类型与等级</v>
      </c>
      <c r="AA25" s="1810">
        <f t="shared" si="3"/>
        <v>1</v>
      </c>
      <c r="AB25" s="1810">
        <f t="shared" si="4"/>
        <v>1</v>
      </c>
      <c r="AC25" s="2668">
        <f t="shared" si="5"/>
        <v>1</v>
      </c>
    </row>
    <row r="26" spans="1:29" ht="15">
      <c r="A26" s="403"/>
      <c r="B26" s="631"/>
      <c r="C26" s="633"/>
      <c r="D26" s="434"/>
      <c r="E26" s="615"/>
      <c r="F26" s="434"/>
      <c r="G26" s="633"/>
      <c r="H26" s="434"/>
      <c r="I26" s="615"/>
      <c r="J26" s="434"/>
      <c r="K26" s="614"/>
      <c r="L26" s="1140"/>
      <c r="M26" s="1131"/>
      <c r="N26" s="1131"/>
      <c r="O26" s="1131"/>
      <c r="P26" s="3220"/>
      <c r="Q26" s="1809"/>
      <c r="R26" s="772"/>
      <c r="S26" s="773"/>
      <c r="T26" s="772"/>
      <c r="U26" s="773"/>
      <c r="V26" s="772"/>
      <c r="W26" s="773"/>
      <c r="X26" s="1812"/>
      <c r="Y26" s="3179"/>
      <c r="Z26" s="1813"/>
      <c r="AA26" s="1810">
        <v>1</v>
      </c>
      <c r="AB26" s="1810">
        <v>1</v>
      </c>
      <c r="AC26" s="2668">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220"/>
      <c r="Q27" s="1809" t="str">
        <f t="shared" ref="Q27:Q47" si="11">B27</f>
        <v>楼层</v>
      </c>
      <c r="R27" s="772" t="s">
        <v>17</v>
      </c>
      <c r="S27" s="773">
        <f>F27</f>
        <v>100</v>
      </c>
      <c r="T27" s="772" t="s">
        <v>17</v>
      </c>
      <c r="U27" s="773">
        <f>H27</f>
        <v>100</v>
      </c>
      <c r="V27" s="772" t="s">
        <v>17</v>
      </c>
      <c r="W27" s="773">
        <f>J27</f>
        <v>100</v>
      </c>
      <c r="X27" s="1812"/>
      <c r="Y27" s="3179"/>
      <c r="Z27" s="1813" t="str">
        <f>Q27</f>
        <v>楼层</v>
      </c>
      <c r="AA27" s="1810">
        <f t="shared" si="3"/>
        <v>1</v>
      </c>
      <c r="AB27" s="1810">
        <f t="shared" si="4"/>
        <v>1</v>
      </c>
      <c r="AC27" s="2668">
        <f t="shared" si="5"/>
        <v>1</v>
      </c>
    </row>
    <row r="28" spans="1:29" s="116" customFormat="1" ht="15">
      <c r="A28" s="430"/>
      <c r="B28" s="630" t="s">
        <v>2695</v>
      </c>
      <c r="C28" s="2671"/>
      <c r="D28" s="461">
        <v>100</v>
      </c>
      <c r="E28" s="2659"/>
      <c r="F28" s="461">
        <f>SUMIF(91:91,E28,92:92)-SUMIF(91:91,C28,92:92)+100</f>
        <v>100</v>
      </c>
      <c r="G28" s="2671"/>
      <c r="H28" s="461">
        <f>SUMIF(91:91,G28,92:92)-SUMIF(91:91,C28,92:92)+100</f>
        <v>100</v>
      </c>
      <c r="I28" s="2659"/>
      <c r="J28" s="461">
        <f>SUMIF(91:91,I28,92:92)-SUMIF(91:91,C28,92:92)+100</f>
        <v>100</v>
      </c>
      <c r="K28" s="611"/>
      <c r="L28" s="1132"/>
      <c r="M28" s="1133"/>
      <c r="N28" s="1133"/>
      <c r="O28" s="1133"/>
      <c r="P28" s="3220"/>
      <c r="Q28" s="1794" t="str">
        <f t="shared" si="11"/>
        <v>朝向</v>
      </c>
      <c r="R28" s="768" t="s">
        <v>17</v>
      </c>
      <c r="S28" s="769">
        <f>F28</f>
        <v>100</v>
      </c>
      <c r="T28" s="768" t="s">
        <v>17</v>
      </c>
      <c r="U28" s="769">
        <f>H28</f>
        <v>100</v>
      </c>
      <c r="V28" s="768" t="s">
        <v>17</v>
      </c>
      <c r="W28" s="769">
        <f>J28</f>
        <v>100</v>
      </c>
      <c r="X28" s="770"/>
      <c r="Y28" s="3179"/>
      <c r="Z28" s="54" t="str">
        <f>Q28</f>
        <v>朝向</v>
      </c>
      <c r="AA28" s="1810">
        <f>D28/F28</f>
        <v>1</v>
      </c>
      <c r="AB28" s="1810">
        <f>D28/H28</f>
        <v>1</v>
      </c>
      <c r="AC28" s="2668">
        <f>D28/J28</f>
        <v>1</v>
      </c>
    </row>
    <row r="29" spans="1:29" ht="15">
      <c r="A29" s="427"/>
      <c r="B29" s="2672">
        <v>111</v>
      </c>
      <c r="C29" s="2611"/>
      <c r="D29" s="434">
        <v>100</v>
      </c>
      <c r="E29" s="431"/>
      <c r="F29" s="434">
        <f>SUMIF(93:93,E29,94:94)-SUMIF(93:93,C29,94:94)+100</f>
        <v>100</v>
      </c>
      <c r="G29" s="2666"/>
      <c r="H29" s="434">
        <f>SUMIF(93:93,G29,94:94)-SUMIF(93:93,C29,94:94)+100</f>
        <v>100</v>
      </c>
      <c r="I29" s="431"/>
      <c r="J29" s="434">
        <f>SUMIF(93:93,I29,94:94)-SUMIF(93:93,C29,94:94)+100</f>
        <v>100</v>
      </c>
      <c r="K29" s="612"/>
      <c r="L29" s="1140"/>
      <c r="M29" s="1131"/>
      <c r="N29" s="1131"/>
      <c r="O29" s="1131"/>
      <c r="P29" s="3220"/>
      <c r="Q29" s="1809">
        <f t="shared" si="11"/>
        <v>111</v>
      </c>
      <c r="R29" s="772" t="s">
        <v>17</v>
      </c>
      <c r="S29" s="773">
        <f t="shared" ref="S29:S47" si="12">F29</f>
        <v>100</v>
      </c>
      <c r="T29" s="772" t="s">
        <v>17</v>
      </c>
      <c r="U29" s="773">
        <f t="shared" ref="U29:U47" si="13">H29</f>
        <v>100</v>
      </c>
      <c r="V29" s="772" t="s">
        <v>17</v>
      </c>
      <c r="W29" s="773">
        <f t="shared" ref="W29:W47" si="14">J29</f>
        <v>100</v>
      </c>
      <c r="X29" s="1812"/>
      <c r="Y29" s="3179"/>
      <c r="Z29" s="1813">
        <f t="shared" ref="Z29:Z47" si="15">Q29</f>
        <v>111</v>
      </c>
      <c r="AA29" s="1810">
        <f t="shared" si="3"/>
        <v>1</v>
      </c>
      <c r="AB29" s="1810">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40"/>
      <c r="M30" s="1131"/>
      <c r="N30" s="1131"/>
      <c r="O30" s="1131"/>
      <c r="P30" s="3220"/>
      <c r="Q30" s="1809">
        <f t="shared" si="11"/>
        <v>111</v>
      </c>
      <c r="R30" s="772" t="s">
        <v>17</v>
      </c>
      <c r="S30" s="773">
        <f t="shared" si="12"/>
        <v>100</v>
      </c>
      <c r="T30" s="772" t="s">
        <v>17</v>
      </c>
      <c r="U30" s="773">
        <f t="shared" si="13"/>
        <v>100</v>
      </c>
      <c r="V30" s="772" t="s">
        <v>17</v>
      </c>
      <c r="W30" s="773">
        <f t="shared" si="14"/>
        <v>100</v>
      </c>
      <c r="X30" s="1812"/>
      <c r="Y30" s="3179"/>
      <c r="Z30" s="1813">
        <f t="shared" si="15"/>
        <v>111</v>
      </c>
      <c r="AA30" s="1810">
        <f t="shared" si="3"/>
        <v>1</v>
      </c>
      <c r="AB30" s="1810">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40"/>
      <c r="M31" s="1131"/>
      <c r="N31" s="1131"/>
      <c r="O31" s="1131"/>
      <c r="P31" s="3220"/>
      <c r="Q31" s="1809">
        <f t="shared" si="11"/>
        <v>111</v>
      </c>
      <c r="R31" s="772" t="s">
        <v>17</v>
      </c>
      <c r="S31" s="773">
        <f t="shared" si="12"/>
        <v>100</v>
      </c>
      <c r="T31" s="772" t="s">
        <v>17</v>
      </c>
      <c r="U31" s="773">
        <f t="shared" si="13"/>
        <v>100</v>
      </c>
      <c r="V31" s="772" t="s">
        <v>17</v>
      </c>
      <c r="W31" s="773">
        <f t="shared" si="14"/>
        <v>100</v>
      </c>
      <c r="X31" s="1812"/>
      <c r="Y31" s="3179"/>
      <c r="Z31" s="1813">
        <f t="shared" si="15"/>
        <v>111</v>
      </c>
      <c r="AA31" s="1810">
        <f t="shared" si="3"/>
        <v>1</v>
      </c>
      <c r="AB31" s="1810">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40"/>
      <c r="M32" s="1131"/>
      <c r="N32" s="1131"/>
      <c r="O32" s="1131"/>
      <c r="P32" s="3220"/>
      <c r="Q32" s="1809">
        <f t="shared" si="11"/>
        <v>111</v>
      </c>
      <c r="R32" s="772" t="s">
        <v>17</v>
      </c>
      <c r="S32" s="773">
        <f t="shared" si="12"/>
        <v>100</v>
      </c>
      <c r="T32" s="772" t="s">
        <v>17</v>
      </c>
      <c r="U32" s="773">
        <f t="shared" si="13"/>
        <v>100</v>
      </c>
      <c r="V32" s="772" t="s">
        <v>17</v>
      </c>
      <c r="W32" s="773">
        <f t="shared" si="14"/>
        <v>100</v>
      </c>
      <c r="X32" s="1812"/>
      <c r="Y32" s="3179"/>
      <c r="Z32" s="1813">
        <f t="shared" si="15"/>
        <v>111</v>
      </c>
      <c r="AA32" s="1810">
        <f t="shared" si="3"/>
        <v>1</v>
      </c>
      <c r="AB32" s="1810">
        <f t="shared" si="4"/>
        <v>1</v>
      </c>
      <c r="AC32" s="2668">
        <f t="shared" si="5"/>
        <v>1</v>
      </c>
    </row>
    <row r="33" spans="1:29" ht="15">
      <c r="A33" s="439" t="s">
        <v>2566</v>
      </c>
      <c r="B33" s="70" t="s">
        <v>2696</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40"/>
      <c r="M33" s="1131"/>
      <c r="N33" s="1131"/>
      <c r="O33" s="1131"/>
      <c r="P33" s="3221" t="s">
        <v>2568</v>
      </c>
      <c r="Q33" s="1809" t="str">
        <f t="shared" si="11"/>
        <v>建筑类型</v>
      </c>
      <c r="R33" s="772" t="s">
        <v>17</v>
      </c>
      <c r="S33" s="773">
        <f t="shared" si="12"/>
        <v>100</v>
      </c>
      <c r="T33" s="772" t="s">
        <v>17</v>
      </c>
      <c r="U33" s="773">
        <f t="shared" si="13"/>
        <v>100</v>
      </c>
      <c r="V33" s="772" t="s">
        <v>17</v>
      </c>
      <c r="W33" s="773">
        <f t="shared" si="14"/>
        <v>100</v>
      </c>
      <c r="X33" s="1812"/>
      <c r="Y33" s="3181" t="s">
        <v>2568</v>
      </c>
      <c r="Z33" s="1813" t="str">
        <f t="shared" si="15"/>
        <v>建筑类型</v>
      </c>
      <c r="AA33" s="1810">
        <f t="shared" si="3"/>
        <v>1</v>
      </c>
      <c r="AB33" s="1810">
        <f t="shared" si="4"/>
        <v>1</v>
      </c>
      <c r="AC33" s="2668">
        <f t="shared" si="5"/>
        <v>1</v>
      </c>
    </row>
    <row r="34" spans="1:29" s="470" customFormat="1" ht="15">
      <c r="A34" s="467"/>
      <c r="B34" s="421" t="s">
        <v>2569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8"/>
      <c r="M34" s="1141"/>
      <c r="N34" s="1141"/>
      <c r="O34" s="1141"/>
      <c r="P34" s="3222"/>
      <c r="Q34" s="774" t="str">
        <f t="shared" si="11"/>
        <v>项目建筑规模</v>
      </c>
      <c r="R34" s="775" t="s">
        <v>17</v>
      </c>
      <c r="S34" s="776" t="e">
        <f t="shared" si="12"/>
        <v>#N/A</v>
      </c>
      <c r="T34" s="775" t="s">
        <v>17</v>
      </c>
      <c r="U34" s="776" t="e">
        <f t="shared" si="13"/>
        <v>#N/A</v>
      </c>
      <c r="V34" s="775" t="s">
        <v>17</v>
      </c>
      <c r="W34" s="776" t="e">
        <f t="shared" si="14"/>
        <v>#N/A</v>
      </c>
      <c r="X34" s="777"/>
      <c r="Y34" s="3181"/>
      <c r="Z34" s="778" t="str">
        <f t="shared" si="15"/>
        <v>项目建筑规模</v>
      </c>
      <c r="AA34" s="1810" t="e">
        <f t="shared" si="3"/>
        <v>#N/A</v>
      </c>
      <c r="AB34" s="1810" t="e">
        <f t="shared" si="4"/>
        <v>#N/A</v>
      </c>
      <c r="AC34" s="2668"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22"/>
      <c r="Q35" s="1809" t="str">
        <f t="shared" si="11"/>
        <v>建筑结构</v>
      </c>
      <c r="R35" s="772" t="s">
        <v>17</v>
      </c>
      <c r="S35" s="773">
        <f t="shared" si="12"/>
        <v>100</v>
      </c>
      <c r="T35" s="772" t="s">
        <v>17</v>
      </c>
      <c r="U35" s="773">
        <f t="shared" si="13"/>
        <v>100</v>
      </c>
      <c r="V35" s="772" t="s">
        <v>17</v>
      </c>
      <c r="W35" s="773">
        <f t="shared" si="14"/>
        <v>100</v>
      </c>
      <c r="X35" s="1812"/>
      <c r="Y35" s="3181"/>
      <c r="Z35" s="1813" t="str">
        <f t="shared" si="15"/>
        <v>建筑结构</v>
      </c>
      <c r="AA35" s="1810">
        <f t="shared" si="3"/>
        <v>1</v>
      </c>
      <c r="AB35" s="1810">
        <f t="shared" si="4"/>
        <v>1</v>
      </c>
      <c r="AC35" s="2668">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22"/>
      <c r="Q36" s="1809" t="str">
        <f t="shared" si="11"/>
        <v>公共部分装修</v>
      </c>
      <c r="R36" s="772" t="s">
        <v>17</v>
      </c>
      <c r="S36" s="773">
        <f t="shared" si="12"/>
        <v>100</v>
      </c>
      <c r="T36" s="772" t="s">
        <v>17</v>
      </c>
      <c r="U36" s="773">
        <f t="shared" si="13"/>
        <v>100</v>
      </c>
      <c r="V36" s="772" t="s">
        <v>17</v>
      </c>
      <c r="W36" s="773">
        <f t="shared" si="14"/>
        <v>100</v>
      </c>
      <c r="X36" s="1812"/>
      <c r="Y36" s="3181"/>
      <c r="Z36" s="1813" t="str">
        <f t="shared" si="15"/>
        <v>公共部分装修</v>
      </c>
      <c r="AA36" s="1810">
        <f t="shared" si="3"/>
        <v>1</v>
      </c>
      <c r="AB36" s="1810">
        <f t="shared" si="4"/>
        <v>1</v>
      </c>
      <c r="AC36" s="2668">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22"/>
      <c r="Q37" s="1809" t="str">
        <f t="shared" si="11"/>
        <v>成新度</v>
      </c>
      <c r="R37" s="772" t="s">
        <v>17</v>
      </c>
      <c r="S37" s="773" t="e">
        <f t="shared" si="12"/>
        <v>#N/A</v>
      </c>
      <c r="T37" s="772" t="s">
        <v>17</v>
      </c>
      <c r="U37" s="773" t="e">
        <f t="shared" si="13"/>
        <v>#N/A</v>
      </c>
      <c r="V37" s="772" t="s">
        <v>17</v>
      </c>
      <c r="W37" s="773" t="e">
        <f t="shared" si="14"/>
        <v>#N/A</v>
      </c>
      <c r="X37" s="1812"/>
      <c r="Y37" s="3181"/>
      <c r="Z37" s="1813" t="str">
        <f t="shared" si="15"/>
        <v>成新度</v>
      </c>
      <c r="AA37" s="1810" t="e">
        <f t="shared" si="3"/>
        <v>#N/A</v>
      </c>
      <c r="AB37" s="1810" t="e">
        <f t="shared" si="4"/>
        <v>#N/A</v>
      </c>
      <c r="AC37" s="2668" t="e">
        <f t="shared" si="5"/>
        <v>#N/A</v>
      </c>
    </row>
    <row r="38" spans="1:29" s="116" customFormat="1" ht="15">
      <c r="A38" s="472"/>
      <c r="B38" s="421" t="s">
        <v>2697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22"/>
      <c r="Q38" s="1794" t="str">
        <f t="shared" si="11"/>
        <v>写字楼等级</v>
      </c>
      <c r="R38" s="768" t="s">
        <v>17</v>
      </c>
      <c r="S38" s="769">
        <f t="shared" si="12"/>
        <v>100</v>
      </c>
      <c r="T38" s="768" t="s">
        <v>17</v>
      </c>
      <c r="U38" s="769">
        <f t="shared" si="13"/>
        <v>100</v>
      </c>
      <c r="V38" s="768" t="s">
        <v>17</v>
      </c>
      <c r="W38" s="769">
        <f t="shared" si="14"/>
        <v>100</v>
      </c>
      <c r="X38" s="770"/>
      <c r="Y38" s="3181"/>
      <c r="Z38" s="54" t="str">
        <f t="shared" si="15"/>
        <v>写字楼等级</v>
      </c>
      <c r="AA38" s="771">
        <f t="shared" si="3"/>
        <v>1</v>
      </c>
      <c r="AB38" s="771">
        <f t="shared" si="4"/>
        <v>1</v>
      </c>
      <c r="AC38" s="2665">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22" t="s">
        <v>2568</v>
      </c>
      <c r="Q39" s="1809" t="str">
        <f t="shared" si="11"/>
        <v>物业管理</v>
      </c>
      <c r="R39" s="772" t="s">
        <v>17</v>
      </c>
      <c r="S39" s="773">
        <f t="shared" si="12"/>
        <v>100</v>
      </c>
      <c r="T39" s="772" t="s">
        <v>17</v>
      </c>
      <c r="U39" s="773">
        <f t="shared" si="13"/>
        <v>100</v>
      </c>
      <c r="V39" s="772" t="s">
        <v>17</v>
      </c>
      <c r="W39" s="773">
        <f t="shared" si="14"/>
        <v>100</v>
      </c>
      <c r="X39" s="1812"/>
      <c r="Y39" s="3181" t="s">
        <v>2568</v>
      </c>
      <c r="Z39" s="1813" t="str">
        <f t="shared" si="15"/>
        <v>物业管理</v>
      </c>
      <c r="AA39" s="1810">
        <f t="shared" si="3"/>
        <v>1</v>
      </c>
      <c r="AB39" s="1810">
        <f t="shared" si="4"/>
        <v>1</v>
      </c>
      <c r="AC39" s="2668">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22"/>
      <c r="Q40" s="1809" t="str">
        <f t="shared" si="11"/>
        <v>市政基础设施</v>
      </c>
      <c r="R40" s="772" t="s">
        <v>17</v>
      </c>
      <c r="S40" s="773">
        <f t="shared" si="12"/>
        <v>100</v>
      </c>
      <c r="T40" s="772" t="s">
        <v>17</v>
      </c>
      <c r="U40" s="773">
        <f t="shared" si="13"/>
        <v>100</v>
      </c>
      <c r="V40" s="772" t="s">
        <v>17</v>
      </c>
      <c r="W40" s="773">
        <f t="shared" si="14"/>
        <v>100</v>
      </c>
      <c r="X40" s="1812"/>
      <c r="Y40" s="3181"/>
      <c r="Z40" s="1813" t="str">
        <f t="shared" si="15"/>
        <v>市政基础设施</v>
      </c>
      <c r="AA40" s="1810">
        <f t="shared" si="3"/>
        <v>1</v>
      </c>
      <c r="AB40" s="1810">
        <f t="shared" si="4"/>
        <v>1</v>
      </c>
      <c r="AC40" s="2668">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2"/>
      <c r="Q41" s="1809" t="str">
        <f t="shared" si="11"/>
        <v>层高</v>
      </c>
      <c r="R41" s="772" t="s">
        <v>17</v>
      </c>
      <c r="S41" s="773">
        <f t="shared" si="12"/>
        <v>100</v>
      </c>
      <c r="T41" s="772" t="s">
        <v>17</v>
      </c>
      <c r="U41" s="773">
        <f t="shared" si="13"/>
        <v>100</v>
      </c>
      <c r="V41" s="772" t="s">
        <v>17</v>
      </c>
      <c r="W41" s="773">
        <f t="shared" si="14"/>
        <v>100</v>
      </c>
      <c r="X41" s="1812"/>
      <c r="Y41" s="3181"/>
      <c r="Z41" s="1813" t="str">
        <f t="shared" si="15"/>
        <v>层高</v>
      </c>
      <c r="AA41" s="1810">
        <f t="shared" si="3"/>
        <v>1</v>
      </c>
      <c r="AB41" s="1810">
        <f t="shared" si="4"/>
        <v>1</v>
      </c>
      <c r="AC41" s="2668">
        <f t="shared" si="5"/>
        <v>1</v>
      </c>
    </row>
    <row r="42" spans="1:29" s="470" customFormat="1" ht="15">
      <c r="A42" s="467"/>
      <c r="B42" s="1811"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2"/>
      <c r="Q42" s="774" t="str">
        <f t="shared" si="11"/>
        <v>单套建筑面积</v>
      </c>
      <c r="R42" s="775" t="s">
        <v>17</v>
      </c>
      <c r="S42" s="776">
        <f t="shared" si="12"/>
        <v>100</v>
      </c>
      <c r="T42" s="775" t="s">
        <v>17</v>
      </c>
      <c r="U42" s="776">
        <f t="shared" si="13"/>
        <v>100</v>
      </c>
      <c r="V42" s="775" t="s">
        <v>17</v>
      </c>
      <c r="W42" s="776">
        <f t="shared" si="14"/>
        <v>100</v>
      </c>
      <c r="X42" s="777"/>
      <c r="Y42" s="3181"/>
      <c r="Z42" s="778" t="str">
        <f t="shared" si="15"/>
        <v>单套建筑面积</v>
      </c>
      <c r="AA42" s="1810">
        <f t="shared" si="3"/>
        <v>1</v>
      </c>
      <c r="AB42" s="1810">
        <f t="shared" si="4"/>
        <v>1</v>
      </c>
      <c r="AC42" s="2668">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22"/>
      <c r="Q43" s="1809" t="str">
        <f t="shared" si="11"/>
        <v>内部装修</v>
      </c>
      <c r="R43" s="772" t="s">
        <v>17</v>
      </c>
      <c r="S43" s="773">
        <f t="shared" si="12"/>
        <v>100</v>
      </c>
      <c r="T43" s="772" t="s">
        <v>17</v>
      </c>
      <c r="U43" s="773">
        <f t="shared" si="13"/>
        <v>100</v>
      </c>
      <c r="V43" s="772" t="s">
        <v>17</v>
      </c>
      <c r="W43" s="773">
        <f t="shared" si="14"/>
        <v>100</v>
      </c>
      <c r="X43" s="1812"/>
      <c r="Y43" s="3181"/>
      <c r="Z43" s="1813" t="str">
        <f t="shared" si="15"/>
        <v>内部装修</v>
      </c>
      <c r="AA43" s="1810">
        <f t="shared" si="3"/>
        <v>1</v>
      </c>
      <c r="AB43" s="1810">
        <f t="shared" si="4"/>
        <v>1</v>
      </c>
      <c r="AC43" s="2668">
        <f t="shared" si="5"/>
        <v>1</v>
      </c>
    </row>
    <row r="44" spans="1:29" ht="15">
      <c r="A44" s="471"/>
      <c r="B44" s="421" t="s">
        <v>2579</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0"/>
      <c r="M44" s="1131"/>
      <c r="N44" s="1131"/>
      <c r="O44" s="1131"/>
      <c r="P44" s="3222"/>
      <c r="Q44" s="1809" t="str">
        <f t="shared" si="11"/>
        <v>内部装修维护情况</v>
      </c>
      <c r="R44" s="772" t="s">
        <v>17</v>
      </c>
      <c r="S44" s="773">
        <f t="shared" si="12"/>
        <v>100</v>
      </c>
      <c r="T44" s="772" t="s">
        <v>17</v>
      </c>
      <c r="U44" s="773">
        <f t="shared" si="13"/>
        <v>100</v>
      </c>
      <c r="V44" s="772" t="s">
        <v>17</v>
      </c>
      <c r="W44" s="773">
        <f t="shared" si="14"/>
        <v>100</v>
      </c>
      <c r="X44" s="1812"/>
      <c r="Y44" s="3181"/>
      <c r="Z44" s="1813" t="str">
        <f t="shared" si="15"/>
        <v>内部装修维护情况</v>
      </c>
      <c r="AA44" s="1810">
        <f t="shared" si="3"/>
        <v>1</v>
      </c>
      <c r="AB44" s="1810">
        <f t="shared" si="4"/>
        <v>1</v>
      </c>
      <c r="AC44" s="2668">
        <f t="shared" si="5"/>
        <v>1</v>
      </c>
    </row>
    <row r="45" spans="1:29" s="116" customFormat="1" ht="15">
      <c r="A45" s="472"/>
      <c r="B45" s="1386">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32"/>
      <c r="M45" s="1133"/>
      <c r="N45" s="1133"/>
      <c r="O45" s="1133"/>
      <c r="P45" s="3222"/>
      <c r="Q45" s="1794">
        <f t="shared" si="11"/>
        <v>111</v>
      </c>
      <c r="R45" s="768" t="s">
        <v>17</v>
      </c>
      <c r="S45" s="769">
        <f t="shared" si="12"/>
        <v>100</v>
      </c>
      <c r="T45" s="768" t="s">
        <v>17</v>
      </c>
      <c r="U45" s="769">
        <f t="shared" si="13"/>
        <v>100</v>
      </c>
      <c r="V45" s="768" t="s">
        <v>17</v>
      </c>
      <c r="W45" s="769">
        <f t="shared" si="14"/>
        <v>100</v>
      </c>
      <c r="X45" s="770"/>
      <c r="Y45" s="3181"/>
      <c r="Z45" s="54">
        <f t="shared" si="15"/>
        <v>111</v>
      </c>
      <c r="AA45" s="771">
        <f t="shared" si="3"/>
        <v>1</v>
      </c>
      <c r="AB45" s="771">
        <f t="shared" si="4"/>
        <v>1</v>
      </c>
      <c r="AC45" s="2665">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2"/>
      <c r="Q46" s="1809">
        <f t="shared" si="11"/>
        <v>111</v>
      </c>
      <c r="R46" s="772" t="s">
        <v>17</v>
      </c>
      <c r="S46" s="773">
        <f t="shared" si="12"/>
        <v>100</v>
      </c>
      <c r="T46" s="772" t="s">
        <v>17</v>
      </c>
      <c r="U46" s="773">
        <f t="shared" si="13"/>
        <v>100</v>
      </c>
      <c r="V46" s="772" t="s">
        <v>17</v>
      </c>
      <c r="W46" s="773">
        <f t="shared" si="14"/>
        <v>100</v>
      </c>
      <c r="X46" s="1812"/>
      <c r="Y46" s="3181"/>
      <c r="Z46" s="1813">
        <f t="shared" si="15"/>
        <v>111</v>
      </c>
      <c r="AA46" s="1810">
        <f t="shared" si="3"/>
        <v>1</v>
      </c>
      <c r="AB46" s="1810">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3"/>
      <c r="Q47" s="1809">
        <f t="shared" si="11"/>
        <v>111</v>
      </c>
      <c r="R47" s="772" t="s">
        <v>17</v>
      </c>
      <c r="S47" s="773">
        <f t="shared" si="12"/>
        <v>100</v>
      </c>
      <c r="T47" s="772" t="s">
        <v>17</v>
      </c>
      <c r="U47" s="773">
        <f t="shared" si="13"/>
        <v>100</v>
      </c>
      <c r="V47" s="772" t="s">
        <v>17</v>
      </c>
      <c r="W47" s="773">
        <f t="shared" si="14"/>
        <v>100</v>
      </c>
      <c r="X47" s="1812"/>
      <c r="Y47" s="3224"/>
      <c r="Z47" s="1813">
        <f t="shared" si="15"/>
        <v>111</v>
      </c>
      <c r="AA47" s="1810">
        <f t="shared" si="3"/>
        <v>1</v>
      </c>
      <c r="AB47" s="1810">
        <f t="shared" si="4"/>
        <v>1</v>
      </c>
      <c r="AC47" s="2668">
        <f t="shared" si="5"/>
        <v>1</v>
      </c>
    </row>
    <row r="48" spans="1:29" ht="15">
      <c r="A48" s="478" t="s">
        <v>2580</v>
      </c>
      <c r="B48" s="479"/>
      <c r="C48" s="1406" t="s">
        <v>1</v>
      </c>
      <c r="D48" s="1407"/>
      <c r="E48" s="1408"/>
      <c r="F48" s="1409"/>
      <c r="G48" s="1410"/>
      <c r="H48" s="1411"/>
      <c r="I48" s="1408"/>
      <c r="J48" s="484"/>
      <c r="K48" s="781"/>
      <c r="L48" s="1143"/>
      <c r="M48" s="1131"/>
      <c r="N48" s="1131"/>
      <c r="O48" s="1131"/>
      <c r="P48" s="3175" t="str">
        <f>A48</f>
        <v>成交单价（元/平方米）</v>
      </c>
      <c r="Q48" s="3176"/>
      <c r="R48" s="3225">
        <f>E48</f>
        <v>0</v>
      </c>
      <c r="S48" s="3225"/>
      <c r="T48" s="3225">
        <f>G48</f>
        <v>0</v>
      </c>
      <c r="U48" s="3225"/>
      <c r="V48" s="3225">
        <f>I48</f>
        <v>0</v>
      </c>
      <c r="W48" s="3225"/>
      <c r="X48" s="445"/>
      <c r="Y48" s="779"/>
      <c r="Z48" s="445"/>
      <c r="AA48" s="445"/>
      <c r="AB48" s="445"/>
      <c r="AC48" s="629"/>
    </row>
    <row r="49" spans="1:29" ht="15.75" thickBot="1">
      <c r="A49" s="485" t="s">
        <v>2672</v>
      </c>
      <c r="B49" s="486"/>
      <c r="C49" s="1412" t="e">
        <f>R50</f>
        <v>#DIV/0!</v>
      </c>
      <c r="D49" s="1413"/>
      <c r="E49" s="1414" t="e">
        <f>R49</f>
        <v>#DIV/0!</v>
      </c>
      <c r="F49" s="1414"/>
      <c r="G49" s="1412" t="e">
        <f>T49</f>
        <v>#DIV/0!</v>
      </c>
      <c r="H49" s="1413"/>
      <c r="I49" s="1414" t="e">
        <f>V49</f>
        <v>#DIV/0!</v>
      </c>
      <c r="J49" s="488"/>
      <c r="K49" s="782"/>
      <c r="L49" s="1143"/>
      <c r="M49" s="1131"/>
      <c r="N49" s="1131"/>
      <c r="O49" s="1131"/>
      <c r="P49" s="3175" t="str">
        <f>A49</f>
        <v>比较价值（元/平方米）</v>
      </c>
      <c r="Q49" s="3176"/>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5"/>
      <c r="Y49" s="445"/>
      <c r="Z49" s="445"/>
      <c r="AA49" s="445"/>
      <c r="AB49" s="445"/>
      <c r="AC49" s="629"/>
    </row>
    <row r="50" spans="1:29" ht="15.75" thickBot="1">
      <c r="A50" s="491" t="s">
        <v>2673</v>
      </c>
      <c r="B50" s="492"/>
      <c r="C50" s="1416" t="e">
        <f>R50</f>
        <v>#DIV/0!</v>
      </c>
      <c r="D50" s="1416"/>
      <c r="E50" s="1416"/>
      <c r="F50" s="1416"/>
      <c r="G50" s="1416"/>
      <c r="H50" s="1416"/>
      <c r="I50" s="1416"/>
      <c r="J50" s="493"/>
      <c r="K50" s="783"/>
      <c r="L50" s="1143"/>
      <c r="M50" s="1131"/>
      <c r="N50" s="1131"/>
      <c r="O50" s="1131"/>
      <c r="P50" s="3251" t="str">
        <f>A50</f>
        <v>估价对象XX用房的比较价值（楼面单价，元/平方米）</v>
      </c>
      <c r="Q50" s="3252"/>
      <c r="R50" s="3253" t="e">
        <f>IF(F1="售价",ROUND(AVERAGE(R49:V49),0),ROUND(AVERAGE(R49:V49),1))</f>
        <v>#DIV/0!</v>
      </c>
      <c r="S50" s="3253"/>
      <c r="T50" s="3253"/>
      <c r="U50" s="3253"/>
      <c r="V50" s="3253"/>
      <c r="W50" s="325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4"/>
    </row>
    <row r="56" spans="1:29" s="501"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5"/>
      <c r="Q58" s="503"/>
    </row>
    <row r="59" spans="1:29" s="507" customFormat="1" ht="15">
      <c r="A59" s="504" t="s">
        <v>2551</v>
      </c>
      <c r="B59" s="505"/>
      <c r="C59" s="1574" t="str">
        <f>YEAR(C7)&amp;"-"&amp;MONTH(C7)</f>
        <v>2017-11</v>
      </c>
      <c r="D59" s="1575">
        <f>EDATE(C59,-1)</f>
        <v>43009</v>
      </c>
      <c r="E59" s="1575">
        <f>EDATE(D59,-1)</f>
        <v>42979</v>
      </c>
      <c r="F59" s="1575">
        <f t="shared" ref="F59:O59" si="16">EDATE(E59,-1)</f>
        <v>42948</v>
      </c>
      <c r="G59" s="1575">
        <f t="shared" si="16"/>
        <v>42917</v>
      </c>
      <c r="H59" s="1575">
        <f t="shared" si="16"/>
        <v>42887</v>
      </c>
      <c r="I59" s="1575">
        <f t="shared" si="16"/>
        <v>42856</v>
      </c>
      <c r="J59" s="1575">
        <f t="shared" si="16"/>
        <v>42826</v>
      </c>
      <c r="K59" s="1575">
        <f t="shared" si="16"/>
        <v>42795</v>
      </c>
      <c r="L59" s="1575">
        <f t="shared" si="16"/>
        <v>42767</v>
      </c>
      <c r="M59" s="1575">
        <f t="shared" si="16"/>
        <v>42736</v>
      </c>
      <c r="N59" s="1575">
        <f t="shared" si="16"/>
        <v>42705</v>
      </c>
      <c r="O59" s="1575">
        <f t="shared" si="16"/>
        <v>42675</v>
      </c>
      <c r="P59" s="1571"/>
    </row>
    <row r="60" spans="1:29" s="116" customFormat="1" ht="15">
      <c r="A60" s="508"/>
      <c r="B60" s="509"/>
      <c r="C60" s="1573">
        <v>100</v>
      </c>
      <c r="D60" s="511"/>
      <c r="E60" s="511"/>
      <c r="F60" s="511"/>
      <c r="G60" s="511"/>
      <c r="H60" s="511"/>
      <c r="I60" s="511"/>
      <c r="J60" s="511"/>
      <c r="K60" s="511"/>
      <c r="L60" s="511"/>
      <c r="M60" s="512"/>
      <c r="N60" s="511"/>
      <c r="O60" s="512"/>
      <c r="P60" s="2676"/>
    </row>
    <row r="61" spans="1:29" s="116" customFormat="1" ht="15.75" thickBot="1">
      <c r="A61" s="514" t="s">
        <v>2588</v>
      </c>
      <c r="B61" s="515"/>
      <c r="C61" s="516"/>
      <c r="D61" s="517"/>
      <c r="E61" s="517"/>
      <c r="F61" s="517"/>
      <c r="G61" s="517"/>
      <c r="H61" s="517"/>
      <c r="I61" s="517"/>
      <c r="J61" s="517"/>
      <c r="K61" s="517"/>
      <c r="L61" s="517"/>
      <c r="M61" s="518"/>
      <c r="N61" s="517"/>
      <c r="O61" s="518"/>
      <c r="P61" s="2676"/>
      <c r="Q61" s="503"/>
    </row>
    <row r="62" spans="1:29" s="116" customFormat="1" ht="15">
      <c r="A62" s="520" t="s">
        <v>2553</v>
      </c>
      <c r="B62" s="509"/>
      <c r="C62" s="521" t="s">
        <v>2655</v>
      </c>
      <c r="D62" s="522"/>
      <c r="E62" s="522"/>
      <c r="F62" s="522"/>
      <c r="G62" s="522"/>
      <c r="H62" s="522"/>
      <c r="I62" s="522"/>
      <c r="J62" s="522"/>
      <c r="K62" s="522"/>
      <c r="L62" s="523"/>
      <c r="M62" s="524"/>
      <c r="N62" s="1151"/>
      <c r="O62" s="1151"/>
      <c r="P62" s="2677"/>
      <c r="Q62" s="503"/>
    </row>
    <row r="63" spans="1:29" s="116" customFormat="1" ht="15.75" thickBot="1">
      <c r="A63" s="520"/>
      <c r="B63" s="509"/>
      <c r="C63" s="510">
        <v>100</v>
      </c>
      <c r="D63" s="511"/>
      <c r="E63" s="511"/>
      <c r="F63" s="511"/>
      <c r="G63" s="511"/>
      <c r="H63" s="511"/>
      <c r="I63" s="511"/>
      <c r="J63" s="511"/>
      <c r="K63" s="511"/>
      <c r="L63" s="511"/>
      <c r="M63" s="513"/>
      <c r="N63" s="1151"/>
      <c r="O63" s="1151"/>
      <c r="P63" s="2676"/>
      <c r="Q63" s="503"/>
    </row>
    <row r="64" spans="1:29">
      <c r="A64" s="526" t="s">
        <v>2591</v>
      </c>
      <c r="B64" s="527" t="s">
        <v>2557</v>
      </c>
      <c r="C64" s="528">
        <f>C9</f>
        <v>0</v>
      </c>
      <c r="D64" s="529"/>
      <c r="E64" s="529"/>
      <c r="F64" s="529"/>
      <c r="G64" s="529"/>
      <c r="H64" s="529"/>
      <c r="I64" s="529"/>
      <c r="J64" s="529"/>
      <c r="K64" s="530"/>
      <c r="L64" s="531"/>
      <c r="M64" s="532"/>
      <c r="N64" s="1152"/>
      <c r="O64" s="1152"/>
      <c r="P64" s="2678"/>
      <c r="Q64" s="503"/>
    </row>
    <row r="65" spans="1:17" ht="15.75" thickBot="1">
      <c r="A65" s="533"/>
      <c r="B65" s="534"/>
      <c r="C65" s="535">
        <v>100</v>
      </c>
      <c r="D65" s="535"/>
      <c r="E65" s="535"/>
      <c r="F65" s="535"/>
      <c r="G65" s="535"/>
      <c r="H65" s="535"/>
      <c r="I65" s="535"/>
      <c r="J65" s="535"/>
      <c r="K65" s="535"/>
      <c r="L65" s="535"/>
      <c r="M65" s="536"/>
      <c r="N65" s="1153"/>
      <c r="O65" s="1153"/>
      <c r="P65" s="2678"/>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2"/>
      <c r="O66" s="1152"/>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8"/>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8"/>
      <c r="Q68" s="503"/>
    </row>
    <row r="69" spans="1:17" ht="15">
      <c r="A69" s="533"/>
      <c r="B69" s="547"/>
      <c r="C69" s="548"/>
      <c r="D69" s="548"/>
      <c r="E69" s="548"/>
      <c r="F69" s="548"/>
      <c r="G69" s="548"/>
      <c r="H69" s="548"/>
      <c r="I69" s="548"/>
      <c r="J69" s="548"/>
      <c r="K69" s="549"/>
      <c r="L69" s="550"/>
      <c r="M69" s="551"/>
      <c r="N69" s="1152"/>
      <c r="O69" s="1152"/>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8"/>
      <c r="Q70" s="503"/>
    </row>
    <row r="71" spans="1:17" s="470" customFormat="1" ht="15.75" thickTop="1">
      <c r="A71" s="552"/>
      <c r="B71" s="537">
        <f>B12</f>
        <v>111</v>
      </c>
      <c r="C71" s="553"/>
      <c r="D71" s="553"/>
      <c r="E71" s="553"/>
      <c r="F71" s="553"/>
      <c r="G71" s="553"/>
      <c r="H71" s="554"/>
      <c r="I71" s="554"/>
      <c r="J71" s="554"/>
      <c r="K71" s="554"/>
      <c r="L71" s="555"/>
      <c r="M71" s="556"/>
      <c r="N71" s="1154"/>
      <c r="O71" s="1154"/>
      <c r="P71" s="2679"/>
      <c r="Q71" s="558"/>
    </row>
    <row r="72" spans="1:17" s="470" customFormat="1" ht="15.75" thickBot="1">
      <c r="A72" s="552"/>
      <c r="B72" s="542"/>
      <c r="C72" s="559"/>
      <c r="D72" s="535"/>
      <c r="E72" s="535"/>
      <c r="F72" s="535"/>
      <c r="G72" s="535"/>
      <c r="H72" s="535"/>
      <c r="I72" s="535"/>
      <c r="J72" s="535"/>
      <c r="K72" s="535"/>
      <c r="L72" s="535"/>
      <c r="M72" s="536"/>
      <c r="N72" s="1153"/>
      <c r="O72" s="1153"/>
      <c r="P72" s="2679"/>
      <c r="Q72" s="558"/>
    </row>
    <row r="73" spans="1:17" s="470" customFormat="1" ht="15.75" thickTop="1">
      <c r="A73" s="552"/>
      <c r="B73" s="537">
        <f>B13</f>
        <v>111</v>
      </c>
      <c r="C73" s="553"/>
      <c r="D73" s="553"/>
      <c r="E73" s="553"/>
      <c r="F73" s="553"/>
      <c r="G73" s="553"/>
      <c r="H73" s="554"/>
      <c r="I73" s="554"/>
      <c r="J73" s="554"/>
      <c r="K73" s="554"/>
      <c r="L73" s="555"/>
      <c r="M73" s="556"/>
      <c r="N73" s="1154"/>
      <c r="O73" s="1154"/>
      <c r="P73" s="2680"/>
      <c r="Q73" s="560"/>
    </row>
    <row r="74" spans="1:17" s="470" customFormat="1" ht="15.75" thickBot="1">
      <c r="A74" s="552"/>
      <c r="B74" s="542"/>
      <c r="C74" s="559"/>
      <c r="D74" s="559"/>
      <c r="E74" s="559"/>
      <c r="F74" s="559"/>
      <c r="G74" s="559"/>
      <c r="H74" s="561"/>
      <c r="I74" s="561"/>
      <c r="J74" s="561"/>
      <c r="K74" s="561"/>
      <c r="L74" s="561"/>
      <c r="M74" s="562"/>
      <c r="N74" s="1154"/>
      <c r="O74" s="1154"/>
      <c r="P74" s="2679"/>
      <c r="Q74" s="558"/>
    </row>
    <row r="75" spans="1:17" s="470" customFormat="1" ht="15.75" thickTop="1">
      <c r="A75" s="552"/>
      <c r="B75" s="545">
        <f>B14</f>
        <v>111</v>
      </c>
      <c r="C75" s="522"/>
      <c r="D75" s="522"/>
      <c r="E75" s="522"/>
      <c r="F75" s="522"/>
      <c r="G75" s="522"/>
      <c r="H75" s="563"/>
      <c r="I75" s="563"/>
      <c r="J75" s="563"/>
      <c r="K75" s="563"/>
      <c r="L75" s="564"/>
      <c r="M75" s="565"/>
      <c r="N75" s="1154"/>
      <c r="O75" s="1154"/>
      <c r="P75" s="2681"/>
      <c r="Q75" s="558"/>
    </row>
    <row r="76" spans="1:17" s="470" customFormat="1" ht="15.75" thickBot="1">
      <c r="A76" s="567"/>
      <c r="B76" s="568"/>
      <c r="C76" s="569"/>
      <c r="D76" s="569"/>
      <c r="E76" s="569"/>
      <c r="F76" s="569"/>
      <c r="G76" s="569"/>
      <c r="H76" s="570"/>
      <c r="I76" s="570"/>
      <c r="J76" s="570"/>
      <c r="K76" s="570"/>
      <c r="L76" s="570"/>
      <c r="M76" s="571"/>
      <c r="N76" s="1154"/>
      <c r="O76" s="1154"/>
      <c r="P76" s="2679"/>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2"/>
      <c r="O77" s="1152"/>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8"/>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2"/>
      <c r="O79" s="1152"/>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8"/>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2"/>
      <c r="O81" s="1152"/>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8"/>
      <c r="Q82" s="503"/>
    </row>
    <row r="83" spans="1:17" ht="15.75" thickTop="1">
      <c r="A83" s="533"/>
      <c r="B83" s="545" t="s">
        <v>2692</v>
      </c>
      <c r="C83" s="659" t="s">
        <v>2678</v>
      </c>
      <c r="D83" s="659" t="s">
        <v>2679</v>
      </c>
      <c r="E83" s="659" t="s">
        <v>2680</v>
      </c>
      <c r="F83" s="659" t="s">
        <v>2681</v>
      </c>
      <c r="G83" s="659" t="s">
        <v>2682</v>
      </c>
      <c r="H83" s="538"/>
      <c r="I83" s="538"/>
      <c r="J83" s="538"/>
      <c r="K83" s="538"/>
      <c r="L83" s="538"/>
      <c r="M83" s="1382"/>
      <c r="N83" s="1153"/>
      <c r="O83" s="1153"/>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678"/>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2"/>
      <c r="O85" s="1152"/>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8"/>
      <c r="Q86" s="503"/>
    </row>
    <row r="87" spans="1:17" s="116" customFormat="1" ht="27.75" thickTop="1">
      <c r="A87" s="578"/>
      <c r="B87" s="537" t="s">
        <v>2702</v>
      </c>
      <c r="C87" s="553"/>
      <c r="D87" s="553"/>
      <c r="E87" s="553"/>
      <c r="F87" s="553"/>
      <c r="G87" s="553"/>
      <c r="H87" s="553"/>
      <c r="I87" s="553"/>
      <c r="J87" s="553"/>
      <c r="K87" s="553"/>
      <c r="L87" s="579"/>
      <c r="M87" s="580"/>
      <c r="N87" s="1151"/>
      <c r="O87" s="1151"/>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8"/>
      <c r="Q88" s="503"/>
    </row>
    <row r="89" spans="1:17" s="116" customFormat="1" ht="15.75" thickTop="1">
      <c r="A89" s="578"/>
      <c r="B89" s="537" t="str">
        <f>B27</f>
        <v>楼层</v>
      </c>
      <c r="C89" s="553"/>
      <c r="D89" s="553"/>
      <c r="E89" s="553"/>
      <c r="F89" s="2629"/>
      <c r="G89" s="553"/>
      <c r="H89" s="553"/>
      <c r="I89" s="553"/>
      <c r="J89" s="553"/>
      <c r="K89" s="553"/>
      <c r="L89" s="553"/>
      <c r="M89" s="580"/>
      <c r="N89" s="1151"/>
      <c r="O89" s="1151"/>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8"/>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79"/>
      <c r="Q92" s="558"/>
    </row>
    <row r="93" spans="1:17" ht="15.75" thickTop="1">
      <c r="A93" s="533"/>
      <c r="B93" s="537">
        <f>B29</f>
        <v>111</v>
      </c>
      <c r="C93" s="553"/>
      <c r="D93" s="553"/>
      <c r="E93" s="553"/>
      <c r="F93" s="553"/>
      <c r="G93" s="553"/>
      <c r="H93" s="553"/>
      <c r="I93" s="553"/>
      <c r="J93" s="553"/>
      <c r="K93" s="553"/>
      <c r="L93" s="579"/>
      <c r="M93" s="580"/>
      <c r="N93" s="1152"/>
      <c r="O93" s="1152"/>
      <c r="P93" s="2678"/>
      <c r="Q93" s="503"/>
    </row>
    <row r="94" spans="1:17" ht="15.75" thickBot="1">
      <c r="A94" s="533"/>
      <c r="B94" s="542"/>
      <c r="C94" s="559"/>
      <c r="D94" s="535"/>
      <c r="E94" s="535"/>
      <c r="F94" s="535"/>
      <c r="G94" s="535"/>
      <c r="H94" s="535"/>
      <c r="I94" s="535"/>
      <c r="J94" s="535"/>
      <c r="K94" s="535"/>
      <c r="L94" s="535"/>
      <c r="M94" s="536"/>
      <c r="N94" s="1153"/>
      <c r="O94" s="1153"/>
      <c r="P94" s="2678"/>
      <c r="Q94" s="503"/>
    </row>
    <row r="95" spans="1:17" ht="15.75" thickTop="1">
      <c r="A95" s="533"/>
      <c r="B95" s="537">
        <f>B30</f>
        <v>111</v>
      </c>
      <c r="C95" s="553"/>
      <c r="D95" s="553"/>
      <c r="E95" s="553"/>
      <c r="F95" s="553"/>
      <c r="G95" s="582"/>
      <c r="H95" s="582"/>
      <c r="I95" s="582"/>
      <c r="J95" s="582"/>
      <c r="K95" s="583"/>
      <c r="L95" s="584"/>
      <c r="M95" s="585"/>
      <c r="N95" s="1152"/>
      <c r="O95" s="1152"/>
      <c r="P95" s="2678"/>
      <c r="Q95" s="503"/>
    </row>
    <row r="96" spans="1:17" ht="15.75" thickBot="1">
      <c r="A96" s="533"/>
      <c r="B96" s="542"/>
      <c r="C96" s="559"/>
      <c r="D96" s="559"/>
      <c r="E96" s="559"/>
      <c r="F96" s="559"/>
      <c r="G96" s="535"/>
      <c r="H96" s="535"/>
      <c r="I96" s="535"/>
      <c r="J96" s="535"/>
      <c r="K96" s="535"/>
      <c r="L96" s="535"/>
      <c r="M96" s="536"/>
      <c r="N96" s="1153"/>
      <c r="O96" s="1153"/>
      <c r="P96" s="2678"/>
      <c r="Q96" s="503"/>
    </row>
    <row r="97" spans="1:17" ht="15.75" thickTop="1">
      <c r="A97" s="533"/>
      <c r="B97" s="537">
        <f>B31</f>
        <v>111</v>
      </c>
      <c r="C97" s="553"/>
      <c r="D97" s="553"/>
      <c r="E97" s="553"/>
      <c r="F97" s="553"/>
      <c r="G97" s="582"/>
      <c r="H97" s="582"/>
      <c r="I97" s="582"/>
      <c r="J97" s="582"/>
      <c r="K97" s="583"/>
      <c r="L97" s="584"/>
      <c r="M97" s="585"/>
      <c r="N97" s="1152"/>
      <c r="O97" s="1152"/>
      <c r="P97" s="2678"/>
      <c r="Q97" s="503"/>
    </row>
    <row r="98" spans="1:17" ht="15.75" thickBot="1">
      <c r="A98" s="533"/>
      <c r="B98" s="542"/>
      <c r="C98" s="559"/>
      <c r="D98" s="535"/>
      <c r="E98" s="535"/>
      <c r="F98" s="535"/>
      <c r="G98" s="535"/>
      <c r="H98" s="535"/>
      <c r="I98" s="535"/>
      <c r="J98" s="535"/>
      <c r="K98" s="535"/>
      <c r="L98" s="535"/>
      <c r="M98" s="536"/>
      <c r="N98" s="1153"/>
      <c r="O98" s="1153"/>
      <c r="P98" s="2678"/>
      <c r="Q98" s="503"/>
    </row>
    <row r="99" spans="1:17" ht="15.75" thickTop="1">
      <c r="A99" s="533"/>
      <c r="B99" s="545">
        <f>B32</f>
        <v>111</v>
      </c>
      <c r="C99" s="522"/>
      <c r="D99" s="522"/>
      <c r="E99" s="522"/>
      <c r="F99" s="522"/>
      <c r="G99" s="586"/>
      <c r="H99" s="586"/>
      <c r="I99" s="586"/>
      <c r="J99" s="586"/>
      <c r="K99" s="587"/>
      <c r="L99" s="588"/>
      <c r="M99" s="589"/>
      <c r="N99" s="1152"/>
      <c r="O99" s="1152"/>
      <c r="P99" s="2678"/>
      <c r="Q99" s="503"/>
    </row>
    <row r="100" spans="1:17" ht="15.75" thickBot="1">
      <c r="A100" s="2630"/>
      <c r="B100" s="568"/>
      <c r="C100" s="569"/>
      <c r="D100" s="569"/>
      <c r="E100" s="569"/>
      <c r="F100" s="569"/>
      <c r="G100" s="590"/>
      <c r="H100" s="590"/>
      <c r="I100" s="590"/>
      <c r="J100" s="590"/>
      <c r="K100" s="590"/>
      <c r="L100" s="590"/>
      <c r="M100" s="591"/>
      <c r="N100" s="1153"/>
      <c r="O100" s="1153"/>
      <c r="P100" s="2678"/>
      <c r="Q100" s="503"/>
    </row>
    <row r="101" spans="1:17">
      <c r="A101" s="526" t="s">
        <v>2566</v>
      </c>
      <c r="B101" s="527" t="s">
        <v>2615</v>
      </c>
      <c r="C101" s="529"/>
      <c r="D101" s="529"/>
      <c r="E101" s="529"/>
      <c r="F101" s="529"/>
      <c r="G101" s="529"/>
      <c r="H101" s="529"/>
      <c r="I101" s="529"/>
      <c r="J101" s="529"/>
      <c r="K101" s="530"/>
      <c r="L101" s="531"/>
      <c r="M101" s="532"/>
      <c r="N101" s="1152"/>
      <c r="O101" s="1152"/>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8"/>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678"/>
      <c r="Q103" s="503"/>
    </row>
    <row r="104" spans="1:17" s="470" customFormat="1">
      <c r="A104" s="592"/>
      <c r="B104" s="593"/>
      <c r="C104" s="594"/>
      <c r="D104" s="594"/>
      <c r="E104" s="594"/>
      <c r="F104" s="594"/>
      <c r="G104" s="594"/>
      <c r="H104" s="594"/>
      <c r="I104" s="594"/>
      <c r="J104" s="595"/>
      <c r="K104" s="595"/>
      <c r="L104" s="596"/>
      <c r="M104" s="597"/>
      <c r="N104" s="1154"/>
      <c r="O104" s="1154"/>
      <c r="P104" s="2679"/>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79"/>
      <c r="Q105" s="558"/>
    </row>
    <row r="106" spans="1:17" ht="15" thickTop="1">
      <c r="A106" s="598"/>
      <c r="B106" s="537" t="s">
        <v>2617</v>
      </c>
      <c r="C106" s="553"/>
      <c r="D106" s="553"/>
      <c r="E106" s="582"/>
      <c r="F106" s="582"/>
      <c r="G106" s="582"/>
      <c r="H106" s="582"/>
      <c r="I106" s="582"/>
      <c r="J106" s="582"/>
      <c r="K106" s="583"/>
      <c r="L106" s="584"/>
      <c r="M106" s="585"/>
      <c r="N106" s="1152"/>
      <c r="O106" s="1152"/>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8"/>
      <c r="Q107" s="503"/>
    </row>
    <row r="108" spans="1:17" ht="15" thickTop="1">
      <c r="A108" s="598"/>
      <c r="B108" s="537" t="s">
        <v>2619</v>
      </c>
      <c r="C108" s="553"/>
      <c r="D108" s="553"/>
      <c r="E108" s="553"/>
      <c r="F108" s="582"/>
      <c r="G108" s="582"/>
      <c r="H108" s="582"/>
      <c r="I108" s="582"/>
      <c r="J108" s="582"/>
      <c r="K108" s="583"/>
      <c r="L108" s="584"/>
      <c r="M108" s="585"/>
      <c r="N108" s="1152"/>
      <c r="O108" s="1152"/>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8"/>
      <c r="Q109" s="503"/>
    </row>
    <row r="110" spans="1:17" ht="15" thickTop="1">
      <c r="A110" s="598"/>
      <c r="B110" s="537" t="s">
        <v>2002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8"/>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8"/>
      <c r="Q112" s="503"/>
    </row>
    <row r="113" spans="1:17" s="470" customFormat="1" ht="15" thickTop="1">
      <c r="A113" s="592"/>
      <c r="B113" s="537" t="s">
        <v>2703</v>
      </c>
      <c r="C113" s="553"/>
      <c r="D113" s="553"/>
      <c r="E113" s="553"/>
      <c r="F113" s="553"/>
      <c r="G113" s="553"/>
      <c r="H113" s="582"/>
      <c r="I113" s="582"/>
      <c r="J113" s="582"/>
      <c r="K113" s="583"/>
      <c r="L113" s="584"/>
      <c r="M113" s="585"/>
      <c r="N113" s="1154"/>
      <c r="O113" s="1154"/>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79"/>
      <c r="Q114" s="558"/>
    </row>
    <row r="115" spans="1:17" ht="15" thickTop="1">
      <c r="A115" s="598"/>
      <c r="B115" s="537" t="s">
        <v>2620</v>
      </c>
      <c r="C115" s="553"/>
      <c r="D115" s="553"/>
      <c r="E115" s="582"/>
      <c r="F115" s="582"/>
      <c r="G115" s="582"/>
      <c r="H115" s="582"/>
      <c r="I115" s="582"/>
      <c r="J115" s="582"/>
      <c r="K115" s="583"/>
      <c r="L115" s="584"/>
      <c r="M115" s="585"/>
      <c r="N115" s="1152"/>
      <c r="O115" s="1152"/>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8"/>
      <c r="Q116" s="503"/>
    </row>
    <row r="117" spans="1:17" ht="15" thickTop="1">
      <c r="A117" s="598"/>
      <c r="B117" s="537" t="s">
        <v>2621</v>
      </c>
      <c r="C117" s="553"/>
      <c r="D117" s="553"/>
      <c r="E117" s="553"/>
      <c r="F117" s="553"/>
      <c r="G117" s="553"/>
      <c r="H117" s="582"/>
      <c r="I117" s="582"/>
      <c r="J117" s="582"/>
      <c r="K117" s="583"/>
      <c r="L117" s="584"/>
      <c r="M117" s="585"/>
      <c r="N117" s="1152"/>
      <c r="O117" s="1152"/>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8"/>
      <c r="Q118" s="503"/>
    </row>
    <row r="119" spans="1:17" ht="15" thickTop="1">
      <c r="A119" s="598"/>
      <c r="B119" s="635" t="s">
        <v>2704</v>
      </c>
      <c r="C119" s="582"/>
      <c r="D119" s="582"/>
      <c r="E119" s="582"/>
      <c r="F119" s="582"/>
      <c r="G119" s="582"/>
      <c r="H119" s="582"/>
      <c r="I119" s="582"/>
      <c r="J119" s="582"/>
      <c r="K119" s="582"/>
      <c r="L119" s="2683"/>
      <c r="M119" s="2684"/>
      <c r="N119" s="1153"/>
      <c r="O119" s="1153"/>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8"/>
      <c r="Q120" s="503"/>
    </row>
    <row r="121" spans="1:17" s="470" customFormat="1" ht="15" thickTop="1">
      <c r="A121" s="592"/>
      <c r="B121" s="537" t="s">
        <v>2687</v>
      </c>
      <c r="C121" s="553"/>
      <c r="D121" s="553"/>
      <c r="E121" s="553"/>
      <c r="F121" s="582"/>
      <c r="G121" s="554"/>
      <c r="H121" s="554"/>
      <c r="I121" s="554"/>
      <c r="J121" s="554"/>
      <c r="K121" s="554"/>
      <c r="L121" s="555"/>
      <c r="M121" s="556"/>
      <c r="N121" s="1154"/>
      <c r="O121" s="1154"/>
      <c r="P121" s="2679"/>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79"/>
      <c r="Q122" s="558"/>
    </row>
    <row r="123" spans="1:17" ht="15" thickTop="1">
      <c r="A123" s="598"/>
      <c r="B123" s="537" t="s">
        <v>2623</v>
      </c>
      <c r="C123" s="553"/>
      <c r="D123" s="553"/>
      <c r="E123" s="553"/>
      <c r="F123" s="582"/>
      <c r="G123" s="582"/>
      <c r="H123" s="582"/>
      <c r="I123" s="582"/>
      <c r="J123" s="582"/>
      <c r="K123" s="583"/>
      <c r="L123" s="584"/>
      <c r="M123" s="585"/>
      <c r="N123" s="1152"/>
      <c r="O123" s="1152"/>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8"/>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2"/>
      <c r="O125" s="1152"/>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8"/>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79"/>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79"/>
      <c r="Q128" s="558"/>
    </row>
    <row r="129" spans="1:17" ht="15" thickTop="1">
      <c r="A129" s="598"/>
      <c r="B129" s="537">
        <f>B46</f>
        <v>111</v>
      </c>
      <c r="C129" s="553"/>
      <c r="D129" s="553"/>
      <c r="E129" s="553"/>
      <c r="F129" s="553"/>
      <c r="G129" s="582"/>
      <c r="H129" s="582"/>
      <c r="I129" s="582"/>
      <c r="J129" s="582"/>
      <c r="K129" s="583"/>
      <c r="L129" s="584"/>
      <c r="M129" s="585"/>
      <c r="N129" s="1152"/>
      <c r="O129" s="1152"/>
      <c r="P129" s="2678"/>
      <c r="Q129" s="503"/>
    </row>
    <row r="130" spans="1:17" ht="15.75" thickBot="1">
      <c r="A130" s="533"/>
      <c r="B130" s="542"/>
      <c r="C130" s="559"/>
      <c r="D130" s="559"/>
      <c r="E130" s="559"/>
      <c r="F130" s="559"/>
      <c r="G130" s="535"/>
      <c r="H130" s="535"/>
      <c r="I130" s="535"/>
      <c r="J130" s="535"/>
      <c r="K130" s="535"/>
      <c r="L130" s="535"/>
      <c r="M130" s="536"/>
      <c r="N130" s="1153"/>
      <c r="O130" s="1153"/>
      <c r="P130" s="2678"/>
      <c r="Q130" s="503"/>
    </row>
    <row r="131" spans="1:17" ht="15" thickTop="1">
      <c r="A131" s="598"/>
      <c r="B131" s="545">
        <f>B47</f>
        <v>111</v>
      </c>
      <c r="C131" s="522"/>
      <c r="D131" s="522"/>
      <c r="E131" s="522"/>
      <c r="F131" s="522"/>
      <c r="G131" s="586"/>
      <c r="H131" s="586"/>
      <c r="I131" s="586"/>
      <c r="J131" s="586"/>
      <c r="K131" s="522"/>
      <c r="L131" s="523"/>
      <c r="M131" s="589"/>
      <c r="N131" s="1152"/>
      <c r="O131" s="1152"/>
      <c r="P131" s="2678"/>
      <c r="Q131" s="503"/>
    </row>
    <row r="132" spans="1:17" ht="15.75" thickBot="1">
      <c r="A132" s="2630"/>
      <c r="B132" s="568"/>
      <c r="C132" s="569"/>
      <c r="D132" s="569"/>
      <c r="E132" s="569"/>
      <c r="F132" s="569"/>
      <c r="G132" s="590"/>
      <c r="H132" s="590"/>
      <c r="I132" s="590"/>
      <c r="J132" s="590"/>
      <c r="K132" s="590"/>
      <c r="L132" s="590"/>
      <c r="M132" s="591"/>
      <c r="N132" s="1153"/>
      <c r="O132" s="1153"/>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2531</v>
      </c>
      <c r="B1" s="2663" t="s">
        <v>2705</v>
      </c>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2333</v>
      </c>
      <c r="B2" s="1417" t="e">
        <f ca="1">IF(C2="——",ROUND(C43*D3/10000,0),ROUND(C43*D3/10000,0)-D2)</f>
        <v>#DIV/0!</v>
      </c>
      <c r="C2" s="2582"/>
      <c r="D2" s="1124" t="e">
        <f ca="1">SUMIF(INDIRECT("'"&amp;F2&amp;"'"&amp;"!A:A"),"承租人权益价值",INDIRECT("'"&amp;F2&amp;"'"&amp;"!c:c"))</f>
        <v>#REF!</v>
      </c>
      <c r="E2" s="2583" t="s">
        <v>2334</v>
      </c>
      <c r="F2" s="2584"/>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7" customFormat="1" ht="28.5" customHeight="1" thickBot="1">
      <c r="A3" s="246" t="s">
        <v>2335</v>
      </c>
      <c r="B3" s="608" t="e">
        <f ca="1">IF(C2="——",C43,ROUND(B2*10000/D3,0))</f>
        <v>#DIV/0!</v>
      </c>
      <c r="C3" s="399" t="s">
        <v>2647</v>
      </c>
      <c r="D3" s="398">
        <f>IF(D1="",'数据-汇总表'!E3,SUMIF('数据-汇总表'!$C19:$C33,D1,'数据-汇总表'!$E19:$E33))</f>
        <v>64569.140000000007</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3" t="s">
        <v>2649</v>
      </c>
      <c r="D4" s="3186"/>
      <c r="E4" s="3187" t="s">
        <v>2650</v>
      </c>
      <c r="F4" s="3188"/>
      <c r="G4" s="3173" t="s">
        <v>2651</v>
      </c>
      <c r="H4" s="3186"/>
      <c r="I4" s="3173" t="s">
        <v>2652</v>
      </c>
      <c r="J4" s="3186"/>
      <c r="K4" s="609" t="s">
        <v>2653</v>
      </c>
      <c r="L4" s="1130"/>
      <c r="M4" s="1131"/>
      <c r="N4" s="1131"/>
      <c r="O4" s="1131"/>
      <c r="P4" s="3189" t="s">
        <v>2654</v>
      </c>
      <c r="Q4" s="3190"/>
      <c r="R4" s="3195" t="s">
        <v>2650</v>
      </c>
      <c r="S4" s="3196"/>
      <c r="T4" s="3195" t="s">
        <v>2651</v>
      </c>
      <c r="U4" s="3196"/>
      <c r="V4" s="3182" t="s">
        <v>2652</v>
      </c>
      <c r="W4" s="3182"/>
      <c r="X4" s="1812"/>
      <c r="Y4" s="3195" t="s">
        <v>2654</v>
      </c>
      <c r="Z4" s="3196"/>
      <c r="AA4" s="3183" t="s">
        <v>2650</v>
      </c>
      <c r="AB4" s="3184" t="s">
        <v>2651</v>
      </c>
      <c r="AC4" s="3183" t="s">
        <v>2652</v>
      </c>
    </row>
    <row r="5" spans="1:29" ht="15">
      <c r="A5" s="403"/>
      <c r="B5" s="404"/>
      <c r="C5" s="3208" t="s">
        <v>2545</v>
      </c>
      <c r="D5" s="3204"/>
      <c r="E5" s="3250" t="s">
        <v>2546</v>
      </c>
      <c r="F5" s="3213"/>
      <c r="G5" s="3208" t="s">
        <v>2547</v>
      </c>
      <c r="H5" s="3204"/>
      <c r="I5" s="3208" t="s">
        <v>2548</v>
      </c>
      <c r="J5" s="3204"/>
      <c r="K5" s="609"/>
      <c r="L5" s="1130"/>
      <c r="M5" s="1131"/>
      <c r="N5" s="1131"/>
      <c r="O5" s="1131"/>
      <c r="P5" s="3191"/>
      <c r="Q5" s="3192"/>
      <c r="R5" s="3197"/>
      <c r="S5" s="3198"/>
      <c r="T5" s="3197"/>
      <c r="U5" s="3198"/>
      <c r="V5" s="3182"/>
      <c r="W5" s="3182"/>
      <c r="X5" s="1812"/>
      <c r="Y5" s="3197"/>
      <c r="Z5" s="3198"/>
      <c r="AA5" s="3184"/>
      <c r="AB5" s="3184"/>
      <c r="AC5" s="3184"/>
    </row>
    <row r="6" spans="1:29" ht="15.75" thickBot="1">
      <c r="A6" s="405"/>
      <c r="B6" s="406"/>
      <c r="C6" s="3209" t="s">
        <v>2549</v>
      </c>
      <c r="D6" s="3202"/>
      <c r="E6" s="3249" t="s">
        <v>2549</v>
      </c>
      <c r="F6" s="3211"/>
      <c r="G6" s="3209" t="s">
        <v>2549</v>
      </c>
      <c r="H6" s="3202"/>
      <c r="I6" s="3209" t="s">
        <v>2549</v>
      </c>
      <c r="J6" s="3202"/>
      <c r="K6" s="609" t="s">
        <v>2550</v>
      </c>
      <c r="L6" s="1130"/>
      <c r="M6" s="1131"/>
      <c r="N6" s="1131"/>
      <c r="O6" s="1131"/>
      <c r="P6" s="3193"/>
      <c r="Q6" s="3194"/>
      <c r="R6" s="3197"/>
      <c r="S6" s="3198"/>
      <c r="T6" s="3199"/>
      <c r="U6" s="3200"/>
      <c r="V6" s="3182"/>
      <c r="W6" s="3182"/>
      <c r="X6" s="1812"/>
      <c r="Y6" s="3199"/>
      <c r="Z6" s="3200"/>
      <c r="AA6" s="3185"/>
      <c r="AB6" s="3185"/>
      <c r="AC6" s="3185"/>
    </row>
    <row r="7" spans="1:29" s="116" customFormat="1" ht="15.75" thickBot="1">
      <c r="A7" s="407" t="s">
        <v>2551</v>
      </c>
      <c r="B7" s="408"/>
      <c r="C7" s="409">
        <f>'数据-取费表'!B2</f>
        <v>43056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05" t="s">
        <v>2552</v>
      </c>
      <c r="Q7" s="3207"/>
      <c r="R7" s="768" t="s">
        <v>17</v>
      </c>
      <c r="S7" s="769">
        <f t="shared" ref="S7:S15" si="0">F7</f>
        <v>0</v>
      </c>
      <c r="T7" s="768" t="s">
        <v>17</v>
      </c>
      <c r="U7" s="769">
        <f t="shared" ref="U7:U15" si="1">H7</f>
        <v>0</v>
      </c>
      <c r="V7" s="768" t="s">
        <v>17</v>
      </c>
      <c r="W7" s="769">
        <f t="shared" ref="W7:W15" si="2">J7</f>
        <v>0</v>
      </c>
      <c r="X7" s="770"/>
      <c r="Y7" s="3205" t="s">
        <v>2552</v>
      </c>
      <c r="Z7" s="3206"/>
      <c r="AA7" s="771" t="e">
        <f>D7/F7</f>
        <v>#DIV/0!</v>
      </c>
      <c r="AB7" s="771" t="e">
        <f>D7/H7</f>
        <v>#DIV/0!</v>
      </c>
      <c r="AC7" s="771"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05" t="s">
        <v>2555</v>
      </c>
      <c r="Q8" s="3206"/>
      <c r="R8" s="768" t="s">
        <v>17</v>
      </c>
      <c r="S8" s="769">
        <f t="shared" si="0"/>
        <v>0</v>
      </c>
      <c r="T8" s="768" t="s">
        <v>17</v>
      </c>
      <c r="U8" s="769">
        <f t="shared" si="1"/>
        <v>0</v>
      </c>
      <c r="V8" s="768" t="s">
        <v>17</v>
      </c>
      <c r="W8" s="769">
        <f t="shared" si="2"/>
        <v>0</v>
      </c>
      <c r="X8" s="770"/>
      <c r="Y8" s="3205" t="s">
        <v>2555</v>
      </c>
      <c r="Z8" s="3206"/>
      <c r="AA8" s="771" t="e">
        <f t="shared" ref="AA8:AA40" si="3">D8/F8</f>
        <v>#DIV/0!</v>
      </c>
      <c r="AB8" s="771" t="e">
        <f t="shared" ref="AB8:AB40" si="4">D8/H8</f>
        <v>#DIV/0!</v>
      </c>
      <c r="AC8" s="771" t="e">
        <f t="shared" ref="AC8:AC40" si="5">D8/J8</f>
        <v>#DIV/0!</v>
      </c>
    </row>
    <row r="9" spans="1:29" s="116" customFormat="1">
      <c r="A9" s="414" t="s">
        <v>2556</v>
      </c>
      <c r="B9" s="70" t="s">
        <v>2557</v>
      </c>
      <c r="C9" s="415"/>
      <c r="D9" s="133">
        <v>100</v>
      </c>
      <c r="E9" s="418"/>
      <c r="F9" s="133">
        <f>SUMIF(57:57,E9,58:58)-SUMIF(57:57,C9,58:58)+100</f>
        <v>100</v>
      </c>
      <c r="G9" s="416"/>
      <c r="H9" s="133">
        <f>SUMIF(57:57,G9,58:58)-SUMIF(57:57,C9,58:58)+100</f>
        <v>100</v>
      </c>
      <c r="I9" s="416"/>
      <c r="J9" s="133">
        <f>SUMIF(57:57,I9,58:58)-SUMIF(57:57,C9,58:58)+100</f>
        <v>100</v>
      </c>
      <c r="K9" s="610"/>
      <c r="L9" s="1132"/>
      <c r="M9" s="1133"/>
      <c r="N9" s="1133"/>
      <c r="O9" s="1134"/>
      <c r="P9" s="3176" t="s">
        <v>2558</v>
      </c>
      <c r="Q9" s="1794" t="str">
        <f t="shared" ref="Q9:Q15" si="6">B9</f>
        <v>用途</v>
      </c>
      <c r="R9" s="768" t="s">
        <v>17</v>
      </c>
      <c r="S9" s="769">
        <f t="shared" si="0"/>
        <v>100</v>
      </c>
      <c r="T9" s="768" t="s">
        <v>17</v>
      </c>
      <c r="U9" s="769">
        <f t="shared" si="1"/>
        <v>100</v>
      </c>
      <c r="V9" s="768" t="s">
        <v>17</v>
      </c>
      <c r="W9" s="769">
        <f t="shared" si="2"/>
        <v>100</v>
      </c>
      <c r="X9" s="770"/>
      <c r="Y9" s="3024" t="s">
        <v>2559</v>
      </c>
      <c r="Z9" s="54" t="str">
        <f t="shared" ref="Z9:Z15" si="7">Q9</f>
        <v>用途</v>
      </c>
      <c r="AA9" s="771">
        <f t="shared" si="3"/>
        <v>1</v>
      </c>
      <c r="AB9" s="771">
        <f t="shared" si="4"/>
        <v>1</v>
      </c>
      <c r="AC9" s="771">
        <f t="shared" si="5"/>
        <v>1</v>
      </c>
    </row>
    <row r="10" spans="1:29" s="426" customFormat="1" ht="27">
      <c r="A10" s="420"/>
      <c r="B10" s="421" t="s">
        <v>2560</v>
      </c>
      <c r="C10" s="422"/>
      <c r="D10" s="134">
        <v>100</v>
      </c>
      <c r="E10" s="422"/>
      <c r="F10" s="134">
        <f>SUMIF(59:59,E10,60:60)-SUMIF(59:59,C10,60:60)+100</f>
        <v>100</v>
      </c>
      <c r="G10" s="423"/>
      <c r="H10" s="134">
        <f>SUMIF(59:59,G10,60:60)-SUMIF(59:59,C10,60:60)+100</f>
        <v>100</v>
      </c>
      <c r="I10" s="422"/>
      <c r="J10" s="134">
        <f>SUMIF(59:59,I10,60:60)-SUMIF(59:59,C10,60:60)+100</f>
        <v>100</v>
      </c>
      <c r="K10" s="611"/>
      <c r="L10" s="1135"/>
      <c r="M10" s="1136"/>
      <c r="N10" s="1136"/>
      <c r="O10" s="1137"/>
      <c r="P10" s="3176"/>
      <c r="Q10" s="1794"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421" t="s">
        <v>2561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8"/>
      <c r="M11" s="1131"/>
      <c r="N11" s="1131"/>
      <c r="O11" s="1139"/>
      <c r="P11" s="3176"/>
      <c r="Q11" s="1794"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771" t="e">
        <f t="shared" si="5"/>
        <v>#N/A</v>
      </c>
    </row>
    <row r="12" spans="1:29" s="116" customFormat="1" ht="15">
      <c r="A12" s="430"/>
      <c r="B12" s="2596">
        <v>111</v>
      </c>
      <c r="C12" s="431"/>
      <c r="D12" s="432">
        <v>100</v>
      </c>
      <c r="E12" s="433"/>
      <c r="F12" s="134">
        <f>SUMIF(64:64,E12,65:65)-SUMIF(64:64,C12,65:65)+100</f>
        <v>100</v>
      </c>
      <c r="G12" s="2686"/>
      <c r="H12" s="134">
        <f>SUMIF(64:64,G12,65:65)-SUMIF(64:64,C12,65:65)+100</f>
        <v>100</v>
      </c>
      <c r="I12" s="468"/>
      <c r="J12" s="134">
        <f>SUMIF(64:64,I12,65:65)-SUMIF(64:64,C12,65:65)+100</f>
        <v>100</v>
      </c>
      <c r="K12" s="612"/>
      <c r="L12" s="1132"/>
      <c r="M12" s="1133"/>
      <c r="N12" s="1133"/>
      <c r="O12" s="1134"/>
      <c r="P12" s="3176"/>
      <c r="Q12" s="1794">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
      <c r="A13" s="427"/>
      <c r="B13" s="2596">
        <v>111</v>
      </c>
      <c r="C13" s="433"/>
      <c r="D13" s="434">
        <v>100</v>
      </c>
      <c r="E13" s="433"/>
      <c r="F13" s="134">
        <f>SUMIF(66:66,E13,67:67)-SUMIF(66:66,C13,67:67)+100</f>
        <v>100</v>
      </c>
      <c r="G13" s="2686"/>
      <c r="H13" s="434">
        <f>SUMIF(66:66,G13,67:67)-SUMIF(66:66,C13,67:67)+100</f>
        <v>100</v>
      </c>
      <c r="I13" s="468"/>
      <c r="J13" s="434">
        <f>SUMIF(66:66,I13,67:67)-SUMIF(66:66,C13,67:67)+100</f>
        <v>100</v>
      </c>
      <c r="K13" s="612"/>
      <c r="L13" s="1140"/>
      <c r="M13" s="1131"/>
      <c r="N13" s="1131"/>
      <c r="O13" s="1139"/>
      <c r="P13" s="3176"/>
      <c r="Q13" s="1794">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6"/>
      <c r="H14" s="437">
        <f>SUMIF(68:68,G14,69:69)-SUMIF(68:68,C14,69:69)+100</f>
        <v>100</v>
      </c>
      <c r="I14" s="468"/>
      <c r="J14" s="437">
        <f>SUMIF(68:68,I14,69:69)-SUMIF(68:68,C14,69:69)+100</f>
        <v>100</v>
      </c>
      <c r="K14" s="612"/>
      <c r="L14" s="1140"/>
      <c r="M14" s="1131"/>
      <c r="N14" s="1131"/>
      <c r="O14" s="1139"/>
      <c r="P14" s="3176"/>
      <c r="Q14" s="1794">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771">
        <f t="shared" si="5"/>
        <v>1</v>
      </c>
    </row>
    <row r="15" spans="1:29" ht="57">
      <c r="A15" s="439" t="s">
        <v>2562</v>
      </c>
      <c r="B15" s="68" t="s">
        <v>2706</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78" t="s">
        <v>2563</v>
      </c>
      <c r="Q15" s="1809" t="str">
        <f t="shared" si="6"/>
        <v>产业集聚程度</v>
      </c>
      <c r="R15" s="772" t="s">
        <v>17</v>
      </c>
      <c r="S15" s="773">
        <f t="shared" si="0"/>
        <v>100</v>
      </c>
      <c r="T15" s="772" t="s">
        <v>17</v>
      </c>
      <c r="U15" s="773">
        <f t="shared" si="1"/>
        <v>100</v>
      </c>
      <c r="V15" s="772" t="s">
        <v>17</v>
      </c>
      <c r="W15" s="773">
        <f t="shared" si="2"/>
        <v>100</v>
      </c>
      <c r="X15" s="1812"/>
      <c r="Y15" s="3178" t="s">
        <v>2563</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9"/>
      <c r="P16" s="3179"/>
      <c r="Q16" s="1809"/>
      <c r="R16" s="772"/>
      <c r="S16" s="773"/>
      <c r="T16" s="772"/>
      <c r="U16" s="773"/>
      <c r="V16" s="772"/>
      <c r="W16" s="773"/>
      <c r="X16" s="1812"/>
      <c r="Y16" s="3179"/>
      <c r="Z16" s="1813"/>
      <c r="AA16" s="1810">
        <v>1</v>
      </c>
      <c r="AB16" s="1810">
        <v>1</v>
      </c>
      <c r="AC16" s="1810">
        <v>1</v>
      </c>
    </row>
    <row r="17" spans="1:29" ht="85.5">
      <c r="A17" s="427"/>
      <c r="B17" s="450" t="s">
        <v>2103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79"/>
      <c r="Q17" s="1809" t="str">
        <f>B17</f>
        <v>交通便捷度</v>
      </c>
      <c r="R17" s="772" t="s">
        <v>17</v>
      </c>
      <c r="S17" s="773">
        <f>F17</f>
        <v>100</v>
      </c>
      <c r="T17" s="772" t="s">
        <v>17</v>
      </c>
      <c r="U17" s="773">
        <f>H17</f>
        <v>100</v>
      </c>
      <c r="V17" s="772" t="s">
        <v>17</v>
      </c>
      <c r="W17" s="773">
        <f>J17</f>
        <v>100</v>
      </c>
      <c r="X17" s="1812"/>
      <c r="Y17" s="3179"/>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40"/>
      <c r="M18" s="1131"/>
      <c r="N18" s="1131"/>
      <c r="O18" s="1139"/>
      <c r="P18" s="3179"/>
      <c r="Q18" s="1809"/>
      <c r="R18" s="772"/>
      <c r="S18" s="773"/>
      <c r="T18" s="772"/>
      <c r="U18" s="773"/>
      <c r="V18" s="772"/>
      <c r="W18" s="773"/>
      <c r="X18" s="1812"/>
      <c r="Y18" s="3179"/>
      <c r="Z18" s="1813"/>
      <c r="AA18" s="1810">
        <v>1</v>
      </c>
      <c r="AB18" s="1810">
        <v>1</v>
      </c>
      <c r="AC18" s="1810">
        <v>1</v>
      </c>
    </row>
    <row r="19" spans="1:29" ht="42.75">
      <c r="A19" s="427"/>
      <c r="B19" s="450" t="s">
        <v>2691</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79"/>
      <c r="Q19" s="1809" t="str">
        <f>B19</f>
        <v>公共配套设施</v>
      </c>
      <c r="R19" s="772" t="s">
        <v>17</v>
      </c>
      <c r="S19" s="773">
        <f>F19</f>
        <v>100</v>
      </c>
      <c r="T19" s="772" t="s">
        <v>17</v>
      </c>
      <c r="U19" s="773">
        <f>H19</f>
        <v>100</v>
      </c>
      <c r="V19" s="772" t="s">
        <v>17</v>
      </c>
      <c r="W19" s="773">
        <f>J19</f>
        <v>100</v>
      </c>
      <c r="X19" s="1812"/>
      <c r="Y19" s="3179"/>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40"/>
      <c r="M20" s="1131"/>
      <c r="N20" s="1131"/>
      <c r="O20" s="1139"/>
      <c r="P20" s="3179"/>
      <c r="Q20" s="1809"/>
      <c r="R20" s="772"/>
      <c r="S20" s="773"/>
      <c r="T20" s="772"/>
      <c r="U20" s="773"/>
      <c r="V20" s="772"/>
      <c r="W20" s="773"/>
      <c r="X20" s="1812"/>
      <c r="Y20" s="3179"/>
      <c r="Z20" s="1813"/>
      <c r="AA20" s="1810">
        <v>1</v>
      </c>
      <c r="AB20" s="1810">
        <v>1</v>
      </c>
      <c r="AC20" s="1810">
        <v>1</v>
      </c>
    </row>
    <row r="21" spans="1:29" ht="28.5">
      <c r="A21" s="427"/>
      <c r="B21" s="1384" t="s">
        <v>2692</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79"/>
      <c r="Q21" s="1809" t="str">
        <f>B21</f>
        <v>基础设施水平</v>
      </c>
      <c r="R21" s="772" t="s">
        <v>17</v>
      </c>
      <c r="S21" s="773">
        <f>F21</f>
        <v>100</v>
      </c>
      <c r="T21" s="772" t="s">
        <v>17</v>
      </c>
      <c r="U21" s="773">
        <f>H21</f>
        <v>100</v>
      </c>
      <c r="V21" s="772" t="s">
        <v>17</v>
      </c>
      <c r="W21" s="773">
        <f>J21</f>
        <v>100</v>
      </c>
      <c r="X21" s="1812"/>
      <c r="Y21" s="3179"/>
      <c r="Z21" s="1813" t="str">
        <f>Q21</f>
        <v>基础设施水平</v>
      </c>
      <c r="AA21" s="1810">
        <f t="shared" ref="AA21" si="8">D21/F21</f>
        <v>1</v>
      </c>
      <c r="AB21" s="1810">
        <f t="shared" ref="AB21" si="9">D21/H21</f>
        <v>1</v>
      </c>
      <c r="AC21" s="1810">
        <f t="shared" ref="AC21" si="10">D21/J21</f>
        <v>1</v>
      </c>
    </row>
    <row r="22" spans="1:29" ht="15">
      <c r="A22" s="427"/>
      <c r="B22" s="1384"/>
      <c r="C22" s="2604"/>
      <c r="D22" s="447"/>
      <c r="E22" s="446"/>
      <c r="F22" s="448"/>
      <c r="G22" s="446"/>
      <c r="H22" s="447"/>
      <c r="I22" s="446"/>
      <c r="J22" s="447"/>
      <c r="K22" s="1383"/>
      <c r="L22" s="1140"/>
      <c r="M22" s="1131"/>
      <c r="N22" s="1131"/>
      <c r="O22" s="1139"/>
      <c r="P22" s="3179"/>
      <c r="Q22" s="1809"/>
      <c r="R22" s="772"/>
      <c r="S22" s="773"/>
      <c r="T22" s="772"/>
      <c r="U22" s="773"/>
      <c r="V22" s="772"/>
      <c r="W22" s="773"/>
      <c r="X22" s="1812"/>
      <c r="Y22" s="3179"/>
      <c r="Z22" s="1813"/>
      <c r="AA22" s="1810">
        <v>1</v>
      </c>
      <c r="AB22" s="1810">
        <v>1</v>
      </c>
      <c r="AC22" s="1810">
        <v>1</v>
      </c>
    </row>
    <row r="23" spans="1:29" ht="71.25">
      <c r="A23" s="427"/>
      <c r="B23" s="450" t="s">
        <v>2693</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79"/>
      <c r="Q23" s="1809" t="str">
        <f>B23</f>
        <v>环境质量</v>
      </c>
      <c r="R23" s="772" t="s">
        <v>17</v>
      </c>
      <c r="S23" s="773">
        <f>F23</f>
        <v>100</v>
      </c>
      <c r="T23" s="772" t="s">
        <v>17</v>
      </c>
      <c r="U23" s="773">
        <f>H23</f>
        <v>100</v>
      </c>
      <c r="V23" s="772" t="s">
        <v>17</v>
      </c>
      <c r="W23" s="773">
        <f>J23</f>
        <v>100</v>
      </c>
      <c r="X23" s="1812"/>
      <c r="Y23" s="3179"/>
      <c r="Z23" s="1813" t="str">
        <f>Q23</f>
        <v>环境质量</v>
      </c>
      <c r="AA23" s="1810">
        <f t="shared" si="3"/>
        <v>1</v>
      </c>
      <c r="AB23" s="1810">
        <f t="shared" si="4"/>
        <v>1</v>
      </c>
      <c r="AC23" s="1810">
        <f t="shared" si="5"/>
        <v>1</v>
      </c>
    </row>
    <row r="24" spans="1:29" ht="15">
      <c r="A24" s="427"/>
      <c r="B24" s="1384"/>
      <c r="C24" s="446"/>
      <c r="D24" s="447"/>
      <c r="E24" s="2601"/>
      <c r="F24" s="448"/>
      <c r="G24" s="2600"/>
      <c r="H24" s="447"/>
      <c r="I24" s="2601"/>
      <c r="J24" s="447"/>
      <c r="K24" s="614"/>
      <c r="L24" s="1140"/>
      <c r="M24" s="1131"/>
      <c r="N24" s="1131"/>
      <c r="O24" s="1139"/>
      <c r="P24" s="3179"/>
      <c r="Q24" s="1809"/>
      <c r="R24" s="772"/>
      <c r="S24" s="773"/>
      <c r="T24" s="772"/>
      <c r="U24" s="773"/>
      <c r="V24" s="772"/>
      <c r="W24" s="773"/>
      <c r="X24" s="1812"/>
      <c r="Y24" s="3179"/>
      <c r="Z24" s="1813"/>
      <c r="AA24" s="1810">
        <v>1</v>
      </c>
      <c r="AB24" s="1810">
        <v>1</v>
      </c>
      <c r="AC24" s="1810">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79"/>
      <c r="Q25" s="1809">
        <f>B25</f>
        <v>111</v>
      </c>
      <c r="R25" s="772" t="s">
        <v>17</v>
      </c>
      <c r="S25" s="773">
        <f>F25</f>
        <v>100</v>
      </c>
      <c r="T25" s="772" t="s">
        <v>17</v>
      </c>
      <c r="U25" s="773">
        <f>H25</f>
        <v>100</v>
      </c>
      <c r="V25" s="772" t="s">
        <v>17</v>
      </c>
      <c r="W25" s="773">
        <f>J25</f>
        <v>100</v>
      </c>
      <c r="X25" s="1812"/>
      <c r="Y25" s="3179"/>
      <c r="Z25" s="1813">
        <f>Q25</f>
        <v>111</v>
      </c>
      <c r="AA25" s="1810">
        <f t="shared" si="3"/>
        <v>1</v>
      </c>
      <c r="AB25" s="1810">
        <f t="shared" si="4"/>
        <v>1</v>
      </c>
      <c r="AC25" s="1810">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79"/>
      <c r="Q26" s="1809">
        <f t="shared" ref="Q26:Q40" si="11">B26</f>
        <v>111</v>
      </c>
      <c r="R26" s="772" t="s">
        <v>17</v>
      </c>
      <c r="S26" s="773">
        <f>F26</f>
        <v>100</v>
      </c>
      <c r="T26" s="772" t="s">
        <v>17</v>
      </c>
      <c r="U26" s="773">
        <f>H26</f>
        <v>100</v>
      </c>
      <c r="V26" s="772" t="s">
        <v>17</v>
      </c>
      <c r="W26" s="773">
        <f>J26</f>
        <v>100</v>
      </c>
      <c r="X26" s="1812"/>
      <c r="Y26" s="3179"/>
      <c r="Z26" s="1813">
        <f>Q26</f>
        <v>111</v>
      </c>
      <c r="AA26" s="1810">
        <f t="shared" si="3"/>
        <v>1</v>
      </c>
      <c r="AB26" s="1810">
        <f t="shared" si="4"/>
        <v>1</v>
      </c>
      <c r="AC26" s="1810">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79"/>
      <c r="Q27" s="1794">
        <f t="shared" si="11"/>
        <v>111</v>
      </c>
      <c r="R27" s="768" t="s">
        <v>17</v>
      </c>
      <c r="S27" s="769">
        <f>F27</f>
        <v>100</v>
      </c>
      <c r="T27" s="768" t="s">
        <v>17</v>
      </c>
      <c r="U27" s="769">
        <f>H27</f>
        <v>100</v>
      </c>
      <c r="V27" s="768" t="s">
        <v>17</v>
      </c>
      <c r="W27" s="769">
        <f>J27</f>
        <v>100</v>
      </c>
      <c r="X27" s="770"/>
      <c r="Y27" s="3179"/>
      <c r="Z27" s="54">
        <f>Q27</f>
        <v>111</v>
      </c>
      <c r="AA27" s="1810">
        <f>D27/F27</f>
        <v>1</v>
      </c>
      <c r="AB27" s="1810">
        <f>D27/H27</f>
        <v>1</v>
      </c>
      <c r="AC27" s="1810">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79"/>
      <c r="Q28" s="1809">
        <f t="shared" si="11"/>
        <v>111</v>
      </c>
      <c r="R28" s="772" t="s">
        <v>17</v>
      </c>
      <c r="S28" s="773">
        <f t="shared" ref="S28:S40" si="12">F28</f>
        <v>100</v>
      </c>
      <c r="T28" s="772" t="s">
        <v>17</v>
      </c>
      <c r="U28" s="773">
        <f t="shared" ref="U28:U40" si="13">H28</f>
        <v>100</v>
      </c>
      <c r="V28" s="772" t="s">
        <v>17</v>
      </c>
      <c r="W28" s="773">
        <f t="shared" ref="W28:W40" si="14">J28</f>
        <v>100</v>
      </c>
      <c r="X28" s="1812"/>
      <c r="Y28" s="3179"/>
      <c r="Z28" s="1813">
        <f t="shared" ref="Z28:Z40" si="15">Q28</f>
        <v>111</v>
      </c>
      <c r="AA28" s="1810">
        <f t="shared" si="3"/>
        <v>1</v>
      </c>
      <c r="AB28" s="1810">
        <f t="shared" si="4"/>
        <v>1</v>
      </c>
      <c r="AC28" s="1810">
        <f t="shared" si="5"/>
        <v>1</v>
      </c>
    </row>
    <row r="29" spans="1:29" ht="15">
      <c r="A29" s="465" t="s">
        <v>2566</v>
      </c>
      <c r="B29" s="70" t="s">
        <v>2696</v>
      </c>
      <c r="C29" s="2673"/>
      <c r="D29" s="466">
        <v>100</v>
      </c>
      <c r="E29" s="2673"/>
      <c r="F29" s="460">
        <f>SUMIF(88:88,E29,89:89)-SUMIF(88:88,C29,89:89)+100</f>
        <v>100</v>
      </c>
      <c r="G29" s="2673"/>
      <c r="H29" s="434">
        <f>SUMIF(88:88,G29,89:89)-SUMIF(88:88,C29,89:89)+100</f>
        <v>100</v>
      </c>
      <c r="I29" s="2673"/>
      <c r="J29" s="466">
        <f>SUMIF(88:88,I29,89:89)-SUMIF(88:88,C29,89:89)+100</f>
        <v>100</v>
      </c>
      <c r="K29" s="611"/>
      <c r="L29" s="1140"/>
      <c r="M29" s="1131"/>
      <c r="N29" s="1131"/>
      <c r="O29" s="1139"/>
      <c r="P29" s="3180" t="s">
        <v>2568</v>
      </c>
      <c r="Q29" s="1809" t="str">
        <f t="shared" si="11"/>
        <v>建筑类型</v>
      </c>
      <c r="R29" s="772" t="s">
        <v>17</v>
      </c>
      <c r="S29" s="773">
        <f t="shared" si="12"/>
        <v>100</v>
      </c>
      <c r="T29" s="772" t="s">
        <v>17</v>
      </c>
      <c r="U29" s="773">
        <f t="shared" si="13"/>
        <v>100</v>
      </c>
      <c r="V29" s="772" t="s">
        <v>17</v>
      </c>
      <c r="W29" s="773">
        <f t="shared" si="14"/>
        <v>100</v>
      </c>
      <c r="X29" s="1812"/>
      <c r="Y29" s="3181" t="s">
        <v>2568</v>
      </c>
      <c r="Z29" s="1813" t="str">
        <f t="shared" si="15"/>
        <v>建筑类型</v>
      </c>
      <c r="AA29" s="1810">
        <f t="shared" si="3"/>
        <v>1</v>
      </c>
      <c r="AB29" s="1810">
        <f t="shared" si="4"/>
        <v>1</v>
      </c>
      <c r="AC29" s="1810">
        <f t="shared" si="5"/>
        <v>1</v>
      </c>
    </row>
    <row r="30" spans="1:29" s="470" customFormat="1" ht="15">
      <c r="A30" s="467"/>
      <c r="B30" s="421" t="s">
        <v>2569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8"/>
      <c r="M30" s="1141"/>
      <c r="N30" s="1141"/>
      <c r="O30" s="1142"/>
      <c r="P30" s="3181"/>
      <c r="Q30" s="774" t="str">
        <f t="shared" si="11"/>
        <v>项目建筑规模</v>
      </c>
      <c r="R30" s="775" t="s">
        <v>17</v>
      </c>
      <c r="S30" s="776" t="e">
        <f t="shared" si="12"/>
        <v>#N/A</v>
      </c>
      <c r="T30" s="775" t="s">
        <v>17</v>
      </c>
      <c r="U30" s="776" t="e">
        <f t="shared" si="13"/>
        <v>#N/A</v>
      </c>
      <c r="V30" s="775" t="s">
        <v>17</v>
      </c>
      <c r="W30" s="776" t="e">
        <f t="shared" si="14"/>
        <v>#N/A</v>
      </c>
      <c r="X30" s="777"/>
      <c r="Y30" s="3181"/>
      <c r="Z30" s="778" t="str">
        <f t="shared" si="15"/>
        <v>项目建筑规模</v>
      </c>
      <c r="AA30" s="1810" t="e">
        <f t="shared" si="3"/>
        <v>#N/A</v>
      </c>
      <c r="AB30" s="1810" t="e">
        <f t="shared" si="4"/>
        <v>#N/A</v>
      </c>
      <c r="AC30" s="1810"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81"/>
      <c r="Q31" s="1809" t="str">
        <f t="shared" si="11"/>
        <v>建筑结构</v>
      </c>
      <c r="R31" s="772" t="s">
        <v>17</v>
      </c>
      <c r="S31" s="773">
        <f t="shared" si="12"/>
        <v>100</v>
      </c>
      <c r="T31" s="772" t="s">
        <v>17</v>
      </c>
      <c r="U31" s="773">
        <f t="shared" si="13"/>
        <v>100</v>
      </c>
      <c r="V31" s="772" t="s">
        <v>17</v>
      </c>
      <c r="W31" s="773">
        <f t="shared" si="14"/>
        <v>100</v>
      </c>
      <c r="X31" s="1812"/>
      <c r="Y31" s="3181"/>
      <c r="Z31" s="1813" t="str">
        <f t="shared" si="15"/>
        <v>建筑结构</v>
      </c>
      <c r="AA31" s="1810">
        <f t="shared" si="3"/>
        <v>1</v>
      </c>
      <c r="AB31" s="1810">
        <f t="shared" si="4"/>
        <v>1</v>
      </c>
      <c r="AC31" s="1810">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81"/>
      <c r="Q32" s="1809" t="str">
        <f t="shared" si="11"/>
        <v>公共部分装修</v>
      </c>
      <c r="R32" s="772" t="s">
        <v>17</v>
      </c>
      <c r="S32" s="773">
        <f t="shared" si="12"/>
        <v>100</v>
      </c>
      <c r="T32" s="772" t="s">
        <v>17</v>
      </c>
      <c r="U32" s="773">
        <f t="shared" si="13"/>
        <v>100</v>
      </c>
      <c r="V32" s="772" t="s">
        <v>17</v>
      </c>
      <c r="W32" s="773">
        <f t="shared" si="14"/>
        <v>100</v>
      </c>
      <c r="X32" s="1812"/>
      <c r="Y32" s="3181"/>
      <c r="Z32" s="1813" t="str">
        <f t="shared" si="15"/>
        <v>公共部分装修</v>
      </c>
      <c r="AA32" s="1810">
        <f t="shared" si="3"/>
        <v>1</v>
      </c>
      <c r="AB32" s="1810">
        <f t="shared" si="4"/>
        <v>1</v>
      </c>
      <c r="AC32" s="1810">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81"/>
      <c r="Q33" s="1809" t="str">
        <f t="shared" si="11"/>
        <v>成新度</v>
      </c>
      <c r="R33" s="772" t="s">
        <v>17</v>
      </c>
      <c r="S33" s="773" t="e">
        <f t="shared" si="12"/>
        <v>#N/A</v>
      </c>
      <c r="T33" s="772" t="s">
        <v>17</v>
      </c>
      <c r="U33" s="773" t="e">
        <f t="shared" si="13"/>
        <v>#N/A</v>
      </c>
      <c r="V33" s="772" t="s">
        <v>17</v>
      </c>
      <c r="W33" s="773" t="e">
        <f t="shared" si="14"/>
        <v>#N/A</v>
      </c>
      <c r="X33" s="1812"/>
      <c r="Y33" s="3181"/>
      <c r="Z33" s="1813" t="str">
        <f t="shared" si="15"/>
        <v>成新度</v>
      </c>
      <c r="AA33" s="1810" t="e">
        <f t="shared" si="3"/>
        <v>#N/A</v>
      </c>
      <c r="AB33" s="1810" t="e">
        <f t="shared" si="4"/>
        <v>#N/A</v>
      </c>
      <c r="AC33" s="1810" t="e">
        <f t="shared" si="5"/>
        <v>#N/A</v>
      </c>
    </row>
    <row r="34" spans="1:29" s="116" customFormat="1" ht="15">
      <c r="A34" s="472"/>
      <c r="B34" s="421" t="s">
        <v>2698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81"/>
      <c r="Q34" s="1794" t="str">
        <f t="shared" si="11"/>
        <v>物业管理</v>
      </c>
      <c r="R34" s="768" t="s">
        <v>17</v>
      </c>
      <c r="S34" s="769">
        <f t="shared" si="12"/>
        <v>100</v>
      </c>
      <c r="T34" s="768" t="s">
        <v>17</v>
      </c>
      <c r="U34" s="769">
        <f t="shared" si="13"/>
        <v>100</v>
      </c>
      <c r="V34" s="768" t="s">
        <v>17</v>
      </c>
      <c r="W34" s="769">
        <f t="shared" si="14"/>
        <v>100</v>
      </c>
      <c r="X34" s="770"/>
      <c r="Y34" s="3181"/>
      <c r="Z34" s="54" t="str">
        <f t="shared" si="15"/>
        <v>物业管理</v>
      </c>
      <c r="AA34" s="771">
        <f t="shared" si="3"/>
        <v>1</v>
      </c>
      <c r="AB34" s="771">
        <f t="shared" si="4"/>
        <v>1</v>
      </c>
      <c r="AC34" s="771">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81" t="s">
        <v>2568</v>
      </c>
      <c r="Q35" s="1809" t="str">
        <f t="shared" si="11"/>
        <v>市政基础设施</v>
      </c>
      <c r="R35" s="772" t="s">
        <v>17</v>
      </c>
      <c r="S35" s="773">
        <f t="shared" si="12"/>
        <v>100</v>
      </c>
      <c r="T35" s="772" t="s">
        <v>17</v>
      </c>
      <c r="U35" s="773">
        <f t="shared" si="13"/>
        <v>100</v>
      </c>
      <c r="V35" s="772" t="s">
        <v>17</v>
      </c>
      <c r="W35" s="773">
        <f t="shared" si="14"/>
        <v>100</v>
      </c>
      <c r="X35" s="1812"/>
      <c r="Y35" s="3181" t="s">
        <v>2568</v>
      </c>
      <c r="Z35" s="1813" t="str">
        <f t="shared" si="15"/>
        <v>市政基础设施</v>
      </c>
      <c r="AA35" s="1810">
        <f t="shared" si="3"/>
        <v>1</v>
      </c>
      <c r="AB35" s="1810">
        <f t="shared" si="4"/>
        <v>1</v>
      </c>
      <c r="AC35" s="1810">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81"/>
      <c r="Q36" s="1809" t="str">
        <f t="shared" si="11"/>
        <v>内部装修</v>
      </c>
      <c r="R36" s="772" t="s">
        <v>17</v>
      </c>
      <c r="S36" s="773">
        <f t="shared" si="12"/>
        <v>100</v>
      </c>
      <c r="T36" s="772" t="s">
        <v>17</v>
      </c>
      <c r="U36" s="773">
        <f t="shared" si="13"/>
        <v>100</v>
      </c>
      <c r="V36" s="772" t="s">
        <v>17</v>
      </c>
      <c r="W36" s="773">
        <f t="shared" si="14"/>
        <v>100</v>
      </c>
      <c r="X36" s="1812"/>
      <c r="Y36" s="3181"/>
      <c r="Z36" s="1813" t="str">
        <f t="shared" si="15"/>
        <v>内部装修</v>
      </c>
      <c r="AA36" s="1810">
        <f t="shared" si="3"/>
        <v>1</v>
      </c>
      <c r="AB36" s="1810">
        <f t="shared" si="4"/>
        <v>1</v>
      </c>
      <c r="AC36" s="1810">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81"/>
      <c r="Q37" s="1809" t="str">
        <f t="shared" si="11"/>
        <v>内部装修状况</v>
      </c>
      <c r="R37" s="772" t="s">
        <v>17</v>
      </c>
      <c r="S37" s="773">
        <f t="shared" si="12"/>
        <v>100</v>
      </c>
      <c r="T37" s="772" t="s">
        <v>17</v>
      </c>
      <c r="U37" s="773">
        <f t="shared" si="13"/>
        <v>100</v>
      </c>
      <c r="V37" s="772" t="s">
        <v>17</v>
      </c>
      <c r="W37" s="773">
        <f t="shared" si="14"/>
        <v>100</v>
      </c>
      <c r="X37" s="1812"/>
      <c r="Y37" s="3181"/>
      <c r="Z37" s="1813" t="str">
        <f t="shared" si="15"/>
        <v>内部装修状况</v>
      </c>
      <c r="AA37" s="1810">
        <f t="shared" si="3"/>
        <v>1</v>
      </c>
      <c r="AB37" s="1810">
        <f t="shared" si="4"/>
        <v>1</v>
      </c>
      <c r="AC37" s="1810">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81"/>
      <c r="Q38" s="774">
        <f t="shared" si="11"/>
        <v>111</v>
      </c>
      <c r="R38" s="775" t="s">
        <v>17</v>
      </c>
      <c r="S38" s="776">
        <f t="shared" si="12"/>
        <v>100</v>
      </c>
      <c r="T38" s="775" t="s">
        <v>17</v>
      </c>
      <c r="U38" s="776">
        <f t="shared" si="13"/>
        <v>100</v>
      </c>
      <c r="V38" s="775" t="s">
        <v>17</v>
      </c>
      <c r="W38" s="776">
        <f t="shared" si="14"/>
        <v>100</v>
      </c>
      <c r="X38" s="777"/>
      <c r="Y38" s="3181"/>
      <c r="Z38" s="778">
        <f t="shared" si="15"/>
        <v>111</v>
      </c>
      <c r="AA38" s="1810">
        <f t="shared" si="3"/>
        <v>1</v>
      </c>
      <c r="AB38" s="1810">
        <f t="shared" si="4"/>
        <v>1</v>
      </c>
      <c r="AC38" s="1810">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81"/>
      <c r="Q39" s="1809">
        <f t="shared" si="11"/>
        <v>111</v>
      </c>
      <c r="R39" s="772" t="s">
        <v>17</v>
      </c>
      <c r="S39" s="773">
        <f t="shared" si="12"/>
        <v>100</v>
      </c>
      <c r="T39" s="772" t="s">
        <v>17</v>
      </c>
      <c r="U39" s="773">
        <f t="shared" si="13"/>
        <v>100</v>
      </c>
      <c r="V39" s="772" t="s">
        <v>17</v>
      </c>
      <c r="W39" s="773">
        <f t="shared" si="14"/>
        <v>100</v>
      </c>
      <c r="X39" s="1812"/>
      <c r="Y39" s="3181"/>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4"/>
      <c r="Q40" s="1809">
        <f t="shared" si="11"/>
        <v>111</v>
      </c>
      <c r="R40" s="772" t="s">
        <v>17</v>
      </c>
      <c r="S40" s="773">
        <f t="shared" si="12"/>
        <v>100</v>
      </c>
      <c r="T40" s="772" t="s">
        <v>17</v>
      </c>
      <c r="U40" s="773">
        <f t="shared" si="13"/>
        <v>100</v>
      </c>
      <c r="V40" s="772" t="s">
        <v>17</v>
      </c>
      <c r="W40" s="773">
        <f t="shared" si="14"/>
        <v>100</v>
      </c>
      <c r="X40" s="1812"/>
      <c r="Y40" s="3224"/>
      <c r="Z40" s="1813">
        <f t="shared" si="15"/>
        <v>111</v>
      </c>
      <c r="AA40" s="1810">
        <f t="shared" si="3"/>
        <v>1</v>
      </c>
      <c r="AB40" s="1810">
        <f t="shared" si="4"/>
        <v>1</v>
      </c>
      <c r="AC40" s="1810">
        <f t="shared" si="5"/>
        <v>1</v>
      </c>
    </row>
    <row r="41" spans="1:29" ht="15">
      <c r="A41" s="478" t="s">
        <v>2580</v>
      </c>
      <c r="B41" s="479"/>
      <c r="C41" s="1406" t="s">
        <v>1</v>
      </c>
      <c r="D41" s="1407"/>
      <c r="E41" s="1408"/>
      <c r="F41" s="1409"/>
      <c r="G41" s="1410"/>
      <c r="H41" s="1411"/>
      <c r="I41" s="1408"/>
      <c r="J41" s="1411"/>
      <c r="K41" s="781"/>
      <c r="L41" s="1143"/>
      <c r="M41" s="1144"/>
      <c r="N41" s="1131"/>
      <c r="O41" s="1144"/>
      <c r="P41" s="3176" t="str">
        <f>A41</f>
        <v>成交单价（元/平方米）</v>
      </c>
      <c r="Q41" s="3176"/>
      <c r="R41" s="3225">
        <f>E41</f>
        <v>0</v>
      </c>
      <c r="S41" s="3225"/>
      <c r="T41" s="3225">
        <f>G41</f>
        <v>0</v>
      </c>
      <c r="U41" s="3225"/>
      <c r="V41" s="3225">
        <f>I41</f>
        <v>0</v>
      </c>
      <c r="W41" s="3225"/>
      <c r="X41" s="757"/>
      <c r="Y41" s="779"/>
      <c r="Z41" s="757"/>
      <c r="AA41" s="757"/>
      <c r="AB41" s="757"/>
      <c r="AC41" s="757"/>
    </row>
    <row r="42" spans="1:29" ht="15.75" thickBot="1">
      <c r="A42" s="485" t="s">
        <v>2672</v>
      </c>
      <c r="B42" s="486"/>
      <c r="C42" s="1412" t="e">
        <f>R43</f>
        <v>#DIV/0!</v>
      </c>
      <c r="D42" s="1413"/>
      <c r="E42" s="1414" t="e">
        <f>R42</f>
        <v>#DIV/0!</v>
      </c>
      <c r="F42" s="1414"/>
      <c r="G42" s="1412" t="e">
        <f>T42</f>
        <v>#DIV/0!</v>
      </c>
      <c r="H42" s="1413"/>
      <c r="I42" s="1414" t="e">
        <f>V42</f>
        <v>#DIV/0!</v>
      </c>
      <c r="J42" s="1413"/>
      <c r="K42" s="782"/>
      <c r="L42" s="1143"/>
      <c r="M42" s="1144"/>
      <c r="N42" s="1131"/>
      <c r="O42" s="1144"/>
      <c r="P42" s="3176" t="str">
        <f>A42</f>
        <v>比较价值（元/平方米）</v>
      </c>
      <c r="Q42" s="3176"/>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7"/>
      <c r="Y42" s="757"/>
      <c r="Z42" s="757"/>
      <c r="AA42" s="757"/>
      <c r="AB42" s="757"/>
      <c r="AC42" s="757"/>
    </row>
    <row r="43" spans="1:29" ht="15.75" thickBot="1">
      <c r="A43" s="491" t="s">
        <v>2673</v>
      </c>
      <c r="B43" s="492"/>
      <c r="C43" s="1416" t="e">
        <f>R43</f>
        <v>#DIV/0!</v>
      </c>
      <c r="D43" s="1416"/>
      <c r="E43" s="1416"/>
      <c r="F43" s="1416"/>
      <c r="G43" s="1416"/>
      <c r="H43" s="1416"/>
      <c r="I43" s="1416"/>
      <c r="J43" s="1416"/>
      <c r="K43" s="783"/>
      <c r="L43" s="1143"/>
      <c r="M43" s="1144"/>
      <c r="N43" s="1144"/>
      <c r="O43" s="1144"/>
      <c r="P43" s="3170" t="str">
        <f>A43</f>
        <v>估价对象XX用房的比较价值（楼面单价，元/平方米）</v>
      </c>
      <c r="Q43" s="3171"/>
      <c r="R43" s="3226" t="e">
        <f>IF(F1="售价",ROUND(AVERAGE(R42:V42),0),ROUND(AVERAGE(R42:V42),1))</f>
        <v>#DIV/0!</v>
      </c>
      <c r="S43" s="3226"/>
      <c r="T43" s="3226"/>
      <c r="U43" s="3226"/>
      <c r="V43" s="3226"/>
      <c r="W43" s="3226"/>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2"/>
      <c r="Q51" s="503"/>
    </row>
    <row r="52" spans="1:17" s="507" customFormat="1" ht="15">
      <c r="A52" s="504" t="s">
        <v>2551</v>
      </c>
      <c r="B52" s="505"/>
      <c r="C52" s="1574" t="str">
        <f>YEAR(C7)&amp;"-"&amp;MONTH(C7)</f>
        <v>2017-11</v>
      </c>
      <c r="D52" s="1575">
        <f>EDATE(C52,-1)</f>
        <v>43009</v>
      </c>
      <c r="E52" s="1575">
        <f t="shared" ref="E52:O52" si="16">EDATE(D52,-1)</f>
        <v>42979</v>
      </c>
      <c r="F52" s="1575">
        <f t="shared" si="16"/>
        <v>42948</v>
      </c>
      <c r="G52" s="1575">
        <f t="shared" si="16"/>
        <v>42917</v>
      </c>
      <c r="H52" s="1575">
        <f t="shared" si="16"/>
        <v>42887</v>
      </c>
      <c r="I52" s="1575">
        <f t="shared" si="16"/>
        <v>42856</v>
      </c>
      <c r="J52" s="1575">
        <f t="shared" si="16"/>
        <v>42826</v>
      </c>
      <c r="K52" s="1575">
        <f t="shared" si="16"/>
        <v>42795</v>
      </c>
      <c r="L52" s="1575">
        <f t="shared" si="16"/>
        <v>42767</v>
      </c>
      <c r="M52" s="1575">
        <f t="shared" si="16"/>
        <v>42736</v>
      </c>
      <c r="N52" s="1575">
        <f t="shared" si="16"/>
        <v>42705</v>
      </c>
      <c r="O52" s="1575">
        <f t="shared" si="16"/>
        <v>42675</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2591</v>
      </c>
      <c r="B57" s="527" t="s">
        <v>2557</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6" customFormat="1" ht="15.75" thickTop="1">
      <c r="A80" s="578"/>
      <c r="B80" s="537">
        <f>B25</f>
        <v>111</v>
      </c>
      <c r="C80" s="553"/>
      <c r="D80" s="553"/>
      <c r="E80" s="553"/>
      <c r="F80" s="553"/>
      <c r="G80" s="553"/>
      <c r="H80" s="553"/>
      <c r="I80" s="553"/>
      <c r="J80" s="553"/>
      <c r="K80" s="553"/>
      <c r="L80" s="579"/>
      <c r="M80" s="580"/>
      <c r="N80" s="1151"/>
      <c r="O80" s="1151"/>
      <c r="P80" s="45"/>
      <c r="Q80" s="503"/>
    </row>
    <row r="81" spans="1:17" s="116" customFormat="1" ht="15.75" thickBot="1">
      <c r="A81" s="578"/>
      <c r="B81" s="542"/>
      <c r="C81" s="559"/>
      <c r="D81" s="535"/>
      <c r="E81" s="535"/>
      <c r="F81" s="535"/>
      <c r="G81" s="535"/>
      <c r="H81" s="535"/>
      <c r="I81" s="535"/>
      <c r="J81" s="535"/>
      <c r="K81" s="535"/>
      <c r="L81" s="535"/>
      <c r="M81" s="536"/>
      <c r="N81" s="1153"/>
      <c r="O81" s="1153"/>
      <c r="P81" s="45"/>
      <c r="Q81" s="503"/>
    </row>
    <row r="82" spans="1:17" s="116" customFormat="1" ht="15.75" thickTop="1">
      <c r="A82" s="578"/>
      <c r="B82" s="537">
        <f>B26</f>
        <v>111</v>
      </c>
      <c r="C82" s="553"/>
      <c r="D82" s="553"/>
      <c r="E82" s="553"/>
      <c r="F82" s="553"/>
      <c r="G82" s="553"/>
      <c r="H82" s="553"/>
      <c r="I82" s="553"/>
      <c r="J82" s="553"/>
      <c r="K82" s="553"/>
      <c r="L82" s="579"/>
      <c r="M82" s="580"/>
      <c r="N82" s="1151"/>
      <c r="O82" s="1151"/>
      <c r="P82" s="45"/>
      <c r="Q82" s="503"/>
    </row>
    <row r="83" spans="1:17" s="116"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0"/>
      <c r="B87" s="568"/>
      <c r="C87" s="569"/>
      <c r="D87" s="569"/>
      <c r="E87" s="569"/>
      <c r="F87" s="569"/>
      <c r="G87" s="590"/>
      <c r="H87" s="590"/>
      <c r="I87" s="590"/>
      <c r="J87" s="590"/>
      <c r="K87" s="590"/>
      <c r="L87" s="590"/>
      <c r="M87" s="591"/>
      <c r="N87" s="1153"/>
      <c r="O87" s="1153"/>
      <c r="P87" s="45"/>
      <c r="Q87" s="503"/>
    </row>
    <row r="88" spans="1:17">
      <c r="A88" s="526" t="s">
        <v>2566</v>
      </c>
      <c r="B88" s="527" t="s">
        <v>2615</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2617</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2619</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2002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2620</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2621</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2623</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0"/>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1"/>
      <c r="F1" s="2580"/>
      <c r="G1" s="1622" t="s">
        <v>2646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2333</v>
      </c>
      <c r="B2" s="1417" t="e">
        <f ca="1">IF(C2="——",IF(B37="元/平方米",ROUND(C39*D3/10000,0),ROUND(F3*C39/10000,0)),IF(B37="元/平方米",ROUND(C39*D3/10000,0),ROUND(F3*C39/10000,0))-D2)</f>
        <v>#DIV/0!</v>
      </c>
      <c r="C2" s="2582"/>
      <c r="D2" s="1124" t="e">
        <f ca="1">SUMIF(INDIRECT("'"&amp;F2&amp;"'"&amp;"!A:A"),"承租人权益价值",INDIRECT("'"&amp;F2&amp;"'"&amp;"!c:c"))</f>
        <v>#REF!</v>
      </c>
      <c r="E2" s="2583" t="s">
        <v>2334</v>
      </c>
      <c r="F2" s="2584"/>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7" customFormat="1" ht="28.5" customHeight="1" thickBot="1">
      <c r="A3" s="246" t="s">
        <v>2335</v>
      </c>
      <c r="B3" s="608" t="e">
        <f ca="1">IF(AND(C2="——",B37="元/平方米"),C39,ROUND(B2*10000/D3,0))</f>
        <v>#DIV/0!</v>
      </c>
      <c r="C3" s="399" t="s">
        <v>2647</v>
      </c>
      <c r="D3" s="398">
        <f>SUMIF('数据-汇总表'!$C19:$C33,D1,'数据-汇总表'!$E19:$E33)</f>
        <v>0</v>
      </c>
      <c r="E3" s="399" t="s">
        <v>2711</v>
      </c>
      <c r="F3" s="398">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400" t="s">
        <v>2648</v>
      </c>
      <c r="B4" s="401"/>
      <c r="C4" s="3173" t="s">
        <v>2649</v>
      </c>
      <c r="D4" s="3186"/>
      <c r="E4" s="3187" t="s">
        <v>2650</v>
      </c>
      <c r="F4" s="3188"/>
      <c r="G4" s="3173" t="s">
        <v>2651</v>
      </c>
      <c r="H4" s="3186"/>
      <c r="I4" s="3173" t="s">
        <v>2652</v>
      </c>
      <c r="J4" s="3186"/>
      <c r="K4" s="609" t="s">
        <v>2653</v>
      </c>
      <c r="L4" s="1130"/>
      <c r="M4" s="1131"/>
      <c r="N4" s="1131"/>
      <c r="O4" s="1131"/>
      <c r="P4" s="3189" t="s">
        <v>2654</v>
      </c>
      <c r="Q4" s="3190"/>
      <c r="R4" s="3195" t="s">
        <v>2650</v>
      </c>
      <c r="S4" s="3196"/>
      <c r="T4" s="3195" t="s">
        <v>2651</v>
      </c>
      <c r="U4" s="3196"/>
      <c r="V4" s="3182" t="s">
        <v>2652</v>
      </c>
      <c r="W4" s="3182"/>
      <c r="X4" s="1812"/>
      <c r="Y4" s="3195" t="s">
        <v>2654</v>
      </c>
      <c r="Z4" s="3196"/>
      <c r="AA4" s="3183" t="s">
        <v>2650</v>
      </c>
      <c r="AB4" s="3184" t="s">
        <v>2651</v>
      </c>
      <c r="AC4" s="3183" t="s">
        <v>2652</v>
      </c>
    </row>
    <row r="5" spans="1:29" ht="15">
      <c r="A5" s="403"/>
      <c r="B5" s="404"/>
      <c r="C5" s="3208" t="s">
        <v>2545</v>
      </c>
      <c r="D5" s="3204"/>
      <c r="E5" s="3250" t="s">
        <v>2546</v>
      </c>
      <c r="F5" s="3213"/>
      <c r="G5" s="3208" t="s">
        <v>2547</v>
      </c>
      <c r="H5" s="3204"/>
      <c r="I5" s="3208" t="s">
        <v>2548</v>
      </c>
      <c r="J5" s="3204"/>
      <c r="K5" s="609"/>
      <c r="L5" s="1130"/>
      <c r="M5" s="1131"/>
      <c r="N5" s="1131"/>
      <c r="O5" s="1131"/>
      <c r="P5" s="3191"/>
      <c r="Q5" s="3192"/>
      <c r="R5" s="3197"/>
      <c r="S5" s="3198"/>
      <c r="T5" s="3197"/>
      <c r="U5" s="3198"/>
      <c r="V5" s="3182"/>
      <c r="W5" s="3182"/>
      <c r="X5" s="1812"/>
      <c r="Y5" s="3197"/>
      <c r="Z5" s="3198"/>
      <c r="AA5" s="3184"/>
      <c r="AB5" s="3184"/>
      <c r="AC5" s="3184"/>
    </row>
    <row r="6" spans="1:29" ht="15.75" thickBot="1">
      <c r="A6" s="405"/>
      <c r="B6" s="406"/>
      <c r="C6" s="3209" t="s">
        <v>2549</v>
      </c>
      <c r="D6" s="3202"/>
      <c r="E6" s="3249" t="s">
        <v>2549</v>
      </c>
      <c r="F6" s="3211"/>
      <c r="G6" s="3209" t="s">
        <v>2549</v>
      </c>
      <c r="H6" s="3202"/>
      <c r="I6" s="3209" t="s">
        <v>2549</v>
      </c>
      <c r="J6" s="3202"/>
      <c r="K6" s="609" t="s">
        <v>2550</v>
      </c>
      <c r="L6" s="1130"/>
      <c r="M6" s="1131"/>
      <c r="N6" s="1131"/>
      <c r="O6" s="1131"/>
      <c r="P6" s="3193"/>
      <c r="Q6" s="3194"/>
      <c r="R6" s="3197"/>
      <c r="S6" s="3198"/>
      <c r="T6" s="3199"/>
      <c r="U6" s="3200"/>
      <c r="V6" s="3182"/>
      <c r="W6" s="3182"/>
      <c r="X6" s="1812"/>
      <c r="Y6" s="3199"/>
      <c r="Z6" s="3200"/>
      <c r="AA6" s="3185"/>
      <c r="AB6" s="3185"/>
      <c r="AC6" s="3185"/>
    </row>
    <row r="7" spans="1:29" s="116" customFormat="1" ht="15.75" thickBot="1">
      <c r="A7" s="407" t="s">
        <v>2551</v>
      </c>
      <c r="B7" s="408"/>
      <c r="C7" s="409">
        <f>'数据-取费表'!B2</f>
        <v>43056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05" t="s">
        <v>2552</v>
      </c>
      <c r="Q7" s="3207"/>
      <c r="R7" s="768" t="s">
        <v>17</v>
      </c>
      <c r="S7" s="769">
        <f t="shared" ref="S7:S14" si="0">F7</f>
        <v>0</v>
      </c>
      <c r="T7" s="768" t="s">
        <v>17</v>
      </c>
      <c r="U7" s="769">
        <f t="shared" ref="U7:U14" si="1">H7</f>
        <v>0</v>
      </c>
      <c r="V7" s="768" t="s">
        <v>17</v>
      </c>
      <c r="W7" s="769">
        <f t="shared" ref="W7:W14" si="2">J7</f>
        <v>0</v>
      </c>
      <c r="X7" s="770"/>
      <c r="Y7" s="3205" t="s">
        <v>2552</v>
      </c>
      <c r="Z7" s="3206"/>
      <c r="AA7" s="771" t="e">
        <f>D7/F7</f>
        <v>#DIV/0!</v>
      </c>
      <c r="AB7" s="771" t="e">
        <f>D7/H7</f>
        <v>#DIV/0!</v>
      </c>
      <c r="AC7" s="771"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05" t="s">
        <v>2555</v>
      </c>
      <c r="Q8" s="3206"/>
      <c r="R8" s="768" t="s">
        <v>17</v>
      </c>
      <c r="S8" s="769">
        <f t="shared" si="0"/>
        <v>0</v>
      </c>
      <c r="T8" s="768" t="s">
        <v>17</v>
      </c>
      <c r="U8" s="769">
        <f t="shared" si="1"/>
        <v>0</v>
      </c>
      <c r="V8" s="768" t="s">
        <v>17</v>
      </c>
      <c r="W8" s="769">
        <f t="shared" si="2"/>
        <v>0</v>
      </c>
      <c r="X8" s="770"/>
      <c r="Y8" s="3205" t="s">
        <v>2555</v>
      </c>
      <c r="Z8" s="3206"/>
      <c r="AA8" s="771" t="e">
        <f t="shared" ref="AA8:AA36" si="3">D8/F8</f>
        <v>#DIV/0!</v>
      </c>
      <c r="AB8" s="771" t="e">
        <f t="shared" ref="AB8:AB36" si="4">D8/H8</f>
        <v>#DIV/0!</v>
      </c>
      <c r="AC8" s="771" t="e">
        <f t="shared" ref="AC8:AC36" si="5">D8/J8</f>
        <v>#DIV/0!</v>
      </c>
    </row>
    <row r="9" spans="1:29" s="116" customFormat="1">
      <c r="A9" s="67" t="s">
        <v>2556</v>
      </c>
      <c r="B9" s="639" t="s">
        <v>2557</v>
      </c>
      <c r="C9" s="415"/>
      <c r="D9" s="133">
        <v>100</v>
      </c>
      <c r="E9" s="418"/>
      <c r="F9" s="133">
        <f>SUMIF(53:53,E9,54:54)-SUMIF(53:53,C9,54:54)+100</f>
        <v>100</v>
      </c>
      <c r="G9" s="416"/>
      <c r="H9" s="133">
        <f>SUMIF(53:53,G9,54:54)-SUMIF(53:53,C9,54:54)+100</f>
        <v>100</v>
      </c>
      <c r="I9" s="416"/>
      <c r="J9" s="133">
        <f>SUMIF(53:53,I9,54:54)-SUMIF(53:53,C9,54:54)+100</f>
        <v>100</v>
      </c>
      <c r="K9" s="610"/>
      <c r="L9" s="1132"/>
      <c r="M9" s="1133"/>
      <c r="N9" s="1133"/>
      <c r="O9" s="1133"/>
      <c r="P9" s="3176" t="s">
        <v>2558</v>
      </c>
      <c r="Q9" s="1794" t="str">
        <f t="shared" ref="Q9:Q14" si="6">B9</f>
        <v>用途</v>
      </c>
      <c r="R9" s="768" t="s">
        <v>17</v>
      </c>
      <c r="S9" s="769">
        <f t="shared" si="0"/>
        <v>100</v>
      </c>
      <c r="T9" s="768" t="s">
        <v>17</v>
      </c>
      <c r="U9" s="769">
        <f t="shared" si="1"/>
        <v>100</v>
      </c>
      <c r="V9" s="768" t="s">
        <v>17</v>
      </c>
      <c r="W9" s="769">
        <f t="shared" si="2"/>
        <v>100</v>
      </c>
      <c r="X9" s="770"/>
      <c r="Y9" s="3024" t="s">
        <v>2559</v>
      </c>
      <c r="Z9" s="54" t="str">
        <f t="shared" ref="Z9:Z14" si="7">Q9</f>
        <v>用途</v>
      </c>
      <c r="AA9" s="771">
        <f t="shared" si="3"/>
        <v>1</v>
      </c>
      <c r="AB9" s="771">
        <f t="shared" si="4"/>
        <v>1</v>
      </c>
      <c r="AC9" s="771">
        <f t="shared" si="5"/>
        <v>1</v>
      </c>
    </row>
    <row r="10" spans="1:29" s="426" customFormat="1" ht="27">
      <c r="A10" s="640"/>
      <c r="B10" s="641" t="s">
        <v>2560</v>
      </c>
      <c r="C10" s="422"/>
      <c r="D10" s="134">
        <v>100</v>
      </c>
      <c r="E10" s="422"/>
      <c r="F10" s="134">
        <f>SUMIF(55:55,E10,56:56)-SUMIF(55:55,C10,56:56)+100</f>
        <v>100</v>
      </c>
      <c r="G10" s="423"/>
      <c r="H10" s="134">
        <f>SUMIF(55:55,G10,56:56)-SUMIF(55:55,C10,56:56)+100</f>
        <v>100</v>
      </c>
      <c r="I10" s="422"/>
      <c r="J10" s="134">
        <f>SUMIF(55:55,I10,56:56)-SUMIF(55:55,C10,56:56)+100</f>
        <v>100</v>
      </c>
      <c r="K10" s="611"/>
      <c r="L10" s="1135"/>
      <c r="M10" s="1136"/>
      <c r="N10" s="1136"/>
      <c r="O10" s="1136"/>
      <c r="P10" s="3176"/>
      <c r="Q10" s="1794"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642"/>
      <c r="B11" s="643">
        <v>111</v>
      </c>
      <c r="C11" s="431"/>
      <c r="D11" s="134">
        <v>100</v>
      </c>
      <c r="E11" s="431"/>
      <c r="F11" s="134">
        <f>SUMIF(57:57,E11,58:58)-SUMIF(57:57,C11,58:58)+100</f>
        <v>100</v>
      </c>
      <c r="G11" s="431"/>
      <c r="H11" s="134">
        <f>SUMIF(57:57,G11,58:58)-SUMIF(57:57,C11,58:58)+100</f>
        <v>100</v>
      </c>
      <c r="I11" s="431"/>
      <c r="J11" s="134">
        <f>SUMIF(57:57,I11,58:58)-SUMIF(57:57,C11,58:58)+100</f>
        <v>100</v>
      </c>
      <c r="K11" s="612"/>
      <c r="L11" s="1138"/>
      <c r="M11" s="1131"/>
      <c r="N11" s="1131"/>
      <c r="O11" s="1131"/>
      <c r="P11" s="3176"/>
      <c r="Q11" s="1794">
        <f t="shared" si="6"/>
        <v>111</v>
      </c>
      <c r="R11" s="768" t="s">
        <v>17</v>
      </c>
      <c r="S11" s="769">
        <f t="shared" si="0"/>
        <v>100</v>
      </c>
      <c r="T11" s="768" t="s">
        <v>17</v>
      </c>
      <c r="U11" s="769">
        <f t="shared" si="1"/>
        <v>100</v>
      </c>
      <c r="V11" s="768" t="s">
        <v>17</v>
      </c>
      <c r="W11" s="769">
        <f t="shared" si="2"/>
        <v>100</v>
      </c>
      <c r="X11" s="770"/>
      <c r="Y11" s="3024"/>
      <c r="Z11" s="54">
        <f t="shared" si="7"/>
        <v>111</v>
      </c>
      <c r="AA11" s="771">
        <f t="shared" si="3"/>
        <v>1</v>
      </c>
      <c r="AB11" s="771">
        <f t="shared" si="4"/>
        <v>1</v>
      </c>
      <c r="AC11" s="771">
        <f t="shared" si="5"/>
        <v>1</v>
      </c>
    </row>
    <row r="12" spans="1:29" s="116" customFormat="1" ht="15">
      <c r="A12" s="644"/>
      <c r="B12" s="643">
        <v>111</v>
      </c>
      <c r="C12" s="431"/>
      <c r="D12" s="432">
        <v>100</v>
      </c>
      <c r="E12" s="431"/>
      <c r="F12" s="134">
        <f>SUMIF(59:59,E12,60:60)-SUMIF(59:59,C12,60:60)+100</f>
        <v>100</v>
      </c>
      <c r="G12" s="431"/>
      <c r="H12" s="134">
        <f>SUMIF(59:59,G12,60:60)-SUMIF(59:59,C12,60:60)+100</f>
        <v>100</v>
      </c>
      <c r="I12" s="431"/>
      <c r="J12" s="134">
        <f>SUMIF(59:59,I12,60:60)-SUMIF(59:59,C12,60:60)+100</f>
        <v>100</v>
      </c>
      <c r="K12" s="612"/>
      <c r="L12" s="1132"/>
      <c r="M12" s="1133"/>
      <c r="N12" s="1133"/>
      <c r="O12" s="1133"/>
      <c r="P12" s="3176"/>
      <c r="Q12" s="1794">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75" thickBot="1">
      <c r="A13" s="645"/>
      <c r="B13" s="643">
        <v>111</v>
      </c>
      <c r="C13" s="433"/>
      <c r="D13" s="434">
        <v>100</v>
      </c>
      <c r="E13" s="431"/>
      <c r="F13" s="134">
        <f>SUMIF(61:61,E13,62:62)-SUMIF(61:61,C13,62:62)+100</f>
        <v>100</v>
      </c>
      <c r="G13" s="431"/>
      <c r="H13" s="434">
        <f>SUMIF(61:61,G13,62:62)-SUMIF(61:61,C13,62:62)+100</f>
        <v>100</v>
      </c>
      <c r="I13" s="431"/>
      <c r="J13" s="434">
        <f>SUMIF(61:61,I13,62:62)-SUMIF(61:61,C13,62:62)+100</f>
        <v>100</v>
      </c>
      <c r="K13" s="612"/>
      <c r="L13" s="1140"/>
      <c r="M13" s="1131"/>
      <c r="N13" s="1131"/>
      <c r="O13" s="1131"/>
      <c r="P13" s="3176"/>
      <c r="Q13" s="1794">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85.5">
      <c r="A14" s="400" t="s">
        <v>2562</v>
      </c>
      <c r="B14" s="628" t="s">
        <v>2712</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78" t="s">
        <v>2563</v>
      </c>
      <c r="Q14" s="1809" t="str">
        <f t="shared" si="6"/>
        <v>交通便捷度</v>
      </c>
      <c r="R14" s="772" t="s">
        <v>17</v>
      </c>
      <c r="S14" s="773">
        <f t="shared" si="0"/>
        <v>100</v>
      </c>
      <c r="T14" s="772" t="s">
        <v>17</v>
      </c>
      <c r="U14" s="773">
        <f t="shared" si="1"/>
        <v>100</v>
      </c>
      <c r="V14" s="772" t="s">
        <v>17</v>
      </c>
      <c r="W14" s="773">
        <f t="shared" si="2"/>
        <v>100</v>
      </c>
      <c r="X14" s="1812"/>
      <c r="Y14" s="3178" t="s">
        <v>2563</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40"/>
      <c r="M15" s="1131"/>
      <c r="N15" s="1131"/>
      <c r="O15" s="1131"/>
      <c r="P15" s="3179"/>
      <c r="Q15" s="1809"/>
      <c r="R15" s="772"/>
      <c r="S15" s="773"/>
      <c r="T15" s="772"/>
      <c r="U15" s="773"/>
      <c r="V15" s="772"/>
      <c r="W15" s="773"/>
      <c r="X15" s="1812"/>
      <c r="Y15" s="3179"/>
      <c r="Z15" s="1813"/>
      <c r="AA15" s="1810">
        <v>1</v>
      </c>
      <c r="AB15" s="1810">
        <v>1</v>
      </c>
      <c r="AC15" s="1810">
        <v>1</v>
      </c>
    </row>
    <row r="16" spans="1:29" ht="42.75">
      <c r="A16" s="403"/>
      <c r="B16" s="630" t="s">
        <v>2691</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79"/>
      <c r="Q16" s="1809" t="str">
        <f>B16</f>
        <v>公共配套设施</v>
      </c>
      <c r="R16" s="772" t="s">
        <v>17</v>
      </c>
      <c r="S16" s="773">
        <f>F16</f>
        <v>100</v>
      </c>
      <c r="T16" s="772" t="s">
        <v>17</v>
      </c>
      <c r="U16" s="773">
        <f>H16</f>
        <v>100</v>
      </c>
      <c r="V16" s="772" t="s">
        <v>17</v>
      </c>
      <c r="W16" s="773">
        <f>J16</f>
        <v>100</v>
      </c>
      <c r="X16" s="1812"/>
      <c r="Y16" s="3179"/>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40"/>
      <c r="M17" s="1131"/>
      <c r="N17" s="1131"/>
      <c r="O17" s="1131"/>
      <c r="P17" s="3179"/>
      <c r="Q17" s="1809"/>
      <c r="R17" s="772"/>
      <c r="S17" s="773"/>
      <c r="T17" s="772"/>
      <c r="U17" s="773"/>
      <c r="V17" s="772"/>
      <c r="W17" s="773"/>
      <c r="X17" s="1812"/>
      <c r="Y17" s="3179"/>
      <c r="Z17" s="1813"/>
      <c r="AA17" s="1810">
        <v>1</v>
      </c>
      <c r="AB17" s="1810">
        <v>1</v>
      </c>
      <c r="AC17" s="1810">
        <v>1</v>
      </c>
    </row>
    <row r="18" spans="1:29" ht="28.5">
      <c r="A18" s="403"/>
      <c r="B18" s="632" t="s">
        <v>2692</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79"/>
      <c r="Q18" s="1809" t="str">
        <f>B18</f>
        <v>基础设施水平</v>
      </c>
      <c r="R18" s="772" t="s">
        <v>17</v>
      </c>
      <c r="S18" s="773">
        <f>F18</f>
        <v>100</v>
      </c>
      <c r="T18" s="772" t="s">
        <v>17</v>
      </c>
      <c r="U18" s="773">
        <f>H18</f>
        <v>100</v>
      </c>
      <c r="V18" s="772" t="s">
        <v>17</v>
      </c>
      <c r="W18" s="773">
        <f>J18</f>
        <v>100</v>
      </c>
      <c r="X18" s="1812"/>
      <c r="Y18" s="3179"/>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3"/>
      <c r="L19" s="1140"/>
      <c r="M19" s="1131"/>
      <c r="N19" s="1131"/>
      <c r="O19" s="1131"/>
      <c r="P19" s="3179"/>
      <c r="Q19" s="1809"/>
      <c r="R19" s="772"/>
      <c r="S19" s="773"/>
      <c r="T19" s="772"/>
      <c r="U19" s="773"/>
      <c r="V19" s="772"/>
      <c r="W19" s="773"/>
      <c r="X19" s="1812"/>
      <c r="Y19" s="3179"/>
      <c r="Z19" s="1813"/>
      <c r="AA19" s="1810">
        <v>1</v>
      </c>
      <c r="AB19" s="1810">
        <v>1</v>
      </c>
      <c r="AC19" s="1810">
        <v>1</v>
      </c>
    </row>
    <row r="20" spans="1:29" ht="57">
      <c r="A20" s="403"/>
      <c r="B20" s="630" t="s">
        <v>2713</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79"/>
      <c r="Q20" s="1809" t="str">
        <f>B20</f>
        <v>自然及人文环境</v>
      </c>
      <c r="R20" s="772" t="s">
        <v>17</v>
      </c>
      <c r="S20" s="773">
        <f>F20</f>
        <v>100</v>
      </c>
      <c r="T20" s="772" t="s">
        <v>17</v>
      </c>
      <c r="U20" s="773">
        <f>H20</f>
        <v>100</v>
      </c>
      <c r="V20" s="772" t="s">
        <v>17</v>
      </c>
      <c r="W20" s="773">
        <f>J20</f>
        <v>100</v>
      </c>
      <c r="X20" s="1812"/>
      <c r="Y20" s="3179"/>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40"/>
      <c r="M21" s="1131"/>
      <c r="N21" s="1131"/>
      <c r="O21" s="1131"/>
      <c r="P21" s="3179"/>
      <c r="Q21" s="1809"/>
      <c r="R21" s="772"/>
      <c r="S21" s="773"/>
      <c r="T21" s="772"/>
      <c r="U21" s="773"/>
      <c r="V21" s="772"/>
      <c r="W21" s="773"/>
      <c r="X21" s="1812"/>
      <c r="Y21" s="3179"/>
      <c r="Z21" s="1813"/>
      <c r="AA21" s="1810">
        <v>1</v>
      </c>
      <c r="AB21" s="1810">
        <v>1</v>
      </c>
      <c r="AC21" s="1810">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79"/>
      <c r="Q22" s="1809" t="str">
        <f>B22</f>
        <v>楼层</v>
      </c>
      <c r="R22" s="772" t="s">
        <v>17</v>
      </c>
      <c r="S22" s="773">
        <f>F22</f>
        <v>100</v>
      </c>
      <c r="T22" s="772" t="s">
        <v>17</v>
      </c>
      <c r="U22" s="773">
        <f>H22</f>
        <v>100</v>
      </c>
      <c r="V22" s="772" t="s">
        <v>17</v>
      </c>
      <c r="W22" s="773">
        <f>J22</f>
        <v>100</v>
      </c>
      <c r="X22" s="1812"/>
      <c r="Y22" s="3179"/>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79"/>
      <c r="Q23" s="1809">
        <f>B23</f>
        <v>111</v>
      </c>
      <c r="R23" s="772" t="s">
        <v>17</v>
      </c>
      <c r="S23" s="773">
        <f>F23</f>
        <v>100</v>
      </c>
      <c r="T23" s="772" t="s">
        <v>17</v>
      </c>
      <c r="U23" s="773">
        <f>H23</f>
        <v>100</v>
      </c>
      <c r="V23" s="772" t="s">
        <v>17</v>
      </c>
      <c r="W23" s="773">
        <f>J23</f>
        <v>100</v>
      </c>
      <c r="X23" s="1812"/>
      <c r="Y23" s="3179"/>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79"/>
      <c r="Q24" s="1809">
        <f t="shared" ref="Q24:Q36" si="11">B24</f>
        <v>111</v>
      </c>
      <c r="R24" s="772" t="s">
        <v>17</v>
      </c>
      <c r="S24" s="773">
        <f>F24</f>
        <v>100</v>
      </c>
      <c r="T24" s="772" t="s">
        <v>17</v>
      </c>
      <c r="U24" s="773">
        <f>H24</f>
        <v>100</v>
      </c>
      <c r="V24" s="772" t="s">
        <v>17</v>
      </c>
      <c r="W24" s="773">
        <f>J24</f>
        <v>100</v>
      </c>
      <c r="X24" s="1812"/>
      <c r="Y24" s="3179"/>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179"/>
      <c r="Q25" s="1794">
        <f t="shared" si="11"/>
        <v>111</v>
      </c>
      <c r="R25" s="768" t="s">
        <v>17</v>
      </c>
      <c r="S25" s="769">
        <f>F25</f>
        <v>100</v>
      </c>
      <c r="T25" s="768" t="s">
        <v>17</v>
      </c>
      <c r="U25" s="769">
        <f>H25</f>
        <v>100</v>
      </c>
      <c r="V25" s="768" t="s">
        <v>17</v>
      </c>
      <c r="W25" s="769">
        <f>J25</f>
        <v>100</v>
      </c>
      <c r="X25" s="770"/>
      <c r="Y25" s="3179"/>
      <c r="Z25" s="54">
        <f>Q25</f>
        <v>111</v>
      </c>
      <c r="AA25" s="1810">
        <f>D25/F25</f>
        <v>1</v>
      </c>
      <c r="AB25" s="1810">
        <f>D25/H25</f>
        <v>1</v>
      </c>
      <c r="AC25" s="1810">
        <f>D25/J25</f>
        <v>1</v>
      </c>
    </row>
    <row r="26" spans="1:29" ht="15">
      <c r="A26" s="651" t="s">
        <v>2566</v>
      </c>
      <c r="B26" s="69" t="s">
        <v>2715</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180" t="s">
        <v>2568</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181" t="s">
        <v>2568</v>
      </c>
      <c r="Z26" s="1813" t="str">
        <f t="shared" ref="Z26:Z36" si="15">Q26</f>
        <v>配套类型</v>
      </c>
      <c r="AA26" s="1810">
        <f t="shared" si="3"/>
        <v>1</v>
      </c>
      <c r="AB26" s="1810">
        <f t="shared" si="4"/>
        <v>1</v>
      </c>
      <c r="AC26" s="1810">
        <f t="shared" si="5"/>
        <v>1</v>
      </c>
    </row>
    <row r="27" spans="1:29" s="470" customFormat="1" ht="15">
      <c r="A27" s="652"/>
      <c r="B27" s="653" t="s">
        <v>2716</v>
      </c>
      <c r="C27" s="654"/>
      <c r="D27" s="134">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181"/>
      <c r="Q27" s="774" t="str">
        <f t="shared" si="11"/>
        <v>项目停车位配比</v>
      </c>
      <c r="R27" s="775" t="s">
        <v>17</v>
      </c>
      <c r="S27" s="776">
        <f t="shared" si="12"/>
        <v>100</v>
      </c>
      <c r="T27" s="775" t="s">
        <v>17</v>
      </c>
      <c r="U27" s="776">
        <f t="shared" si="13"/>
        <v>100</v>
      </c>
      <c r="V27" s="775" t="s">
        <v>17</v>
      </c>
      <c r="W27" s="776">
        <f t="shared" si="14"/>
        <v>100</v>
      </c>
      <c r="X27" s="777"/>
      <c r="Y27" s="3181"/>
      <c r="Z27" s="778" t="str">
        <f t="shared" si="15"/>
        <v>项目停车位配比</v>
      </c>
      <c r="AA27" s="1810">
        <f t="shared" si="3"/>
        <v>1</v>
      </c>
      <c r="AB27" s="1810">
        <f t="shared" si="4"/>
        <v>1</v>
      </c>
      <c r="AC27" s="1810">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81"/>
      <c r="Q28" s="1809" t="str">
        <f t="shared" si="11"/>
        <v>公共部分装修</v>
      </c>
      <c r="R28" s="772" t="s">
        <v>17</v>
      </c>
      <c r="S28" s="773">
        <f t="shared" si="12"/>
        <v>100</v>
      </c>
      <c r="T28" s="772" t="s">
        <v>17</v>
      </c>
      <c r="U28" s="773">
        <f t="shared" si="13"/>
        <v>100</v>
      </c>
      <c r="V28" s="772" t="s">
        <v>17</v>
      </c>
      <c r="W28" s="773">
        <f t="shared" si="14"/>
        <v>100</v>
      </c>
      <c r="X28" s="1812"/>
      <c r="Y28" s="3181"/>
      <c r="Z28" s="1813" t="str">
        <f t="shared" si="15"/>
        <v>公共部分装修</v>
      </c>
      <c r="AA28" s="1810">
        <f t="shared" si="3"/>
        <v>1</v>
      </c>
      <c r="AB28" s="1810">
        <f t="shared" si="4"/>
        <v>1</v>
      </c>
      <c r="AC28" s="1810">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81"/>
      <c r="Q29" s="1809" t="str">
        <f t="shared" si="11"/>
        <v>成新率</v>
      </c>
      <c r="R29" s="772" t="s">
        <v>17</v>
      </c>
      <c r="S29" s="773" t="e">
        <f t="shared" si="12"/>
        <v>#N/A</v>
      </c>
      <c r="T29" s="772" t="s">
        <v>17</v>
      </c>
      <c r="U29" s="773" t="e">
        <f t="shared" si="13"/>
        <v>#N/A</v>
      </c>
      <c r="V29" s="772" t="s">
        <v>17</v>
      </c>
      <c r="W29" s="773" t="e">
        <f t="shared" si="14"/>
        <v>#N/A</v>
      </c>
      <c r="X29" s="1812"/>
      <c r="Y29" s="3181"/>
      <c r="Z29" s="1813" t="str">
        <f t="shared" si="15"/>
        <v>成新率</v>
      </c>
      <c r="AA29" s="1810" t="e">
        <f t="shared" si="3"/>
        <v>#N/A</v>
      </c>
      <c r="AB29" s="1810" t="e">
        <f t="shared" si="4"/>
        <v>#N/A</v>
      </c>
      <c r="AC29" s="1810"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181"/>
      <c r="Q30" s="1809" t="str">
        <f t="shared" si="11"/>
        <v>物业等级</v>
      </c>
      <c r="R30" s="772" t="s">
        <v>17</v>
      </c>
      <c r="S30" s="773">
        <f t="shared" si="12"/>
        <v>100</v>
      </c>
      <c r="T30" s="772" t="s">
        <v>17</v>
      </c>
      <c r="U30" s="773">
        <f t="shared" si="13"/>
        <v>100</v>
      </c>
      <c r="V30" s="772" t="s">
        <v>17</v>
      </c>
      <c r="W30" s="773">
        <f t="shared" si="14"/>
        <v>100</v>
      </c>
      <c r="X30" s="1812"/>
      <c r="Y30" s="3181"/>
      <c r="Z30" s="1813" t="str">
        <f t="shared" si="15"/>
        <v>物业等级</v>
      </c>
      <c r="AA30" s="1810">
        <f t="shared" si="3"/>
        <v>1</v>
      </c>
      <c r="AB30" s="1810">
        <f t="shared" si="4"/>
        <v>1</v>
      </c>
      <c r="AC30" s="1810">
        <f t="shared" si="5"/>
        <v>1</v>
      </c>
    </row>
    <row r="31" spans="1:29" s="116" customFormat="1" ht="15">
      <c r="A31" s="657"/>
      <c r="B31" s="653" t="s">
        <v>2720</v>
      </c>
      <c r="C31" s="468"/>
      <c r="D31" s="134">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81"/>
      <c r="Q31" s="1794" t="str">
        <f t="shared" si="11"/>
        <v>停车位面积</v>
      </c>
      <c r="R31" s="768" t="s">
        <v>17</v>
      </c>
      <c r="S31" s="769" t="e">
        <f t="shared" si="12"/>
        <v>#N/A</v>
      </c>
      <c r="T31" s="768" t="s">
        <v>17</v>
      </c>
      <c r="U31" s="769" t="e">
        <f t="shared" si="13"/>
        <v>#N/A</v>
      </c>
      <c r="V31" s="768" t="s">
        <v>17</v>
      </c>
      <c r="W31" s="769" t="e">
        <f t="shared" si="14"/>
        <v>#N/A</v>
      </c>
      <c r="X31" s="770"/>
      <c r="Y31" s="3181"/>
      <c r="Z31" s="54" t="str">
        <f t="shared" si="15"/>
        <v>停车位面积</v>
      </c>
      <c r="AA31" s="771" t="e">
        <f t="shared" si="3"/>
        <v>#N/A</v>
      </c>
      <c r="AB31" s="771" t="e">
        <f t="shared" si="4"/>
        <v>#N/A</v>
      </c>
      <c r="AC31" s="771"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81" t="s">
        <v>2568</v>
      </c>
      <c r="Q32" s="1809" t="str">
        <f t="shared" si="11"/>
        <v>车位类型</v>
      </c>
      <c r="R32" s="772" t="s">
        <v>17</v>
      </c>
      <c r="S32" s="773">
        <f t="shared" si="12"/>
        <v>100</v>
      </c>
      <c r="T32" s="772" t="s">
        <v>17</v>
      </c>
      <c r="U32" s="773">
        <f t="shared" si="13"/>
        <v>100</v>
      </c>
      <c r="V32" s="772" t="s">
        <v>17</v>
      </c>
      <c r="W32" s="773">
        <f t="shared" si="14"/>
        <v>100</v>
      </c>
      <c r="X32" s="1812"/>
      <c r="Y32" s="3181" t="s">
        <v>2568</v>
      </c>
      <c r="Z32" s="1813" t="str">
        <f t="shared" si="15"/>
        <v>车位类型</v>
      </c>
      <c r="AA32" s="1810">
        <f t="shared" si="3"/>
        <v>1</v>
      </c>
      <c r="AB32" s="1810">
        <f t="shared" si="4"/>
        <v>1</v>
      </c>
      <c r="AC32" s="1810">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81"/>
      <c r="Q33" s="1809" t="str">
        <f t="shared" si="11"/>
        <v>是否直接入户</v>
      </c>
      <c r="R33" s="772" t="s">
        <v>17</v>
      </c>
      <c r="S33" s="773">
        <f t="shared" si="12"/>
        <v>100</v>
      </c>
      <c r="T33" s="772" t="s">
        <v>17</v>
      </c>
      <c r="U33" s="773">
        <f t="shared" si="13"/>
        <v>100</v>
      </c>
      <c r="V33" s="772" t="s">
        <v>17</v>
      </c>
      <c r="W33" s="773">
        <f t="shared" si="14"/>
        <v>100</v>
      </c>
      <c r="X33" s="1812"/>
      <c r="Y33" s="3181"/>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81"/>
      <c r="Q34" s="1809">
        <f t="shared" si="11"/>
        <v>111</v>
      </c>
      <c r="R34" s="772" t="s">
        <v>17</v>
      </c>
      <c r="S34" s="773">
        <f t="shared" si="12"/>
        <v>100</v>
      </c>
      <c r="T34" s="772" t="s">
        <v>17</v>
      </c>
      <c r="U34" s="773">
        <f t="shared" si="13"/>
        <v>100</v>
      </c>
      <c r="V34" s="772" t="s">
        <v>17</v>
      </c>
      <c r="W34" s="773">
        <f t="shared" si="14"/>
        <v>100</v>
      </c>
      <c r="X34" s="1812"/>
      <c r="Y34" s="3181"/>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81"/>
      <c r="Q35" s="774">
        <f t="shared" si="11"/>
        <v>111</v>
      </c>
      <c r="R35" s="775" t="s">
        <v>17</v>
      </c>
      <c r="S35" s="776">
        <f t="shared" si="12"/>
        <v>100</v>
      </c>
      <c r="T35" s="775" t="s">
        <v>17</v>
      </c>
      <c r="U35" s="776">
        <f t="shared" si="13"/>
        <v>100</v>
      </c>
      <c r="V35" s="775" t="s">
        <v>17</v>
      </c>
      <c r="W35" s="776">
        <f t="shared" si="14"/>
        <v>100</v>
      </c>
      <c r="X35" s="777"/>
      <c r="Y35" s="3181"/>
      <c r="Z35" s="778">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81"/>
      <c r="Q36" s="1809">
        <f t="shared" si="11"/>
        <v>111</v>
      </c>
      <c r="R36" s="772" t="s">
        <v>17</v>
      </c>
      <c r="S36" s="773">
        <f t="shared" si="12"/>
        <v>100</v>
      </c>
      <c r="T36" s="772" t="s">
        <v>17</v>
      </c>
      <c r="U36" s="773">
        <f t="shared" si="13"/>
        <v>100</v>
      </c>
      <c r="V36" s="772" t="s">
        <v>17</v>
      </c>
      <c r="W36" s="773">
        <f t="shared" si="14"/>
        <v>100</v>
      </c>
      <c r="X36" s="1812"/>
      <c r="Y36" s="3181"/>
      <c r="Z36" s="1813">
        <f t="shared" si="15"/>
        <v>111</v>
      </c>
      <c r="AA36" s="1810">
        <f t="shared" si="3"/>
        <v>1</v>
      </c>
      <c r="AB36" s="1810">
        <f t="shared" si="4"/>
        <v>1</v>
      </c>
      <c r="AC36" s="1810">
        <f t="shared" si="5"/>
        <v>1</v>
      </c>
    </row>
    <row r="37" spans="1:29" ht="15">
      <c r="A37" s="478" t="s">
        <v>2723</v>
      </c>
      <c r="B37" s="2689" t="s">
        <v>2724</v>
      </c>
      <c r="C37" s="1406" t="s">
        <v>1</v>
      </c>
      <c r="D37" s="1407"/>
      <c r="E37" s="1408"/>
      <c r="F37" s="1409"/>
      <c r="G37" s="1410"/>
      <c r="H37" s="1411"/>
      <c r="I37" s="1408"/>
      <c r="J37" s="1411"/>
      <c r="K37" s="618"/>
      <c r="L37" s="1143"/>
      <c r="M37" s="1144"/>
      <c r="N37" s="1131"/>
      <c r="O37" s="1144"/>
      <c r="P37" s="3176" t="str">
        <f>A37</f>
        <v>成交单价</v>
      </c>
      <c r="Q37" s="3176"/>
      <c r="R37" s="3225">
        <f>E37</f>
        <v>0</v>
      </c>
      <c r="S37" s="3225"/>
      <c r="T37" s="3225">
        <f>G37</f>
        <v>0</v>
      </c>
      <c r="U37" s="3225"/>
      <c r="V37" s="3225">
        <f>I37</f>
        <v>0</v>
      </c>
      <c r="W37" s="3225"/>
      <c r="X37" s="757"/>
      <c r="Y37" s="779"/>
      <c r="Z37" s="757"/>
      <c r="AA37" s="757"/>
      <c r="AB37" s="757"/>
      <c r="AC37" s="757"/>
    </row>
    <row r="38" spans="1:29" ht="15.75" thickBot="1">
      <c r="A38" s="485" t="s">
        <v>2725</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176" t="str">
        <f>A38</f>
        <v>比较价值（元/平方米）</v>
      </c>
      <c r="Q38" s="3176"/>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7"/>
      <c r="Y38" s="757"/>
      <c r="Z38" s="757"/>
      <c r="AA38" s="757"/>
      <c r="AB38" s="757"/>
      <c r="AC38" s="757"/>
    </row>
    <row r="39" spans="1:29" ht="15.75" thickBot="1">
      <c r="A39" s="491" t="s">
        <v>2726</v>
      </c>
      <c r="B39" s="492"/>
      <c r="C39" s="1416" t="e">
        <f>R39</f>
        <v>#DIV/0!</v>
      </c>
      <c r="D39" s="1416"/>
      <c r="E39" s="1416"/>
      <c r="F39" s="1416"/>
      <c r="G39" s="1416"/>
      <c r="H39" s="1416"/>
      <c r="I39" s="1416"/>
      <c r="J39" s="1416"/>
      <c r="K39" s="620"/>
      <c r="L39" s="1143"/>
      <c r="M39" s="1144"/>
      <c r="N39" s="1144"/>
      <c r="O39" s="1144"/>
      <c r="P39" s="3170" t="str">
        <f>A39</f>
        <v>估价对象XX用房的比较价值（楼面单价，元/平方米）</v>
      </c>
      <c r="Q39" s="3171"/>
      <c r="R39" s="3226" t="e">
        <f>IF(F1="售价",ROUND(AVERAGE(R38:V38),0),ROUND(AVERAGE(R38:V38),1))</f>
        <v>#DIV/0!</v>
      </c>
      <c r="S39" s="3226"/>
      <c r="T39" s="3226"/>
      <c r="U39" s="3226"/>
      <c r="V39" s="3226"/>
      <c r="W39" s="3226"/>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2731</v>
      </c>
      <c r="B48" s="505"/>
      <c r="C48" s="1574" t="str">
        <f>YEAR(C7)&amp;"-"&amp;MONTH(C7)</f>
        <v>2017-11</v>
      </c>
      <c r="D48" s="1575">
        <f>EDATE(C48,-1)</f>
        <v>43009</v>
      </c>
      <c r="E48" s="1575">
        <f t="shared" ref="E48:O48" si="16">EDATE(D48,-1)</f>
        <v>42979</v>
      </c>
      <c r="F48" s="1575">
        <f t="shared" si="16"/>
        <v>42948</v>
      </c>
      <c r="G48" s="1575">
        <f t="shared" si="16"/>
        <v>42917</v>
      </c>
      <c r="H48" s="1575">
        <f t="shared" si="16"/>
        <v>42887</v>
      </c>
      <c r="I48" s="1575">
        <f t="shared" si="16"/>
        <v>42856</v>
      </c>
      <c r="J48" s="1575">
        <f t="shared" si="16"/>
        <v>42826</v>
      </c>
      <c r="K48" s="1575">
        <f t="shared" si="16"/>
        <v>42795</v>
      </c>
      <c r="L48" s="1575">
        <f t="shared" si="16"/>
        <v>42767</v>
      </c>
      <c r="M48" s="1575">
        <f t="shared" si="16"/>
        <v>42736</v>
      </c>
      <c r="N48" s="1575">
        <f t="shared" si="16"/>
        <v>42705</v>
      </c>
      <c r="O48" s="1575">
        <f t="shared" si="16"/>
        <v>42675</v>
      </c>
      <c r="P48" s="1437"/>
      <c r="Q48" s="1438"/>
      <c r="R48" s="1438"/>
      <c r="S48" s="1438"/>
      <c r="T48" s="1438"/>
      <c r="U48" s="1438"/>
      <c r="V48" s="1438"/>
      <c r="W48" s="1438"/>
      <c r="X48" s="1438"/>
      <c r="Y48" s="1438"/>
      <c r="Z48" s="1438"/>
      <c r="AA48" s="1438"/>
      <c r="AB48" s="1438"/>
      <c r="AC48" s="1438"/>
    </row>
    <row r="49" spans="1:29" s="116" customFormat="1" ht="15">
      <c r="A49" s="508"/>
      <c r="B49" s="509"/>
      <c r="C49" s="1566">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2588</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2553</v>
      </c>
      <c r="B51" s="509"/>
      <c r="C51" s="521" t="s">
        <v>2655</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2591</v>
      </c>
      <c r="B53" s="527" t="s">
        <v>2557</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2606</v>
      </c>
      <c r="C65" s="577" t="s">
        <v>2600</v>
      </c>
      <c r="D65" s="577" t="s">
        <v>2601</v>
      </c>
      <c r="E65" s="577" t="s">
        <v>2602</v>
      </c>
      <c r="F65" s="577" t="s">
        <v>2603</v>
      </c>
      <c r="G65" s="577" t="s">
        <v>2604</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2692</v>
      </c>
      <c r="C67" s="659" t="s">
        <v>2678</v>
      </c>
      <c r="D67" s="659" t="s">
        <v>2679</v>
      </c>
      <c r="E67" s="659" t="s">
        <v>2680</v>
      </c>
      <c r="F67" s="659" t="s">
        <v>2681</v>
      </c>
      <c r="G67" s="659" t="s">
        <v>2682</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2612</v>
      </c>
      <c r="C69" s="577" t="s">
        <v>2600</v>
      </c>
      <c r="D69" s="577" t="s">
        <v>2601</v>
      </c>
      <c r="E69" s="577" t="s">
        <v>2602</v>
      </c>
      <c r="F69" s="577" t="s">
        <v>2603</v>
      </c>
      <c r="G69" s="577" t="s">
        <v>2604</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2732</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2566</v>
      </c>
      <c r="B79" s="527" t="s">
        <v>2733</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2734</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2619</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2736</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2738</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2739</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2710</v>
      </c>
      <c r="B1" s="1618"/>
      <c r="C1" s="1619" t="s">
        <v>2533</v>
      </c>
      <c r="D1" s="1620"/>
      <c r="E1" s="1629"/>
      <c r="F1" s="2580"/>
      <c r="G1" s="1630" t="s">
        <v>2646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2333</v>
      </c>
      <c r="B2" s="1417" t="e">
        <f ca="1">IF(C2="——",ROUND(C37*D3/10000,0),ROUND(C37*D3/10000,0)-D2)</f>
        <v>#DIV/0!</v>
      </c>
      <c r="C2" s="2582"/>
      <c r="D2" s="1124" t="e">
        <f ca="1">SUMIF(INDIRECT("'"&amp;F2&amp;"'"&amp;"!A:A"),"承租人权益价值",INDIRECT("'"&amp;F2&amp;"'"&amp;"!c:c"))</f>
        <v>#REF!</v>
      </c>
      <c r="E2" s="2583" t="s">
        <v>2334</v>
      </c>
      <c r="F2" s="2584"/>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2335</v>
      </c>
      <c r="B3" s="608" t="e">
        <f ca="1">IF(C2="——",C37,ROUND(B2*10000/D3,0))</f>
        <v>#DIV/0!</v>
      </c>
      <c r="C3" s="399" t="s">
        <v>2647</v>
      </c>
      <c r="D3" s="398">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3" t="s">
        <v>2649</v>
      </c>
      <c r="D4" s="3186"/>
      <c r="E4" s="3187" t="s">
        <v>2650</v>
      </c>
      <c r="F4" s="3188"/>
      <c r="G4" s="3173" t="s">
        <v>2651</v>
      </c>
      <c r="H4" s="3186"/>
      <c r="I4" s="3173" t="s">
        <v>2652</v>
      </c>
      <c r="J4" s="3186"/>
      <c r="K4" s="609" t="s">
        <v>2653</v>
      </c>
      <c r="L4" s="1130"/>
      <c r="M4" s="1131"/>
      <c r="N4" s="1131"/>
      <c r="O4" s="1131"/>
      <c r="P4" s="3189" t="s">
        <v>2654</v>
      </c>
      <c r="Q4" s="3190"/>
      <c r="R4" s="3195" t="s">
        <v>2650</v>
      </c>
      <c r="S4" s="3196"/>
      <c r="T4" s="3195" t="s">
        <v>2651</v>
      </c>
      <c r="U4" s="3196"/>
      <c r="V4" s="3182" t="s">
        <v>2652</v>
      </c>
      <c r="W4" s="3182"/>
      <c r="X4" s="1812"/>
      <c r="Y4" s="3195" t="s">
        <v>2654</v>
      </c>
      <c r="Z4" s="3196"/>
      <c r="AA4" s="3183" t="s">
        <v>2650</v>
      </c>
      <c r="AB4" s="3184" t="s">
        <v>2651</v>
      </c>
      <c r="AC4" s="3183" t="s">
        <v>2652</v>
      </c>
    </row>
    <row r="5" spans="1:29" ht="15">
      <c r="A5" s="403"/>
      <c r="B5" s="404"/>
      <c r="C5" s="3208" t="s">
        <v>2545</v>
      </c>
      <c r="D5" s="3204"/>
      <c r="E5" s="3250" t="s">
        <v>2546</v>
      </c>
      <c r="F5" s="3213"/>
      <c r="G5" s="3208" t="s">
        <v>2547</v>
      </c>
      <c r="H5" s="3204"/>
      <c r="I5" s="3208" t="s">
        <v>2548</v>
      </c>
      <c r="J5" s="3204"/>
      <c r="K5" s="609"/>
      <c r="L5" s="1130"/>
      <c r="M5" s="1131"/>
      <c r="N5" s="1131"/>
      <c r="O5" s="1131"/>
      <c r="P5" s="3191"/>
      <c r="Q5" s="3192"/>
      <c r="R5" s="3197"/>
      <c r="S5" s="3198"/>
      <c r="T5" s="3197"/>
      <c r="U5" s="3198"/>
      <c r="V5" s="3182"/>
      <c r="W5" s="3182"/>
      <c r="X5" s="1812"/>
      <c r="Y5" s="3197"/>
      <c r="Z5" s="3198"/>
      <c r="AA5" s="3184"/>
      <c r="AB5" s="3184"/>
      <c r="AC5" s="3184"/>
    </row>
    <row r="6" spans="1:29" ht="15.75" thickBot="1">
      <c r="A6" s="405"/>
      <c r="B6" s="406"/>
      <c r="C6" s="3209" t="s">
        <v>2549</v>
      </c>
      <c r="D6" s="3202"/>
      <c r="E6" s="3249" t="s">
        <v>2549</v>
      </c>
      <c r="F6" s="3211"/>
      <c r="G6" s="3209" t="s">
        <v>2549</v>
      </c>
      <c r="H6" s="3202"/>
      <c r="I6" s="3209" t="s">
        <v>2549</v>
      </c>
      <c r="J6" s="3202"/>
      <c r="K6" s="609" t="s">
        <v>2550</v>
      </c>
      <c r="L6" s="1130"/>
      <c r="M6" s="1131"/>
      <c r="N6" s="1131"/>
      <c r="O6" s="1131"/>
      <c r="P6" s="3193"/>
      <c r="Q6" s="3194"/>
      <c r="R6" s="3197"/>
      <c r="S6" s="3198"/>
      <c r="T6" s="3199"/>
      <c r="U6" s="3200"/>
      <c r="V6" s="3182"/>
      <c r="W6" s="3182"/>
      <c r="X6" s="1812"/>
      <c r="Y6" s="3199"/>
      <c r="Z6" s="3200"/>
      <c r="AA6" s="3185"/>
      <c r="AB6" s="3185"/>
      <c r="AC6" s="3185"/>
    </row>
    <row r="7" spans="1:29" s="116" customFormat="1" ht="15.75" thickBot="1">
      <c r="A7" s="407" t="s">
        <v>2551</v>
      </c>
      <c r="B7" s="408"/>
      <c r="C7" s="409">
        <f>'数据-取费表'!B2</f>
        <v>43056</v>
      </c>
      <c r="D7" s="410">
        <v>100</v>
      </c>
      <c r="E7" s="411"/>
      <c r="F7" s="412">
        <f>SUMIF(46:46,YEAR(E7)&amp;"-"&amp;MONTH(E7),47:47)</f>
        <v>0</v>
      </c>
      <c r="G7" s="2690"/>
      <c r="H7" s="410">
        <f>SUMIF(46:46,YEAR(G7)&amp;"-"&amp;MONTH(G7),47:47)</f>
        <v>0</v>
      </c>
      <c r="I7" s="411"/>
      <c r="J7" s="410">
        <f>SUMIF(46:46,YEAR(I7)&amp;"-"&amp;MONTH(I7),47:47)</f>
        <v>0</v>
      </c>
      <c r="K7" s="610"/>
      <c r="L7" s="1132"/>
      <c r="M7" s="1133"/>
      <c r="N7" s="1133"/>
      <c r="O7" s="1133"/>
      <c r="P7" s="3205" t="s">
        <v>2552</v>
      </c>
      <c r="Q7" s="3207"/>
      <c r="R7" s="768" t="s">
        <v>17</v>
      </c>
      <c r="S7" s="769">
        <f t="shared" ref="S7:S14" si="0">F7</f>
        <v>0</v>
      </c>
      <c r="T7" s="768" t="s">
        <v>17</v>
      </c>
      <c r="U7" s="769">
        <f t="shared" ref="U7:U14" si="1">H7</f>
        <v>0</v>
      </c>
      <c r="V7" s="768" t="s">
        <v>17</v>
      </c>
      <c r="W7" s="769">
        <f t="shared" ref="W7:W14" si="2">J7</f>
        <v>0</v>
      </c>
      <c r="X7" s="770"/>
      <c r="Y7" s="3205" t="s">
        <v>2552</v>
      </c>
      <c r="Z7" s="3206"/>
      <c r="AA7" s="771" t="e">
        <f>D7/F7</f>
        <v>#DIV/0!</v>
      </c>
      <c r="AB7" s="771" t="e">
        <f>D7/H7</f>
        <v>#DIV/0!</v>
      </c>
      <c r="AC7" s="771"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05" t="s">
        <v>2555</v>
      </c>
      <c r="Q8" s="3206"/>
      <c r="R8" s="768" t="s">
        <v>17</v>
      </c>
      <c r="S8" s="769">
        <f t="shared" si="0"/>
        <v>0</v>
      </c>
      <c r="T8" s="768" t="s">
        <v>17</v>
      </c>
      <c r="U8" s="769">
        <f t="shared" si="1"/>
        <v>0</v>
      </c>
      <c r="V8" s="768" t="s">
        <v>17</v>
      </c>
      <c r="W8" s="769">
        <f t="shared" si="2"/>
        <v>0</v>
      </c>
      <c r="X8" s="770"/>
      <c r="Y8" s="3205" t="s">
        <v>2555</v>
      </c>
      <c r="Z8" s="3206"/>
      <c r="AA8" s="771" t="e">
        <f t="shared" ref="AA8:AA34" si="3">D8/F8</f>
        <v>#DIV/0!</v>
      </c>
      <c r="AB8" s="771" t="e">
        <f t="shared" ref="AB8:AB34" si="4">D8/H8</f>
        <v>#DIV/0!</v>
      </c>
      <c r="AC8" s="771" t="e">
        <f t="shared" ref="AC8:AC34" si="5">D8/J8</f>
        <v>#DIV/0!</v>
      </c>
    </row>
    <row r="9" spans="1:29" s="116" customFormat="1">
      <c r="A9" s="414" t="s">
        <v>2556</v>
      </c>
      <c r="B9" s="70" t="s">
        <v>2557</v>
      </c>
      <c r="C9" s="415"/>
      <c r="D9" s="133">
        <v>100</v>
      </c>
      <c r="E9" s="418"/>
      <c r="F9" s="417">
        <f>SUMIF(51:51,E9,52:52)-SUMIF(51:51,C9,52:52)+100</f>
        <v>100</v>
      </c>
      <c r="G9" s="418"/>
      <c r="H9" s="133">
        <f>SUMIF(51:51,G9,52:52)-SUMIF(51:51,C9,52:52)+100</f>
        <v>100</v>
      </c>
      <c r="I9" s="418"/>
      <c r="J9" s="133">
        <f>SUMIF(51:51,I9,52:52)-SUMIF(51:51,C9,52:52)+100</f>
        <v>100</v>
      </c>
      <c r="K9" s="610"/>
      <c r="L9" s="1132"/>
      <c r="M9" s="1133"/>
      <c r="N9" s="1133"/>
      <c r="O9" s="1134"/>
      <c r="P9" s="3176" t="s">
        <v>2558</v>
      </c>
      <c r="Q9" s="1794" t="str">
        <f t="shared" ref="Q9:Q14" si="6">B9</f>
        <v>用途</v>
      </c>
      <c r="R9" s="768" t="s">
        <v>17</v>
      </c>
      <c r="S9" s="769">
        <f t="shared" si="0"/>
        <v>100</v>
      </c>
      <c r="T9" s="768" t="s">
        <v>17</v>
      </c>
      <c r="U9" s="769">
        <f t="shared" si="1"/>
        <v>100</v>
      </c>
      <c r="V9" s="768" t="s">
        <v>17</v>
      </c>
      <c r="W9" s="769">
        <f t="shared" si="2"/>
        <v>100</v>
      </c>
      <c r="X9" s="770"/>
      <c r="Y9" s="3024" t="s">
        <v>2559</v>
      </c>
      <c r="Z9" s="54" t="str">
        <f t="shared" ref="Z9:Z14" si="7">Q9</f>
        <v>用途</v>
      </c>
      <c r="AA9" s="771">
        <f t="shared" si="3"/>
        <v>1</v>
      </c>
      <c r="AB9" s="771">
        <f t="shared" si="4"/>
        <v>1</v>
      </c>
      <c r="AC9" s="771">
        <f t="shared" si="5"/>
        <v>1</v>
      </c>
    </row>
    <row r="10" spans="1:29" s="426" customFormat="1" ht="27">
      <c r="A10" s="420"/>
      <c r="B10" s="421" t="s">
        <v>2560</v>
      </c>
      <c r="C10" s="422"/>
      <c r="D10" s="134">
        <v>100</v>
      </c>
      <c r="E10" s="422"/>
      <c r="F10" s="424">
        <f>SUMIF(53:53,E10,54:54)-SUMIF(53:53,C10,54:54)+100</f>
        <v>100</v>
      </c>
      <c r="G10" s="422"/>
      <c r="H10" s="134">
        <f>SUMIF(53:53,G10,54:54)-SUMIF(53:53,C10,54:54)+100</f>
        <v>100</v>
      </c>
      <c r="I10" s="422"/>
      <c r="J10" s="134">
        <f>SUMIF(53:53,I10,54:54)-SUMIF(53:53,C10,54:54)+100</f>
        <v>100</v>
      </c>
      <c r="K10" s="611"/>
      <c r="L10" s="1135"/>
      <c r="M10" s="1136"/>
      <c r="N10" s="1136"/>
      <c r="O10" s="1137"/>
      <c r="P10" s="3176"/>
      <c r="Q10" s="1794"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2596">
        <v>111</v>
      </c>
      <c r="C11" s="431"/>
      <c r="D11" s="134">
        <v>100</v>
      </c>
      <c r="E11" s="468"/>
      <c r="F11" s="424">
        <f>SUMIF(55:55,E11,56:56)-SUMIF(55:55,C11,56:56)+100</f>
        <v>100</v>
      </c>
      <c r="G11" s="468"/>
      <c r="H11" s="134">
        <f>SUMIF(55:55,G11,56:56)-SUMIF(55:55,C11,56:56)+100</f>
        <v>100</v>
      </c>
      <c r="I11" s="468"/>
      <c r="J11" s="134">
        <f>SUMIF(55:55,I11,56:56)-SUMIF(55:55,C11,56:56)+100</f>
        <v>100</v>
      </c>
      <c r="K11" s="612"/>
      <c r="L11" s="1138"/>
      <c r="M11" s="1131"/>
      <c r="N11" s="1131"/>
      <c r="O11" s="1139"/>
      <c r="P11" s="3176"/>
      <c r="Q11" s="1794">
        <f t="shared" si="6"/>
        <v>111</v>
      </c>
      <c r="R11" s="768" t="s">
        <v>17</v>
      </c>
      <c r="S11" s="769">
        <f t="shared" si="0"/>
        <v>100</v>
      </c>
      <c r="T11" s="768" t="s">
        <v>17</v>
      </c>
      <c r="U11" s="769">
        <f t="shared" si="1"/>
        <v>100</v>
      </c>
      <c r="V11" s="768" t="s">
        <v>17</v>
      </c>
      <c r="W11" s="769">
        <f t="shared" si="2"/>
        <v>100</v>
      </c>
      <c r="X11" s="770"/>
      <c r="Y11" s="3024"/>
      <c r="Z11" s="54">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4">
        <f>SUMIF(57:57,G12,58:58)-SUMIF(57:57,C12,58:58)+100</f>
        <v>100</v>
      </c>
      <c r="I12" s="468"/>
      <c r="J12" s="134">
        <f>SUMIF(57:57,I12,58:58)-SUMIF(57:57,C12,58:58)+100</f>
        <v>100</v>
      </c>
      <c r="K12" s="612"/>
      <c r="L12" s="1132"/>
      <c r="M12" s="1133"/>
      <c r="N12" s="1133"/>
      <c r="O12" s="1134"/>
      <c r="P12" s="3176"/>
      <c r="Q12" s="1794">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1"/>
      <c r="H13" s="437">
        <f>SUMIF(59:59,G13,60:60)-SUMIF(59:59,C13,60:60)+100</f>
        <v>100</v>
      </c>
      <c r="I13" s="468"/>
      <c r="J13" s="434">
        <f>SUMIF(59:59,I13,60:60)-SUMIF(59:59,C13,60:60)+100</f>
        <v>100</v>
      </c>
      <c r="K13" s="612"/>
      <c r="L13" s="1140"/>
      <c r="M13" s="1131"/>
      <c r="N13" s="1131"/>
      <c r="O13" s="1139"/>
      <c r="P13" s="3176"/>
      <c r="Q13" s="1794">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85.5">
      <c r="A14" s="439" t="s">
        <v>2562</v>
      </c>
      <c r="B14" s="68" t="s">
        <v>2712</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78" t="s">
        <v>2563</v>
      </c>
      <c r="Q14" s="1809" t="str">
        <f t="shared" si="6"/>
        <v>交通便捷度</v>
      </c>
      <c r="R14" s="772" t="s">
        <v>17</v>
      </c>
      <c r="S14" s="773">
        <f t="shared" si="0"/>
        <v>100</v>
      </c>
      <c r="T14" s="772" t="s">
        <v>17</v>
      </c>
      <c r="U14" s="773">
        <f t="shared" si="1"/>
        <v>100</v>
      </c>
      <c r="V14" s="772" t="s">
        <v>17</v>
      </c>
      <c r="W14" s="773">
        <f t="shared" si="2"/>
        <v>100</v>
      </c>
      <c r="X14" s="1812"/>
      <c r="Y14" s="3178" t="s">
        <v>2563</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40"/>
      <c r="M15" s="1131"/>
      <c r="N15" s="1131"/>
      <c r="O15" s="1139"/>
      <c r="P15" s="3179"/>
      <c r="Q15" s="1809"/>
      <c r="R15" s="772"/>
      <c r="S15" s="773"/>
      <c r="T15" s="772"/>
      <c r="U15" s="773"/>
      <c r="V15" s="772"/>
      <c r="W15" s="773"/>
      <c r="X15" s="1812"/>
      <c r="Y15" s="3179"/>
      <c r="Z15" s="1813"/>
      <c r="AA15" s="1810">
        <v>1</v>
      </c>
      <c r="AB15" s="1810">
        <v>1</v>
      </c>
      <c r="AC15" s="1810">
        <v>1</v>
      </c>
    </row>
    <row r="16" spans="1:29" ht="42.75">
      <c r="A16" s="427"/>
      <c r="B16" s="450" t="s">
        <v>2691</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79"/>
      <c r="Q16" s="1809" t="str">
        <f>B16</f>
        <v>公共配套设施</v>
      </c>
      <c r="R16" s="772" t="s">
        <v>17</v>
      </c>
      <c r="S16" s="773">
        <f>F16</f>
        <v>100</v>
      </c>
      <c r="T16" s="772" t="s">
        <v>17</v>
      </c>
      <c r="U16" s="773">
        <f>H16</f>
        <v>100</v>
      </c>
      <c r="V16" s="772" t="s">
        <v>17</v>
      </c>
      <c r="W16" s="773">
        <f>J16</f>
        <v>100</v>
      </c>
      <c r="X16" s="1812"/>
      <c r="Y16" s="3179"/>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40"/>
      <c r="M17" s="1131"/>
      <c r="N17" s="1131"/>
      <c r="O17" s="1139"/>
      <c r="P17" s="3179"/>
      <c r="Q17" s="1809"/>
      <c r="R17" s="772"/>
      <c r="S17" s="773"/>
      <c r="T17" s="772"/>
      <c r="U17" s="773"/>
      <c r="V17" s="772"/>
      <c r="W17" s="773"/>
      <c r="X17" s="1812"/>
      <c r="Y17" s="3179"/>
      <c r="Z17" s="1813"/>
      <c r="AA17" s="1810">
        <v>1</v>
      </c>
      <c r="AB17" s="1810">
        <v>1</v>
      </c>
      <c r="AC17" s="1810">
        <v>1</v>
      </c>
    </row>
    <row r="18" spans="1:29" ht="28.5">
      <c r="A18" s="427"/>
      <c r="B18" s="1384" t="s">
        <v>2692</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79"/>
      <c r="Q18" s="1809" t="str">
        <f>B18</f>
        <v>基础设施水平</v>
      </c>
      <c r="R18" s="772" t="s">
        <v>17</v>
      </c>
      <c r="S18" s="773">
        <f>F18</f>
        <v>100</v>
      </c>
      <c r="T18" s="772" t="s">
        <v>17</v>
      </c>
      <c r="U18" s="773">
        <f>H18</f>
        <v>100</v>
      </c>
      <c r="V18" s="772" t="s">
        <v>17</v>
      </c>
      <c r="W18" s="773">
        <f>J18</f>
        <v>100</v>
      </c>
      <c r="X18" s="1812"/>
      <c r="Y18" s="3179"/>
      <c r="Z18" s="1813" t="str">
        <f>Q18</f>
        <v>基础设施水平</v>
      </c>
      <c r="AA18" s="1810">
        <f t="shared" ref="AA18" si="8">D18/F18</f>
        <v>1</v>
      </c>
      <c r="AB18" s="1810">
        <f t="shared" ref="AB18" si="9">D18/H18</f>
        <v>1</v>
      </c>
      <c r="AC18" s="1810">
        <f t="shared" ref="AC18" si="10">D18/J18</f>
        <v>1</v>
      </c>
    </row>
    <row r="19" spans="1:29" ht="15">
      <c r="A19" s="427"/>
      <c r="B19" s="1384"/>
      <c r="C19" s="2604"/>
      <c r="D19" s="449"/>
      <c r="E19" s="2604"/>
      <c r="F19" s="452"/>
      <c r="G19" s="2604"/>
      <c r="H19" s="447"/>
      <c r="I19" s="446"/>
      <c r="J19" s="447"/>
      <c r="K19" s="1383"/>
      <c r="L19" s="1140"/>
      <c r="M19" s="1131"/>
      <c r="N19" s="1131"/>
      <c r="O19" s="1139"/>
      <c r="P19" s="3179"/>
      <c r="Q19" s="1809"/>
      <c r="R19" s="772"/>
      <c r="S19" s="773"/>
      <c r="T19" s="772"/>
      <c r="U19" s="773"/>
      <c r="V19" s="772"/>
      <c r="W19" s="773"/>
      <c r="X19" s="1812"/>
      <c r="Y19" s="3179"/>
      <c r="Z19" s="1813"/>
      <c r="AA19" s="1810">
        <v>1</v>
      </c>
      <c r="AB19" s="1810">
        <v>1</v>
      </c>
      <c r="AC19" s="1810">
        <v>1</v>
      </c>
    </row>
    <row r="20" spans="1:29" ht="57">
      <c r="A20" s="427"/>
      <c r="B20" s="450" t="s">
        <v>2713</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79"/>
      <c r="Q20" s="1809" t="str">
        <f>B20</f>
        <v>自然及人文环境</v>
      </c>
      <c r="R20" s="772" t="s">
        <v>17</v>
      </c>
      <c r="S20" s="773">
        <f>F20</f>
        <v>100</v>
      </c>
      <c r="T20" s="772" t="s">
        <v>17</v>
      </c>
      <c r="U20" s="773">
        <f>H20</f>
        <v>100</v>
      </c>
      <c r="V20" s="772" t="s">
        <v>17</v>
      </c>
      <c r="W20" s="773">
        <f>J20</f>
        <v>100</v>
      </c>
      <c r="X20" s="1812"/>
      <c r="Y20" s="3179"/>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40"/>
      <c r="M21" s="1131"/>
      <c r="N21" s="1131"/>
      <c r="O21" s="1139"/>
      <c r="P21" s="3179"/>
      <c r="Q21" s="1809"/>
      <c r="R21" s="772"/>
      <c r="S21" s="773"/>
      <c r="T21" s="772"/>
      <c r="U21" s="773"/>
      <c r="V21" s="772"/>
      <c r="W21" s="773"/>
      <c r="X21" s="1812"/>
      <c r="Y21" s="3179"/>
      <c r="Z21" s="1813"/>
      <c r="AA21" s="1810">
        <v>1</v>
      </c>
      <c r="AB21" s="1810">
        <v>1</v>
      </c>
      <c r="AC21" s="1810">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79"/>
      <c r="Q22" s="1809" t="str">
        <f>B22</f>
        <v>楼层</v>
      </c>
      <c r="R22" s="772" t="s">
        <v>17</v>
      </c>
      <c r="S22" s="773">
        <f>F22</f>
        <v>100</v>
      </c>
      <c r="T22" s="772" t="s">
        <v>17</v>
      </c>
      <c r="U22" s="773">
        <f>H22</f>
        <v>100</v>
      </c>
      <c r="V22" s="772" t="s">
        <v>17</v>
      </c>
      <c r="W22" s="773">
        <f>J22</f>
        <v>100</v>
      </c>
      <c r="X22" s="1812"/>
      <c r="Y22" s="3179"/>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79"/>
      <c r="Q23" s="1809">
        <f>B23</f>
        <v>111</v>
      </c>
      <c r="R23" s="772" t="s">
        <v>17</v>
      </c>
      <c r="S23" s="773">
        <f>F23</f>
        <v>100</v>
      </c>
      <c r="T23" s="772" t="s">
        <v>17</v>
      </c>
      <c r="U23" s="773">
        <f>H23</f>
        <v>100</v>
      </c>
      <c r="V23" s="772" t="s">
        <v>17</v>
      </c>
      <c r="W23" s="773">
        <f>J23</f>
        <v>100</v>
      </c>
      <c r="X23" s="1812"/>
      <c r="Y23" s="3179"/>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79"/>
      <c r="Q24" s="1809">
        <f t="shared" ref="Q24:Q34" si="11">B24</f>
        <v>111</v>
      </c>
      <c r="R24" s="772" t="s">
        <v>17</v>
      </c>
      <c r="S24" s="773">
        <f>F24</f>
        <v>100</v>
      </c>
      <c r="T24" s="772" t="s">
        <v>17</v>
      </c>
      <c r="U24" s="773">
        <f>H24</f>
        <v>100</v>
      </c>
      <c r="V24" s="772" t="s">
        <v>17</v>
      </c>
      <c r="W24" s="773">
        <f>J24</f>
        <v>100</v>
      </c>
      <c r="X24" s="1812"/>
      <c r="Y24" s="3179"/>
      <c r="Z24" s="1813">
        <f>Q24</f>
        <v>111</v>
      </c>
      <c r="AA24" s="1810">
        <f t="shared" si="3"/>
        <v>1</v>
      </c>
      <c r="AB24" s="1810">
        <f t="shared" si="4"/>
        <v>1</v>
      </c>
      <c r="AC24" s="1810">
        <f t="shared" si="5"/>
        <v>1</v>
      </c>
    </row>
    <row r="25" spans="1:29" s="116" customFormat="1" ht="15.75" thickBot="1">
      <c r="A25" s="430"/>
      <c r="B25" s="2596">
        <v>111</v>
      </c>
      <c r="C25" s="2692"/>
      <c r="D25" s="664">
        <v>100</v>
      </c>
      <c r="E25" s="2692"/>
      <c r="F25" s="665">
        <f>SUMIF(75:75,E25,76:76)-SUMIF(75:75,C25,76:76)+100</f>
        <v>100</v>
      </c>
      <c r="G25" s="2692"/>
      <c r="H25" s="664">
        <f>SUMIF(75:75,G25,76:76)-SUMIF(75:75,C25,76:76)+100</f>
        <v>100</v>
      </c>
      <c r="I25" s="2692"/>
      <c r="J25" s="664">
        <f>SUMIF(75:75,I25,76:76)-SUMIF(75:75,C25,76:76)+100</f>
        <v>100</v>
      </c>
      <c r="K25" s="612"/>
      <c r="L25" s="1132"/>
      <c r="M25" s="1133"/>
      <c r="N25" s="1133"/>
      <c r="O25" s="1134"/>
      <c r="P25" s="3179"/>
      <c r="Q25" s="1794">
        <f t="shared" si="11"/>
        <v>111</v>
      </c>
      <c r="R25" s="768" t="s">
        <v>17</v>
      </c>
      <c r="S25" s="769">
        <f>F25</f>
        <v>100</v>
      </c>
      <c r="T25" s="768" t="s">
        <v>17</v>
      </c>
      <c r="U25" s="769">
        <f>H25</f>
        <v>100</v>
      </c>
      <c r="V25" s="768" t="s">
        <v>17</v>
      </c>
      <c r="W25" s="769">
        <f>J25</f>
        <v>100</v>
      </c>
      <c r="X25" s="770"/>
      <c r="Y25" s="3179"/>
      <c r="Z25" s="54">
        <f>Q25</f>
        <v>111</v>
      </c>
      <c r="AA25" s="1810">
        <f>D25/F25</f>
        <v>1</v>
      </c>
      <c r="AB25" s="1810">
        <f>D25/H25</f>
        <v>1</v>
      </c>
      <c r="AC25" s="1810">
        <f>D25/J25</f>
        <v>1</v>
      </c>
    </row>
    <row r="26" spans="1:29" ht="15">
      <c r="A26" s="465" t="s">
        <v>2566</v>
      </c>
      <c r="B26" s="70" t="s">
        <v>2717</v>
      </c>
      <c r="C26" s="2673"/>
      <c r="D26" s="466">
        <v>100</v>
      </c>
      <c r="E26" s="2673"/>
      <c r="F26" s="666">
        <f>SUMIF(77:77,E26,78:78)-SUMIF(77:77,C26,78:78)+100</f>
        <v>100</v>
      </c>
      <c r="G26" s="2673"/>
      <c r="H26" s="466">
        <f>SUMIF(77:77,G26,78:78)-SUMIF(77:77,C26,78:78)+100</f>
        <v>100</v>
      </c>
      <c r="I26" s="2673"/>
      <c r="J26" s="466">
        <f>SUMIF(77:77,I26,78:78)-SUMIF(77:77,C26,78:78)+100</f>
        <v>100</v>
      </c>
      <c r="K26" s="611"/>
      <c r="L26" s="1140"/>
      <c r="M26" s="1131"/>
      <c r="N26" s="1131"/>
      <c r="O26" s="1139"/>
      <c r="P26" s="3180" t="s">
        <v>2568</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181" t="s">
        <v>2568</v>
      </c>
      <c r="Z26" s="1813" t="str">
        <f t="shared" ref="Z26:Z34" si="15">Q26</f>
        <v>公共部分装修</v>
      </c>
      <c r="AA26" s="1810">
        <f t="shared" si="3"/>
        <v>1</v>
      </c>
      <c r="AB26" s="1810">
        <f t="shared" si="4"/>
        <v>1</v>
      </c>
      <c r="AC26" s="1810">
        <f t="shared" si="5"/>
        <v>1</v>
      </c>
    </row>
    <row r="27" spans="1:29" s="470" customFormat="1" ht="15">
      <c r="A27" s="467"/>
      <c r="B27" s="421" t="s">
        <v>2718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181"/>
      <c r="Q27" s="774" t="str">
        <f t="shared" si="11"/>
        <v>成新率</v>
      </c>
      <c r="R27" s="775" t="s">
        <v>17</v>
      </c>
      <c r="S27" s="776" t="e">
        <f t="shared" si="12"/>
        <v>#N/A</v>
      </c>
      <c r="T27" s="775" t="s">
        <v>17</v>
      </c>
      <c r="U27" s="776" t="e">
        <f t="shared" si="13"/>
        <v>#N/A</v>
      </c>
      <c r="V27" s="775" t="s">
        <v>17</v>
      </c>
      <c r="W27" s="776" t="e">
        <f t="shared" si="14"/>
        <v>#N/A</v>
      </c>
      <c r="X27" s="777"/>
      <c r="Y27" s="3181"/>
      <c r="Z27" s="778" t="str">
        <f t="shared" si="15"/>
        <v>成新率</v>
      </c>
      <c r="AA27" s="1810" t="e">
        <f t="shared" si="3"/>
        <v>#N/A</v>
      </c>
      <c r="AB27" s="1810" t="e">
        <f t="shared" si="4"/>
        <v>#N/A</v>
      </c>
      <c r="AC27" s="1810"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81"/>
      <c r="Q28" s="1809" t="str">
        <f t="shared" si="11"/>
        <v>物业等级</v>
      </c>
      <c r="R28" s="772" t="s">
        <v>17</v>
      </c>
      <c r="S28" s="773">
        <f t="shared" si="12"/>
        <v>100</v>
      </c>
      <c r="T28" s="772" t="s">
        <v>17</v>
      </c>
      <c r="U28" s="773">
        <f t="shared" si="13"/>
        <v>100</v>
      </c>
      <c r="V28" s="772" t="s">
        <v>17</v>
      </c>
      <c r="W28" s="773">
        <f t="shared" si="14"/>
        <v>100</v>
      </c>
      <c r="X28" s="1812"/>
      <c r="Y28" s="3181"/>
      <c r="Z28" s="1813" t="str">
        <f t="shared" si="15"/>
        <v>物业等级</v>
      </c>
      <c r="AA28" s="1810">
        <f t="shared" si="3"/>
        <v>1</v>
      </c>
      <c r="AB28" s="1810">
        <f t="shared" si="4"/>
        <v>1</v>
      </c>
      <c r="AC28" s="1810">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181"/>
      <c r="Q29" s="1809" t="str">
        <f t="shared" si="11"/>
        <v>有无电梯</v>
      </c>
      <c r="R29" s="772" t="s">
        <v>17</v>
      </c>
      <c r="S29" s="773">
        <f t="shared" si="12"/>
        <v>100</v>
      </c>
      <c r="T29" s="772" t="s">
        <v>17</v>
      </c>
      <c r="U29" s="773">
        <f t="shared" si="13"/>
        <v>100</v>
      </c>
      <c r="V29" s="772" t="s">
        <v>17</v>
      </c>
      <c r="W29" s="773">
        <f t="shared" si="14"/>
        <v>100</v>
      </c>
      <c r="X29" s="1812"/>
      <c r="Y29" s="3181"/>
      <c r="Z29" s="1813" t="str">
        <f t="shared" si="15"/>
        <v>有无电梯</v>
      </c>
      <c r="AA29" s="1810">
        <f t="shared" si="3"/>
        <v>1</v>
      </c>
      <c r="AB29" s="1810">
        <f t="shared" si="4"/>
        <v>1</v>
      </c>
      <c r="AC29" s="1810">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181"/>
      <c r="Q30" s="1809" t="str">
        <f t="shared" si="11"/>
        <v>建筑面积</v>
      </c>
      <c r="R30" s="772" t="s">
        <v>17</v>
      </c>
      <c r="S30" s="773" t="e">
        <f t="shared" si="12"/>
        <v>#N/A</v>
      </c>
      <c r="T30" s="772" t="s">
        <v>17</v>
      </c>
      <c r="U30" s="773" t="e">
        <f t="shared" si="13"/>
        <v>#N/A</v>
      </c>
      <c r="V30" s="772" t="s">
        <v>17</v>
      </c>
      <c r="W30" s="773" t="e">
        <f t="shared" si="14"/>
        <v>#N/A</v>
      </c>
      <c r="X30" s="1812"/>
      <c r="Y30" s="3181"/>
      <c r="Z30" s="1813" t="str">
        <f t="shared" si="15"/>
        <v>建筑面积</v>
      </c>
      <c r="AA30" s="1810" t="e">
        <f t="shared" si="3"/>
        <v>#N/A</v>
      </c>
      <c r="AB30" s="1810" t="e">
        <f t="shared" si="4"/>
        <v>#N/A</v>
      </c>
      <c r="AC30" s="1810" t="e">
        <f t="shared" si="5"/>
        <v>#N/A</v>
      </c>
    </row>
    <row r="31" spans="1:29" s="116" customFormat="1" ht="15">
      <c r="A31" s="472"/>
      <c r="B31" s="421" t="s">
        <v>2742</v>
      </c>
      <c r="C31" s="656"/>
      <c r="D31" s="134">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181"/>
      <c r="Q31" s="1794" t="str">
        <f t="shared" si="11"/>
        <v>是否封闭</v>
      </c>
      <c r="R31" s="768" t="s">
        <v>17</v>
      </c>
      <c r="S31" s="769">
        <f t="shared" si="12"/>
        <v>100</v>
      </c>
      <c r="T31" s="768" t="s">
        <v>17</v>
      </c>
      <c r="U31" s="769">
        <f t="shared" si="13"/>
        <v>100</v>
      </c>
      <c r="V31" s="768" t="s">
        <v>17</v>
      </c>
      <c r="W31" s="769">
        <f t="shared" si="14"/>
        <v>100</v>
      </c>
      <c r="X31" s="770"/>
      <c r="Y31" s="3181"/>
      <c r="Z31" s="54"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81" t="s">
        <v>2568</v>
      </c>
      <c r="Q32" s="1809">
        <f t="shared" si="11"/>
        <v>111</v>
      </c>
      <c r="R32" s="772" t="s">
        <v>17</v>
      </c>
      <c r="S32" s="773">
        <f t="shared" si="12"/>
        <v>100</v>
      </c>
      <c r="T32" s="772" t="s">
        <v>17</v>
      </c>
      <c r="U32" s="773">
        <f t="shared" si="13"/>
        <v>100</v>
      </c>
      <c r="V32" s="772" t="s">
        <v>17</v>
      </c>
      <c r="W32" s="773">
        <f t="shared" si="14"/>
        <v>100</v>
      </c>
      <c r="X32" s="1812"/>
      <c r="Y32" s="3181" t="s">
        <v>2568</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81"/>
      <c r="Q33" s="1809">
        <f t="shared" si="11"/>
        <v>111</v>
      </c>
      <c r="R33" s="772" t="s">
        <v>17</v>
      </c>
      <c r="S33" s="773">
        <f t="shared" si="12"/>
        <v>100</v>
      </c>
      <c r="T33" s="772" t="s">
        <v>17</v>
      </c>
      <c r="U33" s="773">
        <f t="shared" si="13"/>
        <v>100</v>
      </c>
      <c r="V33" s="772" t="s">
        <v>17</v>
      </c>
      <c r="W33" s="773">
        <f t="shared" si="14"/>
        <v>100</v>
      </c>
      <c r="X33" s="1812"/>
      <c r="Y33" s="3181"/>
      <c r="Z33" s="1813">
        <f t="shared" si="15"/>
        <v>111</v>
      </c>
      <c r="AA33" s="1810">
        <f t="shared" si="3"/>
        <v>1</v>
      </c>
      <c r="AB33" s="1810">
        <f t="shared" si="4"/>
        <v>1</v>
      </c>
      <c r="AC33" s="1810">
        <f t="shared" si="5"/>
        <v>1</v>
      </c>
    </row>
    <row r="34" spans="1:29" ht="15.75" thickBot="1">
      <c r="A34" s="477"/>
      <c r="B34" s="2598">
        <v>111</v>
      </c>
      <c r="C34" s="436"/>
      <c r="D34" s="437">
        <v>100</v>
      </c>
      <c r="E34" s="2691"/>
      <c r="F34" s="438">
        <f>SUMIF(95:95,E34,96:96)-SUMIF(95:95,C34,96:96)+100</f>
        <v>100</v>
      </c>
      <c r="G34" s="2691"/>
      <c r="H34" s="437">
        <f>SUMIF(95:95,G34,96:96)-SUMIF(95:95,C34,96:96)+100</f>
        <v>100</v>
      </c>
      <c r="I34" s="2691"/>
      <c r="J34" s="437">
        <f>SUMIF(95:95,I34,96:96)-SUMIF(95:95,C34,96:96)+100</f>
        <v>100</v>
      </c>
      <c r="K34" s="612"/>
      <c r="L34" s="1140"/>
      <c r="M34" s="1131"/>
      <c r="N34" s="1131"/>
      <c r="O34" s="1139"/>
      <c r="P34" s="3181"/>
      <c r="Q34" s="1809">
        <f t="shared" si="11"/>
        <v>111</v>
      </c>
      <c r="R34" s="772" t="s">
        <v>17</v>
      </c>
      <c r="S34" s="773">
        <f t="shared" si="12"/>
        <v>100</v>
      </c>
      <c r="T34" s="772" t="s">
        <v>17</v>
      </c>
      <c r="U34" s="773">
        <f t="shared" si="13"/>
        <v>100</v>
      </c>
      <c r="V34" s="772" t="s">
        <v>17</v>
      </c>
      <c r="W34" s="773">
        <f t="shared" si="14"/>
        <v>100</v>
      </c>
      <c r="X34" s="1812"/>
      <c r="Y34" s="3181"/>
      <c r="Z34" s="1813">
        <f t="shared" si="15"/>
        <v>111</v>
      </c>
      <c r="AA34" s="1810">
        <f t="shared" si="3"/>
        <v>1</v>
      </c>
      <c r="AB34" s="1810">
        <f t="shared" si="4"/>
        <v>1</v>
      </c>
      <c r="AC34" s="1810">
        <f t="shared" si="5"/>
        <v>1</v>
      </c>
    </row>
    <row r="35" spans="1:29" ht="15">
      <c r="A35" s="478" t="s">
        <v>2580</v>
      </c>
      <c r="B35" s="479"/>
      <c r="C35" s="1406" t="s">
        <v>1</v>
      </c>
      <c r="D35" s="1407"/>
      <c r="E35" s="1408"/>
      <c r="F35" s="1409"/>
      <c r="G35" s="1410"/>
      <c r="H35" s="1411"/>
      <c r="I35" s="1408"/>
      <c r="J35" s="1411"/>
      <c r="K35" s="781"/>
      <c r="L35" s="1143"/>
      <c r="M35" s="1144"/>
      <c r="N35" s="1131"/>
      <c r="O35" s="1144"/>
      <c r="P35" s="3176" t="str">
        <f>A35</f>
        <v>成交单价（元/平方米）</v>
      </c>
      <c r="Q35" s="3176"/>
      <c r="R35" s="3225">
        <f>E35</f>
        <v>0</v>
      </c>
      <c r="S35" s="3225"/>
      <c r="T35" s="3225">
        <f>G35</f>
        <v>0</v>
      </c>
      <c r="U35" s="3225"/>
      <c r="V35" s="3225">
        <f>I35</f>
        <v>0</v>
      </c>
      <c r="W35" s="3225"/>
      <c r="X35" s="757"/>
      <c r="Y35" s="779"/>
      <c r="Z35" s="757"/>
      <c r="AA35" s="757"/>
      <c r="AB35" s="757"/>
      <c r="AC35" s="757"/>
    </row>
    <row r="36" spans="1:29" ht="15.75" thickBot="1">
      <c r="A36" s="485" t="s">
        <v>2672</v>
      </c>
      <c r="B36" s="486"/>
      <c r="C36" s="1412" t="e">
        <f>R37</f>
        <v>#DIV/0!</v>
      </c>
      <c r="D36" s="1413"/>
      <c r="E36" s="1414" t="e">
        <f>R36</f>
        <v>#DIV/0!</v>
      </c>
      <c r="F36" s="1414"/>
      <c r="G36" s="1412" t="e">
        <f>T36</f>
        <v>#DIV/0!</v>
      </c>
      <c r="H36" s="1413"/>
      <c r="I36" s="1414" t="e">
        <f>V36</f>
        <v>#DIV/0!</v>
      </c>
      <c r="J36" s="1413"/>
      <c r="K36" s="782"/>
      <c r="L36" s="1143"/>
      <c r="M36" s="1144"/>
      <c r="N36" s="1131"/>
      <c r="O36" s="1144"/>
      <c r="P36" s="3176" t="str">
        <f>A36</f>
        <v>比较价值（元/平方米）</v>
      </c>
      <c r="Q36" s="3176"/>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7"/>
      <c r="Y36" s="757"/>
      <c r="Z36" s="757"/>
      <c r="AA36" s="757"/>
      <c r="AB36" s="757"/>
      <c r="AC36" s="757"/>
    </row>
    <row r="37" spans="1:29" ht="15.75" thickBot="1">
      <c r="A37" s="491" t="s">
        <v>2673</v>
      </c>
      <c r="B37" s="492"/>
      <c r="C37" s="1416" t="e">
        <f>R37</f>
        <v>#DIV/0!</v>
      </c>
      <c r="D37" s="1416"/>
      <c r="E37" s="1416"/>
      <c r="F37" s="1416"/>
      <c r="G37" s="1416"/>
      <c r="H37" s="1416"/>
      <c r="I37" s="1416"/>
      <c r="J37" s="1416"/>
      <c r="K37" s="783"/>
      <c r="L37" s="1143"/>
      <c r="M37" s="1144"/>
      <c r="N37" s="1144"/>
      <c r="O37" s="1144"/>
      <c r="P37" s="3170" t="str">
        <f>A37</f>
        <v>估价对象XX用房的比较价值（楼面单价，元/平方米）</v>
      </c>
      <c r="Q37" s="3171"/>
      <c r="R37" s="3226" t="e">
        <f>IF(F1="售价",ROUND(AVERAGE(R36:V36),0),ROUND(AVERAGE(R36:V36),1))</f>
        <v>#DIV/0!</v>
      </c>
      <c r="S37" s="3226"/>
      <c r="T37" s="3226"/>
      <c r="U37" s="3226"/>
      <c r="V37" s="3226"/>
      <c r="W37" s="3226"/>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2"/>
      <c r="Q45" s="503"/>
    </row>
    <row r="46" spans="1:29" s="507" customFormat="1" ht="15">
      <c r="A46" s="504" t="s">
        <v>2551</v>
      </c>
      <c r="B46" s="505"/>
      <c r="C46" s="1574" t="str">
        <f>YEAR(C7)&amp;"-"&amp;MONTH(C7)</f>
        <v>2017-11</v>
      </c>
      <c r="D46" s="1575">
        <f>EDATE(C46,-1)</f>
        <v>43009</v>
      </c>
      <c r="E46" s="1575">
        <f t="shared" ref="E46:O46" si="16">EDATE(D46,-1)</f>
        <v>42979</v>
      </c>
      <c r="F46" s="1575">
        <f t="shared" si="16"/>
        <v>42948</v>
      </c>
      <c r="G46" s="1575">
        <f t="shared" si="16"/>
        <v>42917</v>
      </c>
      <c r="H46" s="1575">
        <f t="shared" si="16"/>
        <v>42887</v>
      </c>
      <c r="I46" s="1575">
        <f t="shared" si="16"/>
        <v>42856</v>
      </c>
      <c r="J46" s="1575">
        <f t="shared" si="16"/>
        <v>42826</v>
      </c>
      <c r="K46" s="1575">
        <f t="shared" si="16"/>
        <v>42795</v>
      </c>
      <c r="L46" s="1575">
        <f t="shared" si="16"/>
        <v>42767</v>
      </c>
      <c r="M46" s="1575">
        <f t="shared" si="16"/>
        <v>42736</v>
      </c>
      <c r="N46" s="1575">
        <f t="shared" si="16"/>
        <v>42705</v>
      </c>
      <c r="O46" s="1575">
        <f t="shared" si="16"/>
        <v>42675</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2591</v>
      </c>
      <c r="B51" s="527" t="s">
        <v>2557</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2732</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6" customFormat="1" ht="15.75" thickTop="1">
      <c r="A71" s="578"/>
      <c r="B71" s="537">
        <f>B23</f>
        <v>111</v>
      </c>
      <c r="C71" s="548"/>
      <c r="D71" s="548"/>
      <c r="E71" s="548"/>
      <c r="F71" s="548"/>
      <c r="G71" s="553"/>
      <c r="H71" s="553"/>
      <c r="I71" s="553"/>
      <c r="J71" s="553"/>
      <c r="K71" s="553"/>
      <c r="L71" s="579"/>
      <c r="M71" s="580"/>
      <c r="N71" s="1151"/>
      <c r="O71" s="1151"/>
      <c r="P71" s="45"/>
      <c r="Q71" s="503"/>
    </row>
    <row r="72" spans="1:17" s="116" customFormat="1" ht="15.75" thickBot="1">
      <c r="A72" s="578"/>
      <c r="B72" s="542"/>
      <c r="C72" s="559"/>
      <c r="D72" s="535"/>
      <c r="E72" s="535"/>
      <c r="F72" s="535"/>
      <c r="G72" s="535"/>
      <c r="H72" s="535"/>
      <c r="I72" s="535"/>
      <c r="J72" s="535"/>
      <c r="K72" s="535"/>
      <c r="L72" s="535"/>
      <c r="M72" s="536"/>
      <c r="N72" s="1153"/>
      <c r="O72" s="1153"/>
      <c r="P72" s="45"/>
      <c r="Q72" s="503"/>
    </row>
    <row r="73" spans="1:17" s="116" customFormat="1" ht="15.75" thickTop="1">
      <c r="A73" s="578"/>
      <c r="B73" s="537">
        <f>B24</f>
        <v>111</v>
      </c>
      <c r="C73" s="548"/>
      <c r="D73" s="548"/>
      <c r="E73" s="548"/>
      <c r="F73" s="548"/>
      <c r="G73" s="553"/>
      <c r="H73" s="553"/>
      <c r="I73" s="553"/>
      <c r="J73" s="553"/>
      <c r="K73" s="553"/>
      <c r="L73" s="553"/>
      <c r="M73" s="580"/>
      <c r="N73" s="1151"/>
      <c r="O73" s="1151"/>
      <c r="P73" s="45"/>
      <c r="Q73" s="503"/>
    </row>
    <row r="74" spans="1:17" s="116"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2566</v>
      </c>
      <c r="B77" s="527" t="s">
        <v>2619</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2736</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2744</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2746</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2333</v>
      </c>
      <c r="B2" s="670"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2335</v>
      </c>
      <c r="B3" s="608" t="e">
        <f>ROUND(IF(D3="",B2*10000/'数据-汇总表'!E3,B2*10000/D3),0)</f>
        <v>#DIV/0!</v>
      </c>
      <c r="C3" s="246" t="s">
        <v>2749</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3" t="s">
        <v>2649</v>
      </c>
      <c r="D4" s="3186"/>
      <c r="E4" s="3187" t="s">
        <v>2650</v>
      </c>
      <c r="F4" s="3188"/>
      <c r="G4" s="3173" t="s">
        <v>2651</v>
      </c>
      <c r="H4" s="3186"/>
      <c r="I4" s="3173" t="s">
        <v>2652</v>
      </c>
      <c r="J4" s="3186"/>
      <c r="K4" s="609" t="s">
        <v>2653</v>
      </c>
      <c r="L4" s="1130"/>
      <c r="M4" s="1131"/>
      <c r="N4" s="1131"/>
      <c r="O4" s="1131"/>
      <c r="P4" s="3189" t="s">
        <v>2654</v>
      </c>
      <c r="Q4" s="3190"/>
      <c r="R4" s="3195" t="s">
        <v>2650</v>
      </c>
      <c r="S4" s="3196"/>
      <c r="T4" s="3195" t="s">
        <v>2651</v>
      </c>
      <c r="U4" s="3196"/>
      <c r="V4" s="3182" t="s">
        <v>2652</v>
      </c>
      <c r="W4" s="3182"/>
      <c r="X4" s="1812"/>
      <c r="Y4" s="3195" t="s">
        <v>2654</v>
      </c>
      <c r="Z4" s="3196"/>
      <c r="AA4" s="3183" t="s">
        <v>2650</v>
      </c>
      <c r="AB4" s="3184" t="s">
        <v>2651</v>
      </c>
      <c r="AC4" s="3183" t="s">
        <v>2652</v>
      </c>
    </row>
    <row r="5" spans="1:29" ht="15">
      <c r="A5" s="403"/>
      <c r="B5" s="404"/>
      <c r="C5" s="3208" t="s">
        <v>2545</v>
      </c>
      <c r="D5" s="3204"/>
      <c r="E5" s="3250" t="s">
        <v>2546</v>
      </c>
      <c r="F5" s="3213"/>
      <c r="G5" s="3208" t="s">
        <v>2547</v>
      </c>
      <c r="H5" s="3204"/>
      <c r="I5" s="3208" t="s">
        <v>2548</v>
      </c>
      <c r="J5" s="3204"/>
      <c r="K5" s="609"/>
      <c r="L5" s="1130"/>
      <c r="M5" s="1131"/>
      <c r="N5" s="1131"/>
      <c r="O5" s="1131"/>
      <c r="P5" s="3191"/>
      <c r="Q5" s="3192"/>
      <c r="R5" s="3197"/>
      <c r="S5" s="3198"/>
      <c r="T5" s="3197"/>
      <c r="U5" s="3198"/>
      <c r="V5" s="3182"/>
      <c r="W5" s="3182"/>
      <c r="X5" s="1812"/>
      <c r="Y5" s="3197"/>
      <c r="Z5" s="3198"/>
      <c r="AA5" s="3184"/>
      <c r="AB5" s="3184"/>
      <c r="AC5" s="3184"/>
    </row>
    <row r="6" spans="1:29" ht="15.75" thickBot="1">
      <c r="A6" s="405"/>
      <c r="B6" s="406"/>
      <c r="C6" s="3266" t="s">
        <v>2800</v>
      </c>
      <c r="D6" s="3267"/>
      <c r="E6" s="3268" t="s">
        <v>2800</v>
      </c>
      <c r="F6" s="3269"/>
      <c r="G6" s="3266" t="s">
        <v>2800</v>
      </c>
      <c r="H6" s="3267"/>
      <c r="I6" s="3266" t="s">
        <v>2800</v>
      </c>
      <c r="J6" s="3267"/>
      <c r="K6" s="609" t="s">
        <v>2550</v>
      </c>
      <c r="L6" s="1130"/>
      <c r="M6" s="1131"/>
      <c r="N6" s="1131"/>
      <c r="O6" s="1131"/>
      <c r="P6" s="3193"/>
      <c r="Q6" s="3194"/>
      <c r="R6" s="3197"/>
      <c r="S6" s="3198"/>
      <c r="T6" s="3199"/>
      <c r="U6" s="3200"/>
      <c r="V6" s="3182"/>
      <c r="W6" s="3182"/>
      <c r="X6" s="1812"/>
      <c r="Y6" s="3199"/>
      <c r="Z6" s="3200"/>
      <c r="AA6" s="3185"/>
      <c r="AB6" s="3185"/>
      <c r="AC6" s="3185"/>
    </row>
    <row r="7" spans="1:29" s="116" customFormat="1" ht="15.75" thickBot="1">
      <c r="A7" s="407" t="s">
        <v>2551</v>
      </c>
      <c r="B7" s="408"/>
      <c r="C7" s="409">
        <f>'数据-取费表'!B2</f>
        <v>43056</v>
      </c>
      <c r="D7" s="410">
        <v>100</v>
      </c>
      <c r="E7" s="411"/>
      <c r="F7" s="412">
        <f>SUMIF(65:65,YEAR(E7)&amp;"-"&amp;INT((MONTH(E7)+2)/3),66:66)</f>
        <v>0</v>
      </c>
      <c r="G7" s="2690"/>
      <c r="H7" s="410">
        <f>SUMIF(65:65,YEAR(G7)&amp;"-"&amp;INT((MONTH(G7)+2)/3),66:66)</f>
        <v>0</v>
      </c>
      <c r="I7" s="2690"/>
      <c r="J7" s="410">
        <f>SUMIF(65:65,YEAR(I7)&amp;"-"&amp;INT((MONTH(I7)+2)/3),66:66)</f>
        <v>0</v>
      </c>
      <c r="K7" s="610"/>
      <c r="L7" s="1132"/>
      <c r="M7" s="1133"/>
      <c r="N7" s="1133"/>
      <c r="O7" s="1133"/>
      <c r="P7" s="3205" t="s">
        <v>2552</v>
      </c>
      <c r="Q7" s="3207"/>
      <c r="R7" s="768" t="s">
        <v>17</v>
      </c>
      <c r="S7" s="769">
        <f t="shared" ref="S7:S15" si="0">F7</f>
        <v>0</v>
      </c>
      <c r="T7" s="768" t="s">
        <v>17</v>
      </c>
      <c r="U7" s="769">
        <f t="shared" ref="U7:U15" si="1">H7</f>
        <v>0</v>
      </c>
      <c r="V7" s="768" t="s">
        <v>17</v>
      </c>
      <c r="W7" s="769">
        <f t="shared" ref="W7:W15" si="2">J7</f>
        <v>0</v>
      </c>
      <c r="X7" s="770"/>
      <c r="Y7" s="3205" t="s">
        <v>2552</v>
      </c>
      <c r="Z7" s="3206"/>
      <c r="AA7" s="771" t="e">
        <f>D7/F7</f>
        <v>#DIV/0!</v>
      </c>
      <c r="AB7" s="771" t="e">
        <f>D7/H7</f>
        <v>#DIV/0!</v>
      </c>
      <c r="AC7" s="771"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05" t="s">
        <v>2555</v>
      </c>
      <c r="Q8" s="3206"/>
      <c r="R8" s="768" t="s">
        <v>17</v>
      </c>
      <c r="S8" s="769">
        <f t="shared" si="0"/>
        <v>0</v>
      </c>
      <c r="T8" s="768" t="s">
        <v>17</v>
      </c>
      <c r="U8" s="769">
        <f t="shared" si="1"/>
        <v>0</v>
      </c>
      <c r="V8" s="768" t="s">
        <v>17</v>
      </c>
      <c r="W8" s="769">
        <f t="shared" si="2"/>
        <v>0</v>
      </c>
      <c r="X8" s="770"/>
      <c r="Y8" s="3205" t="s">
        <v>2555</v>
      </c>
      <c r="Z8" s="3206"/>
      <c r="AA8" s="771" t="e">
        <f t="shared" ref="AA8:AA40" si="3">D8/F8</f>
        <v>#DIV/0!</v>
      </c>
      <c r="AB8" s="771" t="e">
        <f t="shared" ref="AB8:AB40" si="4">D8/H8</f>
        <v>#DIV/0!</v>
      </c>
      <c r="AC8" s="771" t="e">
        <f t="shared" ref="AC8:AC40" si="5">D8/J8</f>
        <v>#DIV/0!</v>
      </c>
    </row>
    <row r="9" spans="1:29" s="116" customFormat="1">
      <c r="A9" s="414" t="s">
        <v>2556</v>
      </c>
      <c r="B9" s="70" t="s">
        <v>2557</v>
      </c>
      <c r="C9" s="2693"/>
      <c r="D9" s="133">
        <v>100</v>
      </c>
      <c r="E9" s="2693"/>
      <c r="F9" s="133">
        <f>SUMIF(70:70,E9,71:71)-SUMIF(70:70,C9,71:71)+100</f>
        <v>100</v>
      </c>
      <c r="G9" s="2693"/>
      <c r="H9" s="133">
        <f>SUMIF(70:70,G9,71:71)-SUMIF(70:70,C9,71:71)+100</f>
        <v>100</v>
      </c>
      <c r="I9" s="2693"/>
      <c r="J9" s="133">
        <f>SUMIF(70:70,I9,71:71)-SUMIF(70:70,C9,71:71)+100</f>
        <v>100</v>
      </c>
      <c r="K9" s="610"/>
      <c r="L9" s="1132"/>
      <c r="M9" s="1133"/>
      <c r="N9" s="1133"/>
      <c r="O9" s="1134"/>
      <c r="P9" s="3176" t="s">
        <v>2558</v>
      </c>
      <c r="Q9" s="1794" t="str">
        <f t="shared" ref="Q9:Q15" si="6">B9</f>
        <v>用途</v>
      </c>
      <c r="R9" s="768" t="s">
        <v>17</v>
      </c>
      <c r="S9" s="769">
        <f t="shared" si="0"/>
        <v>100</v>
      </c>
      <c r="T9" s="768" t="s">
        <v>17</v>
      </c>
      <c r="U9" s="769">
        <f t="shared" si="1"/>
        <v>100</v>
      </c>
      <c r="V9" s="768" t="s">
        <v>17</v>
      </c>
      <c r="W9" s="769">
        <f t="shared" si="2"/>
        <v>100</v>
      </c>
      <c r="X9" s="770"/>
      <c r="Y9" s="3024" t="s">
        <v>2559</v>
      </c>
      <c r="Z9" s="54" t="str">
        <f t="shared" ref="Z9:Z15" si="7">Q9</f>
        <v>用途</v>
      </c>
      <c r="AA9" s="771">
        <f t="shared" si="3"/>
        <v>1</v>
      </c>
      <c r="AB9" s="771">
        <f t="shared" si="4"/>
        <v>1</v>
      </c>
      <c r="AC9" s="771">
        <f t="shared" si="5"/>
        <v>1</v>
      </c>
    </row>
    <row r="10" spans="1:29" s="426" customFormat="1" ht="27">
      <c r="A10" s="420"/>
      <c r="B10" s="421" t="s">
        <v>2560</v>
      </c>
      <c r="C10" s="431"/>
      <c r="D10" s="134">
        <v>100</v>
      </c>
      <c r="E10" s="431"/>
      <c r="F10" s="134">
        <f>ROUND(100/'数据-取费表'!G16,0)</f>
        <v>101</v>
      </c>
      <c r="G10" s="431"/>
      <c r="H10" s="134">
        <f>ROUND(100/'数据-取费表'!G16,0)</f>
        <v>101</v>
      </c>
      <c r="I10" s="431"/>
      <c r="J10" s="134">
        <f>ROUND(100/'数据-取费表'!G16,0)</f>
        <v>101</v>
      </c>
      <c r="K10" s="671"/>
      <c r="L10" s="1135"/>
      <c r="M10" s="1136"/>
      <c r="N10" s="1136"/>
      <c r="O10" s="1137"/>
      <c r="P10" s="3176"/>
      <c r="Q10" s="1794" t="str">
        <f t="shared" si="6"/>
        <v>土地使用年限（年）</v>
      </c>
      <c r="R10" s="768" t="s">
        <v>17</v>
      </c>
      <c r="S10" s="769">
        <f t="shared" si="0"/>
        <v>101</v>
      </c>
      <c r="T10" s="768" t="s">
        <v>17</v>
      </c>
      <c r="U10" s="769">
        <f t="shared" si="1"/>
        <v>101</v>
      </c>
      <c r="V10" s="768" t="s">
        <v>17</v>
      </c>
      <c r="W10" s="769">
        <f t="shared" si="2"/>
        <v>101</v>
      </c>
      <c r="X10" s="770"/>
      <c r="Y10" s="3024"/>
      <c r="Z10" s="54" t="str">
        <f t="shared" si="7"/>
        <v>土地使用年限（年）</v>
      </c>
      <c r="AA10" s="771">
        <f t="shared" si="3"/>
        <v>0.99009900990099009</v>
      </c>
      <c r="AB10" s="771">
        <f t="shared" si="4"/>
        <v>0.99009900990099009</v>
      </c>
      <c r="AC10" s="771">
        <f t="shared" si="5"/>
        <v>0.99009900990099009</v>
      </c>
    </row>
    <row r="11" spans="1:29" ht="15">
      <c r="A11" s="427"/>
      <c r="B11" s="421" t="s">
        <v>2561</v>
      </c>
      <c r="C11" s="428"/>
      <c r="D11" s="134">
        <v>100</v>
      </c>
      <c r="E11" s="428"/>
      <c r="F11" s="134" t="e">
        <f>LOOKUP(E11,75:75,76:76)-LOOKUP(C11,75:75,76:76)+100</f>
        <v>#N/A</v>
      </c>
      <c r="G11" s="429"/>
      <c r="H11" s="134" t="e">
        <f>LOOKUP(G11,75:75,76:76)-LOOKUP(C11,75:75,76:76)+100</f>
        <v>#N/A</v>
      </c>
      <c r="I11" s="428"/>
      <c r="J11" s="134" t="e">
        <f>LOOKUP(I11,75:75,76:76)-LOOKUP(C11,75:75,76:76)+100</f>
        <v>#N/A</v>
      </c>
      <c r="K11" s="672"/>
      <c r="L11" s="1138"/>
      <c r="M11" s="1131"/>
      <c r="N11" s="1131"/>
      <c r="O11" s="1139"/>
      <c r="P11" s="3176"/>
      <c r="Q11" s="1794"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771" t="e">
        <f t="shared" si="5"/>
        <v>#N/A</v>
      </c>
    </row>
    <row r="12" spans="1:29" s="116" customFormat="1" ht="15">
      <c r="A12" s="430"/>
      <c r="B12" s="2596">
        <v>111</v>
      </c>
      <c r="C12" s="431"/>
      <c r="D12" s="432">
        <v>100</v>
      </c>
      <c r="E12" s="548"/>
      <c r="F12" s="134">
        <f>SUMIF(77:77,E12,78:78)-SUMIF(77:77,C12,78:78)+100</f>
        <v>100</v>
      </c>
      <c r="G12" s="673"/>
      <c r="H12" s="134">
        <f>SUMIF(77:77,G12,78:78)-SUMIF(77:77,C12,78:78)+100</f>
        <v>100</v>
      </c>
      <c r="I12" s="548"/>
      <c r="J12" s="134">
        <f>SUMIF(77:77,I12,78:78)-SUMIF(77:77,C12,78:78)+100</f>
        <v>100</v>
      </c>
      <c r="K12" s="671"/>
      <c r="L12" s="1132"/>
      <c r="M12" s="1133"/>
      <c r="N12" s="1133"/>
      <c r="O12" s="1134"/>
      <c r="P12" s="3176"/>
      <c r="Q12" s="1794">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
      <c r="A13" s="427"/>
      <c r="B13" s="2596">
        <v>111</v>
      </c>
      <c r="C13" s="433"/>
      <c r="D13" s="434">
        <v>100</v>
      </c>
      <c r="E13" s="548"/>
      <c r="F13" s="134">
        <f>SUMIF(79:79,E13,80:80)-SUMIF(79:79,C13,80:80)+100</f>
        <v>100</v>
      </c>
      <c r="G13" s="673"/>
      <c r="H13" s="434">
        <f>SUMIF(79:79,G13,80:80)-SUMIF(79:79,C13,80:80)+100</f>
        <v>100</v>
      </c>
      <c r="I13" s="548"/>
      <c r="J13" s="434">
        <f>SUMIF(79:79,I13,80:80)-SUMIF(79:79,C13,80:80)+100</f>
        <v>100</v>
      </c>
      <c r="K13" s="671"/>
      <c r="L13" s="1140"/>
      <c r="M13" s="1131"/>
      <c r="N13" s="1131"/>
      <c r="O13" s="1139"/>
      <c r="P13" s="3176"/>
      <c r="Q13" s="1794">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176"/>
      <c r="Q14" s="1794">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771">
        <f t="shared" si="5"/>
        <v>1</v>
      </c>
    </row>
    <row r="15" spans="1:29" ht="57">
      <c r="A15" s="439" t="s">
        <v>2562</v>
      </c>
      <c r="B15" s="628" t="s">
        <v>2801</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178" t="s">
        <v>2563</v>
      </c>
      <c r="Q15" s="1809" t="str">
        <f t="shared" si="6"/>
        <v>产业集聚程度</v>
      </c>
      <c r="R15" s="772" t="s">
        <v>17</v>
      </c>
      <c r="S15" s="773">
        <f t="shared" si="0"/>
        <v>100</v>
      </c>
      <c r="T15" s="772" t="s">
        <v>17</v>
      </c>
      <c r="U15" s="773">
        <f t="shared" si="1"/>
        <v>100</v>
      </c>
      <c r="V15" s="772" t="s">
        <v>17</v>
      </c>
      <c r="W15" s="773">
        <f t="shared" si="2"/>
        <v>100</v>
      </c>
      <c r="X15" s="1812"/>
      <c r="Y15" s="3178" t="s">
        <v>2563</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40"/>
      <c r="M16" s="1131"/>
      <c r="N16" s="1131"/>
      <c r="O16" s="1139"/>
      <c r="P16" s="3179"/>
      <c r="Q16" s="1809"/>
      <c r="R16" s="772"/>
      <c r="S16" s="773"/>
      <c r="T16" s="772"/>
      <c r="U16" s="773"/>
      <c r="V16" s="772"/>
      <c r="W16" s="773"/>
      <c r="X16" s="1812"/>
      <c r="Y16" s="3179"/>
      <c r="Z16" s="1813"/>
      <c r="AA16" s="1810">
        <v>1</v>
      </c>
      <c r="AB16" s="1810">
        <v>1</v>
      </c>
      <c r="AC16" s="1810">
        <v>1</v>
      </c>
    </row>
    <row r="17" spans="1:29" ht="85.5">
      <c r="A17" s="427"/>
      <c r="B17" s="630" t="s">
        <v>2712</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179"/>
      <c r="Q17" s="1809" t="str">
        <f>B17</f>
        <v>交通便捷度</v>
      </c>
      <c r="R17" s="772" t="s">
        <v>17</v>
      </c>
      <c r="S17" s="773">
        <f>F17</f>
        <v>100</v>
      </c>
      <c r="T17" s="772" t="s">
        <v>17</v>
      </c>
      <c r="U17" s="773">
        <f>H17</f>
        <v>100</v>
      </c>
      <c r="V17" s="772" t="s">
        <v>17</v>
      </c>
      <c r="W17" s="773">
        <f>J17</f>
        <v>100</v>
      </c>
      <c r="X17" s="1812"/>
      <c r="Y17" s="3179"/>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40"/>
      <c r="M18" s="1131"/>
      <c r="N18" s="1131"/>
      <c r="O18" s="1139"/>
      <c r="P18" s="3179"/>
      <c r="Q18" s="1809"/>
      <c r="R18" s="772"/>
      <c r="S18" s="773"/>
      <c r="T18" s="772"/>
      <c r="U18" s="773"/>
      <c r="V18" s="772"/>
      <c r="W18" s="773"/>
      <c r="X18" s="1812"/>
      <c r="Y18" s="3179"/>
      <c r="Z18" s="1813"/>
      <c r="AA18" s="1810">
        <v>1</v>
      </c>
      <c r="AB18" s="1810">
        <v>1</v>
      </c>
      <c r="AC18" s="1810">
        <v>1</v>
      </c>
    </row>
    <row r="19" spans="1:29" ht="15">
      <c r="A19" s="427"/>
      <c r="B19" s="630" t="s">
        <v>2751</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179"/>
      <c r="Q19" s="1809" t="str">
        <f t="shared" ref="Q19:Q33" si="8">B19</f>
        <v>区域土地利用方向</v>
      </c>
      <c r="R19" s="772" t="s">
        <v>17</v>
      </c>
      <c r="S19" s="773">
        <f>F19</f>
        <v>100</v>
      </c>
      <c r="T19" s="772" t="s">
        <v>17</v>
      </c>
      <c r="U19" s="773">
        <f>H19</f>
        <v>100</v>
      </c>
      <c r="V19" s="772" t="s">
        <v>17</v>
      </c>
      <c r="W19" s="773">
        <f>J19</f>
        <v>100</v>
      </c>
      <c r="X19" s="1812"/>
      <c r="Y19" s="3179"/>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09"/>
      <c r="L20" s="1140"/>
      <c r="M20" s="1131"/>
      <c r="N20" s="1131"/>
      <c r="O20" s="1139"/>
      <c r="P20" s="3179"/>
      <c r="Q20" s="1809"/>
      <c r="R20" s="772"/>
      <c r="S20" s="773"/>
      <c r="T20" s="772"/>
      <c r="U20" s="773"/>
      <c r="V20" s="772"/>
      <c r="W20" s="773"/>
      <c r="X20" s="1812"/>
      <c r="Y20" s="3179"/>
      <c r="Z20" s="1813"/>
      <c r="AA20" s="1810"/>
      <c r="AB20" s="1810"/>
      <c r="AC20" s="1810"/>
    </row>
    <row r="21" spans="1:29" ht="71.25">
      <c r="A21" s="403"/>
      <c r="B21" s="630" t="s">
        <v>2802</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179"/>
      <c r="Q21" s="1809" t="str">
        <f t="shared" si="8"/>
        <v>环境状况</v>
      </c>
      <c r="R21" s="772" t="s">
        <v>17</v>
      </c>
      <c r="S21" s="773">
        <f>F21</f>
        <v>100</v>
      </c>
      <c r="T21" s="772" t="s">
        <v>17</v>
      </c>
      <c r="U21" s="773">
        <f>H21</f>
        <v>100</v>
      </c>
      <c r="V21" s="772" t="s">
        <v>17</v>
      </c>
      <c r="W21" s="773">
        <f>J21</f>
        <v>100</v>
      </c>
      <c r="X21" s="1812"/>
      <c r="Y21" s="3179"/>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40"/>
      <c r="M22" s="1131"/>
      <c r="N22" s="1131"/>
      <c r="O22" s="1139"/>
      <c r="P22" s="3179"/>
      <c r="Q22" s="1809"/>
      <c r="R22" s="772"/>
      <c r="S22" s="773"/>
      <c r="T22" s="772"/>
      <c r="U22" s="773"/>
      <c r="V22" s="772"/>
      <c r="W22" s="773"/>
      <c r="X22" s="1812"/>
      <c r="Y22" s="3179"/>
      <c r="Z22" s="1813"/>
      <c r="AA22" s="1810">
        <v>1</v>
      </c>
      <c r="AB22" s="1810">
        <v>1</v>
      </c>
      <c r="AC22" s="1810">
        <v>1</v>
      </c>
    </row>
    <row r="23" spans="1:29" s="116" customFormat="1" ht="42.75">
      <c r="A23" s="648"/>
      <c r="B23" s="632" t="s">
        <v>2657</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179"/>
      <c r="Q23" s="1794" t="str">
        <f t="shared" si="8"/>
        <v>公共配套设施</v>
      </c>
      <c r="R23" s="768" t="s">
        <v>17</v>
      </c>
      <c r="S23" s="769">
        <f>F23</f>
        <v>100</v>
      </c>
      <c r="T23" s="768" t="s">
        <v>17</v>
      </c>
      <c r="U23" s="769">
        <f>H23</f>
        <v>100</v>
      </c>
      <c r="V23" s="768" t="s">
        <v>17</v>
      </c>
      <c r="W23" s="769">
        <f>J23</f>
        <v>100</v>
      </c>
      <c r="X23" s="770"/>
      <c r="Y23" s="3179"/>
      <c r="Z23" s="54" t="str">
        <f>Q23</f>
        <v>公共配套设施</v>
      </c>
      <c r="AA23" s="1810">
        <f>D23/F23</f>
        <v>1</v>
      </c>
      <c r="AB23" s="1810">
        <f>D23/H23</f>
        <v>1</v>
      </c>
      <c r="AC23" s="1810">
        <f>D23/J23</f>
        <v>1</v>
      </c>
    </row>
    <row r="24" spans="1:29" s="116" customFormat="1" ht="15">
      <c r="A24" s="648"/>
      <c r="B24" s="631"/>
      <c r="C24" s="2694"/>
      <c r="D24" s="447"/>
      <c r="E24" s="2607"/>
      <c r="F24" s="447"/>
      <c r="G24" s="2607"/>
      <c r="H24" s="447"/>
      <c r="I24" s="446"/>
      <c r="J24" s="447"/>
      <c r="K24" s="671"/>
      <c r="L24" s="1132"/>
      <c r="M24" s="1133"/>
      <c r="N24" s="1133"/>
      <c r="O24" s="1134"/>
      <c r="P24" s="3179"/>
      <c r="Q24" s="1794"/>
      <c r="R24" s="768"/>
      <c r="S24" s="769"/>
      <c r="T24" s="768"/>
      <c r="U24" s="769"/>
      <c r="V24" s="768"/>
      <c r="W24" s="769"/>
      <c r="X24" s="770"/>
      <c r="Y24" s="3179"/>
      <c r="Z24" s="54"/>
      <c r="AA24" s="771">
        <v>1</v>
      </c>
      <c r="AB24" s="771">
        <v>1</v>
      </c>
      <c r="AC24" s="771">
        <v>1</v>
      </c>
    </row>
    <row r="25" spans="1:29" s="116" customFormat="1" ht="28.5">
      <c r="A25" s="648"/>
      <c r="B25" s="632" t="s">
        <v>2658</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179"/>
      <c r="Q25" s="1794" t="str">
        <f t="shared" ref="Q25" si="9">B25</f>
        <v>基础设施水平</v>
      </c>
      <c r="R25" s="768" t="s">
        <v>17</v>
      </c>
      <c r="S25" s="769">
        <f>F25</f>
        <v>100</v>
      </c>
      <c r="T25" s="768" t="s">
        <v>17</v>
      </c>
      <c r="U25" s="769">
        <f>H25</f>
        <v>100</v>
      </c>
      <c r="V25" s="768" t="s">
        <v>17</v>
      </c>
      <c r="W25" s="769">
        <f>J25</f>
        <v>100</v>
      </c>
      <c r="X25" s="770"/>
      <c r="Y25" s="3179"/>
      <c r="Z25" s="54" t="str">
        <f>Q25</f>
        <v>基础设施水平</v>
      </c>
      <c r="AA25" s="1810">
        <f>D25/F25</f>
        <v>1</v>
      </c>
      <c r="AB25" s="1810">
        <f>D25/H25</f>
        <v>1</v>
      </c>
      <c r="AC25" s="1810">
        <f>D25/J25</f>
        <v>1</v>
      </c>
    </row>
    <row r="26" spans="1:29" s="116" customFormat="1" ht="15">
      <c r="A26" s="648"/>
      <c r="B26" s="631"/>
      <c r="C26" s="2694"/>
      <c r="D26" s="447"/>
      <c r="E26" s="2695"/>
      <c r="F26" s="447"/>
      <c r="G26" s="2695"/>
      <c r="H26" s="447"/>
      <c r="I26" s="2695"/>
      <c r="J26" s="447"/>
      <c r="K26" s="671"/>
      <c r="L26" s="1132"/>
      <c r="M26" s="1133"/>
      <c r="N26" s="1133"/>
      <c r="O26" s="1134"/>
      <c r="P26" s="3179"/>
      <c r="Q26" s="1794"/>
      <c r="R26" s="768"/>
      <c r="S26" s="769"/>
      <c r="T26" s="768"/>
      <c r="U26" s="769"/>
      <c r="V26" s="768"/>
      <c r="W26" s="769"/>
      <c r="X26" s="770"/>
      <c r="Y26" s="3179"/>
      <c r="Z26" s="54"/>
      <c r="AA26" s="771">
        <v>1</v>
      </c>
      <c r="AB26" s="771">
        <v>1</v>
      </c>
      <c r="AC26" s="771">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179"/>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179"/>
      <c r="Z27" s="1813" t="str">
        <f t="shared" ref="Z27:Z40" si="13">Q27</f>
        <v>临街状况</v>
      </c>
      <c r="AA27" s="1810">
        <f t="shared" si="3"/>
        <v>1</v>
      </c>
      <c r="AB27" s="1810">
        <f t="shared" si="4"/>
        <v>1</v>
      </c>
      <c r="AC27" s="1810">
        <f t="shared" si="5"/>
        <v>1</v>
      </c>
    </row>
    <row r="28" spans="1:29" ht="27">
      <c r="A28" s="427"/>
      <c r="B28" s="632" t="s">
        <v>2694</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179"/>
      <c r="Q28" s="1809" t="str">
        <f t="shared" si="8"/>
        <v>毗邻道路的类型与等级</v>
      </c>
      <c r="R28" s="772" t="s">
        <v>17</v>
      </c>
      <c r="S28" s="773">
        <f t="shared" si="10"/>
        <v>100</v>
      </c>
      <c r="T28" s="772" t="s">
        <v>17</v>
      </c>
      <c r="U28" s="773">
        <f t="shared" si="11"/>
        <v>100</v>
      </c>
      <c r="V28" s="772" t="s">
        <v>17</v>
      </c>
      <c r="W28" s="773">
        <f t="shared" si="12"/>
        <v>100</v>
      </c>
      <c r="X28" s="1812"/>
      <c r="Y28" s="3179"/>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40"/>
      <c r="M29" s="1131"/>
      <c r="N29" s="1131"/>
      <c r="O29" s="1139"/>
      <c r="P29" s="3179"/>
      <c r="Q29" s="1809"/>
      <c r="R29" s="772"/>
      <c r="S29" s="773"/>
      <c r="T29" s="772"/>
      <c r="U29" s="773"/>
      <c r="V29" s="772"/>
      <c r="W29" s="773"/>
      <c r="X29" s="1812"/>
      <c r="Y29" s="3179"/>
      <c r="Z29" s="1813"/>
      <c r="AA29" s="1810">
        <v>1</v>
      </c>
      <c r="AB29" s="1810">
        <v>1</v>
      </c>
      <c r="AC29" s="1810">
        <v>1</v>
      </c>
    </row>
    <row r="30" spans="1:29" ht="15">
      <c r="A30" s="427"/>
      <c r="B30" s="653" t="s">
        <v>2753</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179"/>
      <c r="Q30" s="1809" t="str">
        <f t="shared" si="8"/>
        <v>土地级别</v>
      </c>
      <c r="R30" s="772" t="s">
        <v>17</v>
      </c>
      <c r="S30" s="773">
        <f t="shared" si="10"/>
        <v>100</v>
      </c>
      <c r="T30" s="772" t="s">
        <v>17</v>
      </c>
      <c r="U30" s="773">
        <f t="shared" si="11"/>
        <v>100</v>
      </c>
      <c r="V30" s="772" t="s">
        <v>17</v>
      </c>
      <c r="W30" s="773">
        <f t="shared" si="12"/>
        <v>100</v>
      </c>
      <c r="X30" s="1812"/>
      <c r="Y30" s="3179"/>
      <c r="Z30" s="1813" t="str">
        <f t="shared" si="13"/>
        <v>土地级别</v>
      </c>
      <c r="AA30" s="1810">
        <f t="shared" si="3"/>
        <v>1</v>
      </c>
      <c r="AB30" s="1810">
        <f t="shared" si="4"/>
        <v>1</v>
      </c>
      <c r="AC30" s="1810">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79"/>
      <c r="Q31" s="1809">
        <f t="shared" si="8"/>
        <v>111</v>
      </c>
      <c r="R31" s="772" t="s">
        <v>17</v>
      </c>
      <c r="S31" s="773">
        <f t="shared" si="10"/>
        <v>100</v>
      </c>
      <c r="T31" s="772" t="s">
        <v>17</v>
      </c>
      <c r="U31" s="773">
        <f t="shared" si="11"/>
        <v>100</v>
      </c>
      <c r="V31" s="772" t="s">
        <v>17</v>
      </c>
      <c r="W31" s="773">
        <f t="shared" si="12"/>
        <v>100</v>
      </c>
      <c r="X31" s="1812"/>
      <c r="Y31" s="3179"/>
      <c r="Z31" s="1813">
        <f t="shared" si="13"/>
        <v>111</v>
      </c>
      <c r="AA31" s="1810">
        <f t="shared" si="3"/>
        <v>1</v>
      </c>
      <c r="AB31" s="1810">
        <f t="shared" si="4"/>
        <v>1</v>
      </c>
      <c r="AC31" s="1810">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180" t="s">
        <v>2568</v>
      </c>
      <c r="Q32" s="1809">
        <f t="shared" si="8"/>
        <v>111</v>
      </c>
      <c r="R32" s="772" t="s">
        <v>17</v>
      </c>
      <c r="S32" s="773">
        <f t="shared" si="10"/>
        <v>100</v>
      </c>
      <c r="T32" s="772" t="s">
        <v>17</v>
      </c>
      <c r="U32" s="773">
        <f t="shared" si="11"/>
        <v>100</v>
      </c>
      <c r="V32" s="772" t="s">
        <v>17</v>
      </c>
      <c r="W32" s="773">
        <f t="shared" si="12"/>
        <v>100</v>
      </c>
      <c r="X32" s="1812"/>
      <c r="Y32" s="3181" t="s">
        <v>2568</v>
      </c>
      <c r="Z32" s="1813">
        <f t="shared" si="13"/>
        <v>111</v>
      </c>
      <c r="AA32" s="1810">
        <f t="shared" si="3"/>
        <v>1</v>
      </c>
      <c r="AB32" s="1810">
        <f t="shared" si="4"/>
        <v>1</v>
      </c>
      <c r="AC32" s="1810">
        <f t="shared" si="5"/>
        <v>1</v>
      </c>
    </row>
    <row r="33" spans="1:29" s="470" customFormat="1" ht="15.75" thickBot="1">
      <c r="A33" s="675"/>
      <c r="B33" s="2709">
        <v>111</v>
      </c>
      <c r="C33" s="677"/>
      <c r="D33" s="135">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181"/>
      <c r="Q33" s="1809">
        <f t="shared" si="8"/>
        <v>111</v>
      </c>
      <c r="R33" s="775" t="s">
        <v>17</v>
      </c>
      <c r="S33" s="776">
        <f t="shared" si="10"/>
        <v>100</v>
      </c>
      <c r="T33" s="775" t="s">
        <v>17</v>
      </c>
      <c r="U33" s="776">
        <f t="shared" si="11"/>
        <v>100</v>
      </c>
      <c r="V33" s="775" t="s">
        <v>17</v>
      </c>
      <c r="W33" s="776">
        <f t="shared" si="12"/>
        <v>100</v>
      </c>
      <c r="X33" s="777"/>
      <c r="Y33" s="3181"/>
      <c r="Z33" s="778">
        <f t="shared" si="13"/>
        <v>111</v>
      </c>
      <c r="AA33" s="1810">
        <f t="shared" si="3"/>
        <v>1</v>
      </c>
      <c r="AB33" s="1810">
        <f t="shared" si="4"/>
        <v>1</v>
      </c>
      <c r="AC33" s="1810">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181"/>
      <c r="Q34" s="1809" t="str">
        <f>B34</f>
        <v>宗地面积</v>
      </c>
      <c r="R34" s="772" t="s">
        <v>17</v>
      </c>
      <c r="S34" s="773" t="e">
        <f t="shared" si="10"/>
        <v>#N/A</v>
      </c>
      <c r="T34" s="772" t="s">
        <v>17</v>
      </c>
      <c r="U34" s="773" t="e">
        <f t="shared" si="11"/>
        <v>#N/A</v>
      </c>
      <c r="V34" s="772" t="s">
        <v>17</v>
      </c>
      <c r="W34" s="773" t="e">
        <f t="shared" si="12"/>
        <v>#N/A</v>
      </c>
      <c r="X34" s="1812"/>
      <c r="Y34" s="3181"/>
      <c r="Z34" s="1813" t="str">
        <f t="shared" si="13"/>
        <v>宗地面积</v>
      </c>
      <c r="AA34" s="1810" t="e">
        <f t="shared" si="3"/>
        <v>#N/A</v>
      </c>
      <c r="AB34" s="1810" t="e">
        <f t="shared" si="4"/>
        <v>#N/A</v>
      </c>
      <c r="AC34" s="1810" t="e">
        <f t="shared" si="5"/>
        <v>#N/A</v>
      </c>
    </row>
    <row r="35" spans="1:29" ht="15">
      <c r="A35" s="471"/>
      <c r="B35" s="421" t="s">
        <v>2755</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40"/>
      <c r="M35" s="1131"/>
      <c r="N35" s="1131"/>
      <c r="O35" s="1139"/>
      <c r="P35" s="3181"/>
      <c r="Q35" s="1809" t="str">
        <f t="shared" ref="Q35:Q40" si="14">B35</f>
        <v>宗地形状</v>
      </c>
      <c r="R35" s="772" t="s">
        <v>17</v>
      </c>
      <c r="S35" s="773">
        <f t="shared" si="10"/>
        <v>100</v>
      </c>
      <c r="T35" s="772" t="s">
        <v>17</v>
      </c>
      <c r="U35" s="773">
        <f t="shared" si="11"/>
        <v>100</v>
      </c>
      <c r="V35" s="772" t="s">
        <v>17</v>
      </c>
      <c r="W35" s="773">
        <f t="shared" si="12"/>
        <v>100</v>
      </c>
      <c r="X35" s="1812"/>
      <c r="Y35" s="3181"/>
      <c r="Z35" s="1813" t="str">
        <f t="shared" si="13"/>
        <v>宗地形状</v>
      </c>
      <c r="AA35" s="1810">
        <f t="shared" si="3"/>
        <v>1</v>
      </c>
      <c r="AB35" s="1810">
        <f t="shared" si="4"/>
        <v>1</v>
      </c>
      <c r="AC35" s="1810">
        <f t="shared" si="5"/>
        <v>1</v>
      </c>
    </row>
    <row r="36" spans="1:29" s="116" customFormat="1" ht="15">
      <c r="A36" s="472"/>
      <c r="B36" s="421" t="s">
        <v>2757</v>
      </c>
      <c r="C36" s="2696"/>
      <c r="D36" s="134">
        <v>100</v>
      </c>
      <c r="E36" s="2696"/>
      <c r="F36" s="434">
        <f>SUMIF(112:112,E36,113:113)-SUMIF(112:112,C36,113:113)+100</f>
        <v>100</v>
      </c>
      <c r="G36" s="2696"/>
      <c r="H36" s="434">
        <f>SUMIF(112:112,G36,113:113)-SUMIF(112:112,C36,113:113)+100</f>
        <v>100</v>
      </c>
      <c r="I36" s="2696"/>
      <c r="J36" s="434">
        <f>SUMIF(112:112,I36,113:113)-SUMIF(112:112,C36,113:113)+100</f>
        <v>100</v>
      </c>
      <c r="K36" s="611"/>
      <c r="L36" s="1132"/>
      <c r="M36" s="1133"/>
      <c r="N36" s="1133"/>
      <c r="O36" s="1134"/>
      <c r="P36" s="3181"/>
      <c r="Q36" s="1809" t="str">
        <f t="shared" si="14"/>
        <v>宗地开发程度</v>
      </c>
      <c r="R36" s="768" t="s">
        <v>17</v>
      </c>
      <c r="S36" s="769">
        <f t="shared" si="10"/>
        <v>100</v>
      </c>
      <c r="T36" s="768" t="s">
        <v>17</v>
      </c>
      <c r="U36" s="769">
        <f t="shared" si="11"/>
        <v>100</v>
      </c>
      <c r="V36" s="768" t="s">
        <v>17</v>
      </c>
      <c r="W36" s="769">
        <f t="shared" si="12"/>
        <v>100</v>
      </c>
      <c r="X36" s="770"/>
      <c r="Y36" s="3181"/>
      <c r="Z36" s="54" t="str">
        <f t="shared" si="13"/>
        <v>宗地开发程度</v>
      </c>
      <c r="AA36" s="771">
        <f t="shared" si="3"/>
        <v>1</v>
      </c>
      <c r="AB36" s="771">
        <f t="shared" si="4"/>
        <v>1</v>
      </c>
      <c r="AC36" s="771">
        <f t="shared" si="5"/>
        <v>1</v>
      </c>
    </row>
    <row r="37" spans="1:29" ht="15">
      <c r="A37" s="471"/>
      <c r="B37" s="421" t="s">
        <v>2758</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40"/>
      <c r="M37" s="1131"/>
      <c r="N37" s="1131"/>
      <c r="O37" s="1139"/>
      <c r="P37" s="3181" t="s">
        <v>2568</v>
      </c>
      <c r="Q37" s="1809" t="str">
        <f t="shared" si="14"/>
        <v>工程地质条件</v>
      </c>
      <c r="R37" s="772" t="s">
        <v>17</v>
      </c>
      <c r="S37" s="773">
        <f t="shared" si="10"/>
        <v>100</v>
      </c>
      <c r="T37" s="772" t="s">
        <v>17</v>
      </c>
      <c r="U37" s="773">
        <f t="shared" si="11"/>
        <v>100</v>
      </c>
      <c r="V37" s="772" t="s">
        <v>17</v>
      </c>
      <c r="W37" s="773">
        <f t="shared" si="12"/>
        <v>100</v>
      </c>
      <c r="X37" s="1812"/>
      <c r="Y37" s="3181" t="s">
        <v>2568</v>
      </c>
      <c r="Z37" s="1813" t="str">
        <f t="shared" si="13"/>
        <v>工程地质条件</v>
      </c>
      <c r="AA37" s="1810">
        <f t="shared" si="3"/>
        <v>1</v>
      </c>
      <c r="AB37" s="1810">
        <f t="shared" si="4"/>
        <v>1</v>
      </c>
      <c r="AC37" s="1810">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181"/>
      <c r="Q38" s="1809">
        <f t="shared" si="14"/>
        <v>111</v>
      </c>
      <c r="R38" s="772" t="s">
        <v>17</v>
      </c>
      <c r="S38" s="773">
        <f t="shared" si="10"/>
        <v>100</v>
      </c>
      <c r="T38" s="772" t="s">
        <v>17</v>
      </c>
      <c r="U38" s="773">
        <f t="shared" si="11"/>
        <v>100</v>
      </c>
      <c r="V38" s="772" t="s">
        <v>17</v>
      </c>
      <c r="W38" s="773">
        <f t="shared" si="12"/>
        <v>100</v>
      </c>
      <c r="X38" s="1812"/>
      <c r="Y38" s="3181"/>
      <c r="Z38" s="1813">
        <f t="shared" si="13"/>
        <v>111</v>
      </c>
      <c r="AA38" s="1810">
        <f t="shared" si="3"/>
        <v>1</v>
      </c>
      <c r="AB38" s="1810">
        <f t="shared" si="4"/>
        <v>1</v>
      </c>
      <c r="AC38" s="1810">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181"/>
      <c r="Q39" s="1809">
        <f t="shared" si="14"/>
        <v>111</v>
      </c>
      <c r="R39" s="772" t="s">
        <v>17</v>
      </c>
      <c r="S39" s="773">
        <f t="shared" si="10"/>
        <v>100</v>
      </c>
      <c r="T39" s="772" t="s">
        <v>17</v>
      </c>
      <c r="U39" s="773">
        <f t="shared" si="11"/>
        <v>100</v>
      </c>
      <c r="V39" s="772" t="s">
        <v>17</v>
      </c>
      <c r="W39" s="773">
        <f t="shared" si="12"/>
        <v>100</v>
      </c>
      <c r="X39" s="1812"/>
      <c r="Y39" s="3181"/>
      <c r="Z39" s="1813">
        <f t="shared" si="13"/>
        <v>111</v>
      </c>
      <c r="AA39" s="1810">
        <f t="shared" si="3"/>
        <v>1</v>
      </c>
      <c r="AB39" s="1810">
        <f t="shared" si="4"/>
        <v>1</v>
      </c>
      <c r="AC39" s="1810">
        <f t="shared" si="5"/>
        <v>1</v>
      </c>
    </row>
    <row r="40" spans="1:29" s="470" customFormat="1" ht="15.75" thickBot="1">
      <c r="A40" s="467"/>
      <c r="B40" s="1387">
        <v>111</v>
      </c>
      <c r="C40" s="2697"/>
      <c r="D40" s="135">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181"/>
      <c r="Q40" s="1809">
        <f t="shared" si="14"/>
        <v>111</v>
      </c>
      <c r="R40" s="775" t="s">
        <v>17</v>
      </c>
      <c r="S40" s="776">
        <f t="shared" si="10"/>
        <v>100</v>
      </c>
      <c r="T40" s="775" t="s">
        <v>17</v>
      </c>
      <c r="U40" s="776">
        <f t="shared" si="11"/>
        <v>100</v>
      </c>
      <c r="V40" s="775" t="s">
        <v>17</v>
      </c>
      <c r="W40" s="776">
        <f t="shared" si="12"/>
        <v>100</v>
      </c>
      <c r="X40" s="777"/>
      <c r="Y40" s="3181"/>
      <c r="Z40" s="778">
        <f t="shared" si="13"/>
        <v>111</v>
      </c>
      <c r="AA40" s="1810">
        <f t="shared" si="3"/>
        <v>1</v>
      </c>
      <c r="AB40" s="1810">
        <f t="shared" si="4"/>
        <v>1</v>
      </c>
      <c r="AC40" s="1810">
        <f t="shared" si="5"/>
        <v>1</v>
      </c>
    </row>
    <row r="41" spans="1:29" ht="15">
      <c r="A41" s="478" t="s">
        <v>2723</v>
      </c>
      <c r="B41" s="2698" t="s">
        <v>2803</v>
      </c>
      <c r="C41" s="681" t="s">
        <v>1</v>
      </c>
      <c r="D41" s="480"/>
      <c r="E41" s="481"/>
      <c r="F41" s="482"/>
      <c r="G41" s="483"/>
      <c r="H41" s="484"/>
      <c r="I41" s="481"/>
      <c r="J41" s="484"/>
      <c r="K41" s="781"/>
      <c r="L41" s="1143"/>
      <c r="M41" s="1131"/>
      <c r="N41" s="1131"/>
      <c r="O41" s="1144"/>
      <c r="P41" s="3176" t="str">
        <f>A41</f>
        <v>成交单价</v>
      </c>
      <c r="Q41" s="3176"/>
      <c r="R41" s="3182">
        <f>E41</f>
        <v>0</v>
      </c>
      <c r="S41" s="3182"/>
      <c r="T41" s="3182">
        <f>G41</f>
        <v>0</v>
      </c>
      <c r="U41" s="3182"/>
      <c r="V41" s="3182">
        <f>I41</f>
        <v>0</v>
      </c>
      <c r="W41" s="3182"/>
      <c r="X41" s="757"/>
      <c r="Y41" s="779"/>
      <c r="Z41" s="757"/>
      <c r="AA41" s="757"/>
      <c r="AB41" s="757"/>
      <c r="AC41" s="757"/>
    </row>
    <row r="42" spans="1:29" ht="15.75" thickBot="1">
      <c r="A42" s="485" t="s">
        <v>2672</v>
      </c>
      <c r="B42" s="682"/>
      <c r="C42" s="489" t="e">
        <f>R43</f>
        <v>#DIV/0!</v>
      </c>
      <c r="D42" s="488"/>
      <c r="E42" s="489" t="e">
        <f>R42</f>
        <v>#DIV/0!</v>
      </c>
      <c r="F42" s="490"/>
      <c r="G42" s="487" t="e">
        <f>T42</f>
        <v>#DIV/0!</v>
      </c>
      <c r="H42" s="488"/>
      <c r="I42" s="489" t="e">
        <f>V42</f>
        <v>#DIV/0!</v>
      </c>
      <c r="J42" s="488"/>
      <c r="K42" s="782"/>
      <c r="L42" s="1143"/>
      <c r="M42" s="1131"/>
      <c r="N42" s="1131"/>
      <c r="O42" s="1144"/>
      <c r="P42" s="3176" t="str">
        <f>A42</f>
        <v>比较价值（元/平方米）</v>
      </c>
      <c r="Q42" s="3176"/>
      <c r="R42" s="3169" t="e">
        <f>ROUND(PRODUCT(R41,AA7:AA40),0)</f>
        <v>#DIV/0!</v>
      </c>
      <c r="S42" s="3169"/>
      <c r="T42" s="3169" t="e">
        <f>ROUND(PRODUCT(T41,AB7:AB40),0)</f>
        <v>#DIV/0!</v>
      </c>
      <c r="U42" s="3169"/>
      <c r="V42" s="3169" t="e">
        <f>ROUND(PRODUCT(V41,AC7:AC40),0)</f>
        <v>#DIV/0!</v>
      </c>
      <c r="W42" s="3169"/>
      <c r="X42" s="757"/>
      <c r="Y42" s="757"/>
      <c r="Z42" s="757"/>
      <c r="AA42" s="757"/>
      <c r="AB42" s="757"/>
      <c r="AC42" s="757"/>
    </row>
    <row r="43" spans="1:29" ht="15.75" thickBot="1">
      <c r="A43" s="491" t="s">
        <v>2673</v>
      </c>
      <c r="B43" s="492"/>
      <c r="C43" s="493" t="e">
        <f>R43</f>
        <v>#DIV/0!</v>
      </c>
      <c r="D43" s="493"/>
      <c r="E43" s="493"/>
      <c r="F43" s="493"/>
      <c r="G43" s="493"/>
      <c r="H43" s="493"/>
      <c r="I43" s="493"/>
      <c r="J43" s="493"/>
      <c r="K43" s="783"/>
      <c r="L43" s="1143"/>
      <c r="M43" s="1131"/>
      <c r="N43" s="1131"/>
      <c r="O43" s="1144"/>
      <c r="P43" s="3170" t="str">
        <f>A43</f>
        <v>估价对象XX用房的比较价值（楼面单价，元/平方米）</v>
      </c>
      <c r="Q43" s="3171"/>
      <c r="R43" s="3172" t="e">
        <f>ROUND(AVERAGE(R42:V42),0)</f>
        <v>#DIV/0!</v>
      </c>
      <c r="S43" s="3172"/>
      <c r="T43" s="3172"/>
      <c r="U43" s="3172"/>
      <c r="V43" s="3172"/>
      <c r="W43" s="3172"/>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0"/>
      <c r="D49" s="758"/>
      <c r="E49" s="758"/>
      <c r="F49" s="758"/>
      <c r="G49" s="758"/>
      <c r="H49" s="758"/>
      <c r="I49" s="758"/>
      <c r="J49" s="758"/>
      <c r="K49" s="1148"/>
      <c r="L49" s="1149"/>
      <c r="M49" s="1145"/>
      <c r="N49" s="1145"/>
      <c r="O49" s="1145"/>
    </row>
    <row r="50" spans="1:17" ht="27">
      <c r="A50" s="683" t="s">
        <v>2761</v>
      </c>
      <c r="B50" s="684" t="s">
        <v>2762</v>
      </c>
      <c r="C50" s="2699" t="s">
        <v>2763</v>
      </c>
      <c r="D50" s="2700" t="s">
        <v>2764</v>
      </c>
      <c r="E50" s="685" t="s">
        <v>2765</v>
      </c>
      <c r="F50" s="686" t="s">
        <v>2766</v>
      </c>
      <c r="G50" s="3173" t="s">
        <v>2767</v>
      </c>
      <c r="H50" s="3174"/>
      <c r="I50" s="1813" t="s">
        <v>2804</v>
      </c>
      <c r="J50" s="1813" t="str">
        <f>项目基本情况!F35</f>
        <v>山东省济南市</v>
      </c>
      <c r="K50" s="2702" t="s">
        <v>2769</v>
      </c>
      <c r="L50" s="1106"/>
      <c r="M50" s="1144"/>
      <c r="N50" s="1144"/>
      <c r="O50" s="1144"/>
    </row>
    <row r="51" spans="1:17" s="691" customFormat="1">
      <c r="A51" s="687" t="s">
        <v>2770</v>
      </c>
      <c r="B51" s="688" t="e">
        <f>C43</f>
        <v>#DIV/0!</v>
      </c>
      <c r="C51" s="689">
        <v>1</v>
      </c>
      <c r="D51" s="1163">
        <v>1</v>
      </c>
      <c r="E51" s="689">
        <f>'数据-汇总表'!E8+'数据-汇总表'!E9</f>
        <v>51516.55</v>
      </c>
      <c r="F51" s="690" t="e">
        <f t="shared" ref="F51:F60" si="15">ROUND(B51*E51/10000,0)</f>
        <v>#DIV/0!</v>
      </c>
      <c r="G51" s="3175"/>
      <c r="H51" s="3176"/>
      <c r="I51" s="942">
        <v>1</v>
      </c>
      <c r="J51" s="942">
        <v>1</v>
      </c>
      <c r="K51" s="1145"/>
      <c r="L51" s="941"/>
      <c r="M51" s="941"/>
      <c r="N51" s="941"/>
      <c r="O51" s="941"/>
    </row>
    <row r="52" spans="1:17" s="691" customFormat="1">
      <c r="A52" s="692" t="s">
        <v>2771</v>
      </c>
      <c r="B52" s="261" t="e">
        <f>ROUND($C$43*C52*D52,0)</f>
        <v>#DIV/0!</v>
      </c>
      <c r="C52" s="199">
        <f t="shared" ref="C52:C60" si="16">IF($C$50="北京市系数",I52,J52)</f>
        <v>0</v>
      </c>
      <c r="D52" s="1164">
        <v>0.25</v>
      </c>
      <c r="E52" s="693"/>
      <c r="F52" s="690" t="e">
        <f t="shared" si="15"/>
        <v>#DIV/0!</v>
      </c>
      <c r="G52" s="3177" t="s">
        <v>2772</v>
      </c>
      <c r="H52" s="1104">
        <f>项目基本情况!B37</f>
        <v>0</v>
      </c>
      <c r="I52" s="942">
        <f>SUMIF(修正!A45:A56,H52,修正!B45:B56)</f>
        <v>0</v>
      </c>
      <c r="J52" s="943"/>
      <c r="K52" s="1144"/>
      <c r="L52" s="941"/>
      <c r="M52" s="941"/>
      <c r="N52" s="941"/>
      <c r="O52" s="941"/>
    </row>
    <row r="53" spans="1:17" s="691" customFormat="1">
      <c r="A53" s="692" t="s">
        <v>2773</v>
      </c>
      <c r="B53" s="261" t="e">
        <f t="shared" ref="B53:B60" si="17">ROUND($C$43*C53*D53,0)</f>
        <v>#DIV/0!</v>
      </c>
      <c r="C53" s="199">
        <f t="shared" si="16"/>
        <v>0</v>
      </c>
      <c r="D53" s="1164">
        <v>0.25</v>
      </c>
      <c r="E53" s="693"/>
      <c r="F53" s="690" t="e">
        <f t="shared" si="15"/>
        <v>#DIV/0!</v>
      </c>
      <c r="G53" s="3177"/>
      <c r="H53" s="1104">
        <f>项目基本情况!B37</f>
        <v>0</v>
      </c>
      <c r="I53" s="942">
        <f>SUMIF(修正!A45:A56,H53,修正!C45:C56)</f>
        <v>0</v>
      </c>
      <c r="J53" s="943"/>
      <c r="K53" s="1145"/>
      <c r="L53" s="941"/>
      <c r="M53" s="941"/>
      <c r="N53" s="941"/>
      <c r="O53" s="941"/>
    </row>
    <row r="54" spans="1:17" s="691" customFormat="1">
      <c r="A54" s="692" t="s">
        <v>2774</v>
      </c>
      <c r="B54" s="261" t="e">
        <f t="shared" si="17"/>
        <v>#DIV/0!</v>
      </c>
      <c r="C54" s="199">
        <f t="shared" si="16"/>
        <v>0</v>
      </c>
      <c r="D54" s="1164">
        <v>0.25</v>
      </c>
      <c r="E54" s="693"/>
      <c r="F54" s="690" t="e">
        <f t="shared" si="15"/>
        <v>#DIV/0!</v>
      </c>
      <c r="G54" s="3177"/>
      <c r="H54" s="1104">
        <f>项目基本情况!B37</f>
        <v>0</v>
      </c>
      <c r="I54" s="942">
        <f>SUMIF(修正!A45:A56,H54,修正!D45:D56)</f>
        <v>0</v>
      </c>
      <c r="J54" s="943"/>
      <c r="K54" s="1144"/>
      <c r="L54" s="941"/>
      <c r="M54" s="941"/>
      <c r="N54" s="941"/>
      <c r="O54" s="941"/>
    </row>
    <row r="55" spans="1:17" s="691" customFormat="1">
      <c r="A55" s="692" t="s">
        <v>2775</v>
      </c>
      <c r="B55" s="261" t="e">
        <f t="shared" si="17"/>
        <v>#DIV/0!</v>
      </c>
      <c r="C55" s="199">
        <f t="shared" si="16"/>
        <v>0</v>
      </c>
      <c r="D55" s="1164">
        <v>0.25</v>
      </c>
      <c r="E55" s="693"/>
      <c r="F55" s="690" t="e">
        <f t="shared" si="15"/>
        <v>#DIV/0!</v>
      </c>
      <c r="G55" s="3177"/>
      <c r="H55" s="1104">
        <f>项目基本情况!B37</f>
        <v>0</v>
      </c>
      <c r="I55" s="942">
        <f>SUMIF(修正!A45:A56,H55,修正!E45:E56)</f>
        <v>0</v>
      </c>
      <c r="J55" s="943"/>
      <c r="K55" s="1145"/>
      <c r="L55" s="941"/>
      <c r="M55" s="941"/>
      <c r="N55" s="941"/>
      <c r="O55" s="941"/>
    </row>
    <row r="56" spans="1:17" s="691" customFormat="1">
      <c r="A56" s="692" t="s">
        <v>2776</v>
      </c>
      <c r="B56" s="261" t="e">
        <f t="shared" si="17"/>
        <v>#DIV/0!</v>
      </c>
      <c r="C56" s="199">
        <f t="shared" si="16"/>
        <v>0</v>
      </c>
      <c r="D56" s="1164">
        <v>0.25</v>
      </c>
      <c r="E56" s="260">
        <f>'数据-汇总表'!E11</f>
        <v>121.22</v>
      </c>
      <c r="F56" s="690" t="e">
        <f t="shared" si="15"/>
        <v>#DIV/0!</v>
      </c>
      <c r="G56" s="2703" t="s">
        <v>2777</v>
      </c>
      <c r="H56" s="1104">
        <f>项目基本情况!C37</f>
        <v>0</v>
      </c>
      <c r="I56" s="942">
        <f>SUMIF(修正!A45:A56,H56,修正!F45:F56)</f>
        <v>0</v>
      </c>
      <c r="J56" s="943"/>
      <c r="K56" s="1144"/>
      <c r="L56" s="941"/>
      <c r="M56" s="941"/>
      <c r="N56" s="941"/>
      <c r="O56" s="941"/>
    </row>
    <row r="57" spans="1:17" s="691" customFormat="1">
      <c r="A57" s="692" t="s">
        <v>2778</v>
      </c>
      <c r="B57" s="261" t="e">
        <f t="shared" si="17"/>
        <v>#DIV/0!</v>
      </c>
      <c r="C57" s="199">
        <f t="shared" si="16"/>
        <v>0</v>
      </c>
      <c r="D57" s="1164">
        <v>0.25</v>
      </c>
      <c r="E57" s="260">
        <f>'数据-汇总表'!E12</f>
        <v>0</v>
      </c>
      <c r="F57" s="690" t="e">
        <f t="shared" si="15"/>
        <v>#DIV/0!</v>
      </c>
      <c r="G57" s="1109" t="s">
        <v>2779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2780</v>
      </c>
      <c r="B58" s="261" t="e">
        <f t="shared" si="17"/>
        <v>#DIV/0!</v>
      </c>
      <c r="C58" s="199">
        <f t="shared" si="16"/>
        <v>0</v>
      </c>
      <c r="D58" s="1164">
        <v>0.25</v>
      </c>
      <c r="E58" s="260">
        <f>'数据-汇总表'!E13</f>
        <v>10484.65</v>
      </c>
      <c r="F58" s="690"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2782</v>
      </c>
      <c r="B59" s="261" t="e">
        <f t="shared" si="17"/>
        <v>#DIV/0!</v>
      </c>
      <c r="C59" s="199">
        <f t="shared" si="16"/>
        <v>0</v>
      </c>
      <c r="D59" s="1164">
        <v>0.25</v>
      </c>
      <c r="E59" s="260">
        <f>'数据-汇总表'!E14</f>
        <v>0</v>
      </c>
      <c r="F59" s="690" t="e">
        <f t="shared" si="15"/>
        <v>#DIV/0!</v>
      </c>
      <c r="G59" s="2703" t="s">
        <v>2772</v>
      </c>
      <c r="H59" s="1104">
        <f>项目基本情况!B37</f>
        <v>0</v>
      </c>
      <c r="I59" s="942">
        <f>SUMIF(修正!A45:A56,H59,修正!H45:H56)</f>
        <v>0</v>
      </c>
      <c r="J59" s="943"/>
      <c r="K59" s="1145"/>
      <c r="L59" s="941"/>
      <c r="M59" s="941"/>
      <c r="N59" s="941"/>
      <c r="O59" s="941"/>
    </row>
    <row r="60" spans="1:17" s="691" customFormat="1" ht="15" thickBot="1">
      <c r="A60" s="692" t="s">
        <v>2783</v>
      </c>
      <c r="B60" s="261" t="e">
        <f t="shared" si="17"/>
        <v>#DIV/0!</v>
      </c>
      <c r="C60" s="199">
        <f t="shared" si="16"/>
        <v>0</v>
      </c>
      <c r="D60" s="1164">
        <v>0.25</v>
      </c>
      <c r="E60" s="260">
        <f>'数据-汇总表'!E15</f>
        <v>0</v>
      </c>
      <c r="F60" s="690" t="e">
        <f t="shared" si="15"/>
        <v>#DIV/0!</v>
      </c>
      <c r="G60" s="2704" t="s">
        <v>2777</v>
      </c>
      <c r="H60" s="1114">
        <f>项目基本情况!C37</f>
        <v>0</v>
      </c>
      <c r="I60" s="942">
        <f>SUMIF(修正!A45:A56,H60,修正!H45:H56)</f>
        <v>0</v>
      </c>
      <c r="J60" s="943"/>
      <c r="K60" s="1144"/>
      <c r="L60" s="941"/>
      <c r="M60" s="941"/>
      <c r="N60" s="941"/>
      <c r="O60" s="941"/>
    </row>
    <row r="61" spans="1:17" s="691" customFormat="1" ht="15" thickBot="1">
      <c r="A61" s="694" t="s">
        <v>2784</v>
      </c>
      <c r="B61" s="695" t="s">
        <v>28</v>
      </c>
      <c r="C61" s="695" t="s">
        <v>29</v>
      </c>
      <c r="D61" s="695" t="s">
        <v>1029</v>
      </c>
      <c r="E61" s="695">
        <f>IF(B41="楼面地价",SUM(E51:E60),'数据-汇总表'!D3)</f>
        <v>20327.75</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2677</v>
      </c>
      <c r="B64" s="757"/>
      <c r="C64" s="762"/>
      <c r="D64" s="762"/>
      <c r="E64" s="762"/>
      <c r="F64" s="763"/>
      <c r="G64" s="763"/>
      <c r="H64" s="762"/>
      <c r="I64" s="762"/>
      <c r="J64" s="762"/>
      <c r="K64" s="764"/>
      <c r="L64" s="765"/>
      <c r="M64" s="762"/>
      <c r="N64" s="762"/>
      <c r="O64" s="1159"/>
      <c r="P64" s="502"/>
      <c r="Q64" s="503"/>
    </row>
    <row r="65" spans="1:17" s="507" customFormat="1" ht="15">
      <c r="A65" s="2705" t="s">
        <v>2785</v>
      </c>
      <c r="B65" s="1359"/>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6"/>
    </row>
    <row r="66" spans="1:17" s="116" customFormat="1" ht="30.75" customHeight="1">
      <c r="A66" s="2710" t="s">
        <v>2805</v>
      </c>
      <c r="B66" s="331" t="str">
        <f>"北京市平均增长率"&amp;TEXT(基准地价修正!P24,"0.00%")</f>
        <v>北京市平均增长率1.39%</v>
      </c>
      <c r="C66" s="602">
        <v>100</v>
      </c>
      <c r="D66" s="594"/>
      <c r="E66" s="594"/>
      <c r="F66" s="594"/>
      <c r="G66" s="594"/>
      <c r="H66" s="594"/>
      <c r="I66" s="594"/>
      <c r="J66" s="594"/>
      <c r="K66" s="594"/>
      <c r="L66" s="594"/>
      <c r="M66" s="1567"/>
      <c r="N66" s="1567"/>
      <c r="O66" s="1569"/>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2591</v>
      </c>
      <c r="B70" s="527" t="s">
        <v>2557</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2560</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51"/>
      <c r="O87" s="1151"/>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51"/>
      <c r="O89" s="1151"/>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2694</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2753</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2795</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2797</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2798</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72" customWidth="1"/>
    <col min="33" max="36" width="9.375" style="2790" customWidth="1"/>
    <col min="37" max="38" width="9.375" style="2714" customWidth="1"/>
    <col min="39" max="16384" width="12" style="2714"/>
  </cols>
  <sheetData>
    <row r="1" spans="1:36" ht="28.5">
      <c r="A1" s="239" t="s">
        <v>2807</v>
      </c>
      <c r="B1" s="240"/>
      <c r="C1" s="244" t="s">
        <v>2808</v>
      </c>
      <c r="D1" s="387">
        <f>SUM(D29:D30,D33:D39)</f>
        <v>0</v>
      </c>
      <c r="E1" s="2711"/>
      <c r="F1" s="2711"/>
      <c r="G1" s="2711"/>
      <c r="H1" s="2711"/>
      <c r="I1" s="2711"/>
      <c r="J1" s="2711"/>
      <c r="K1" s="1370"/>
      <c r="L1" s="2712" t="s">
        <v>2809</v>
      </c>
      <c r="M1" s="1080">
        <f>SUMPRODUCT((区片价!B5:B9=I2)*(区片价!C3:F3=E2)*(区片价!C5:F9))</f>
        <v>0</v>
      </c>
      <c r="N1" s="1083">
        <f>SUMPRODUCT((因素修正幅度!B5:B9=I2)*(因素修正幅度!C3:F3=E2)*(因素修正幅度!C5:F9))</f>
        <v>0</v>
      </c>
      <c r="O1" s="2713"/>
      <c r="P1" s="2713"/>
      <c r="Q1" s="1370"/>
      <c r="R1" s="1601" t="s">
        <v>2810</v>
      </c>
      <c r="S1" s="1601" t="s">
        <v>2811</v>
      </c>
      <c r="T1" s="1601" t="s">
        <v>2812</v>
      </c>
      <c r="U1" s="1601" t="s">
        <v>2813</v>
      </c>
      <c r="V1" s="1601" t="s">
        <v>2814</v>
      </c>
      <c r="W1" s="1605"/>
      <c r="X1" s="1605"/>
      <c r="Y1" s="1605"/>
      <c r="Z1" s="1605"/>
      <c r="AA1" s="1605"/>
      <c r="AB1" s="1605"/>
      <c r="AC1" s="1606"/>
      <c r="AD1" s="1607"/>
      <c r="AE1" s="1607"/>
      <c r="AF1" s="1607"/>
      <c r="AG1" s="1607"/>
      <c r="AH1" s="1607"/>
      <c r="AI1" s="1607"/>
      <c r="AJ1" s="1608"/>
    </row>
    <row r="2" spans="1:36" ht="15.75">
      <c r="A2" s="244" t="s">
        <v>2815</v>
      </c>
      <c r="B2" s="247" t="e">
        <f>C26</f>
        <v>#DIV/0!</v>
      </c>
      <c r="C2" s="2715" t="s">
        <v>2816</v>
      </c>
      <c r="D2" s="2716" t="s">
        <v>2817</v>
      </c>
      <c r="E2" s="2717"/>
      <c r="F2" s="2716" t="s">
        <v>2818</v>
      </c>
      <c r="G2" s="2718">
        <f>IF(E2="商业",项目基本情况!B37,IF(E2="办公",项目基本情况!C37,IF(E2="住宅",项目基本情况!D37,项目基本情况!E37)))</f>
        <v>0</v>
      </c>
      <c r="H2" s="2716" t="s">
        <v>2819</v>
      </c>
      <c r="I2" s="2718">
        <f>IF(E2="商业",项目基本情况!B38,IF(E2="办公",项目基本情况!C38,IF(E2="住宅",项目基本情况!D38,项目基本情况!E38)))</f>
        <v>0</v>
      </c>
      <c r="J2" s="2719"/>
      <c r="K2" s="1370"/>
      <c r="L2" s="2720" t="s">
        <v>2820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2821</v>
      </c>
      <c r="B3" s="247" t="e">
        <f>ROUND(B2*10000/D1,0)</f>
        <v>#DIV/0!</v>
      </c>
      <c r="C3" s="2715" t="s">
        <v>2822</v>
      </c>
      <c r="D3" s="2716" t="s">
        <v>2823</v>
      </c>
      <c r="E3" s="2721"/>
      <c r="F3" s="2722" t="s">
        <v>2824</v>
      </c>
      <c r="G3" s="913">
        <f>IF(F3="宗地容积率",'数据-汇总表'!I4,IF(F3="估价对象容积率",'数据-汇总表'!I6,'数据-汇总表'!I7))</f>
        <v>2.54</v>
      </c>
      <c r="H3" s="197" t="s">
        <v>2825</v>
      </c>
      <c r="I3" s="944"/>
      <c r="J3" s="2719" t="s">
        <v>2826</v>
      </c>
      <c r="K3" s="1370"/>
      <c r="L3" s="2720" t="s">
        <v>2827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3"/>
      <c r="B4" s="3274"/>
      <c r="C4" s="3274"/>
      <c r="D4" s="3275"/>
      <c r="E4" s="3275"/>
      <c r="F4" s="3275"/>
      <c r="G4" s="3275"/>
      <c r="H4" s="3275"/>
      <c r="I4" s="3275"/>
      <c r="J4" s="3276"/>
      <c r="K4" s="1370"/>
      <c r="L4" s="2720" t="s">
        <v>2828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2" customFormat="1" ht="15.75" thickBot="1">
      <c r="A5" s="2723" t="s">
        <v>807</v>
      </c>
      <c r="B5" s="2724" t="s">
        <v>2829</v>
      </c>
      <c r="C5" s="914" t="e">
        <f>ROUND(IF(E2="商业",IF(F16="增加",C6*C7+C16,C6*C7-C16),IF(E2="住宅",IF(F16="增加",C6*C12+C16,C6*C12-C16),IF(F16="增加",C6+C16,C6-C16))),0)</f>
        <v>#DIV/0!</v>
      </c>
      <c r="D5" s="1786">
        <f>ROUND(IF(E2="商业",IF(F16="增加",C6+C16,C6-C16)),0)</f>
        <v>0</v>
      </c>
      <c r="E5" s="2725"/>
      <c r="F5" s="2725"/>
      <c r="G5" s="2726"/>
      <c r="H5" s="2726"/>
      <c r="I5" s="2726"/>
      <c r="J5" s="2727"/>
      <c r="K5" s="2728"/>
      <c r="L5" s="2720" t="s">
        <v>2830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9"/>
      <c r="AD5" s="2730"/>
      <c r="AE5" s="2730"/>
      <c r="AF5" s="2730"/>
      <c r="AG5" s="2730"/>
      <c r="AH5" s="2730"/>
      <c r="AI5" s="2730"/>
      <c r="AJ5" s="2731"/>
    </row>
    <row r="6" spans="1:36" ht="15.75" thickBot="1">
      <c r="A6" s="2733" t="s">
        <v>2831</v>
      </c>
      <c r="B6" s="2734" t="s">
        <v>2832</v>
      </c>
      <c r="C6" s="915">
        <f>SUMIF(L1:L12,G2,M1:M12)</f>
        <v>0</v>
      </c>
      <c r="D6" s="2735" t="s">
        <v>2833</v>
      </c>
      <c r="E6" s="2736"/>
      <c r="F6" s="2736"/>
      <c r="G6" s="2737"/>
      <c r="H6" s="2737"/>
      <c r="I6" s="2737"/>
      <c r="J6" s="2738"/>
      <c r="K6" s="1841"/>
      <c r="L6" s="2720" t="s">
        <v>2834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9"/>
      <c r="AD6" s="2730"/>
      <c r="AE6" s="2730"/>
      <c r="AF6" s="2730"/>
      <c r="AG6" s="2730"/>
      <c r="AH6" s="2730"/>
      <c r="AI6" s="2730"/>
      <c r="AJ6" s="2731"/>
    </row>
    <row r="7" spans="1:36" ht="24">
      <c r="A7" s="3277" t="str">
        <f>IF(E2="商业",IF(C8="不临58条商业街","",2),"")</f>
        <v/>
      </c>
      <c r="B7" s="2739" t="s">
        <v>2835</v>
      </c>
      <c r="C7" s="916" t="e">
        <f>IF(C8="不临58条商业街",1,ROUND(1+(1.6*E8+1.2*E9+0.8*E10+0.4*E11)*C9,4))</f>
        <v>#DIV/0!</v>
      </c>
      <c r="D7" s="2740" t="s">
        <v>2836</v>
      </c>
      <c r="E7" s="945"/>
      <c r="F7" s="2741"/>
      <c r="G7" s="2742"/>
      <c r="H7" s="2742"/>
      <c r="I7" s="2742"/>
      <c r="J7" s="2743"/>
      <c r="K7" s="1841"/>
      <c r="L7" s="2720" t="s">
        <v>2837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2838</v>
      </c>
      <c r="X7" s="1603">
        <f>G2</f>
        <v>0</v>
      </c>
      <c r="Y7" s="1603" t="s">
        <v>2839</v>
      </c>
      <c r="Z7" s="1604">
        <f>G3</f>
        <v>2.54</v>
      </c>
      <c r="AA7" s="1605"/>
      <c r="AB7" s="1605"/>
      <c r="AC7" s="1606"/>
      <c r="AD7" s="1607"/>
      <c r="AE7" s="1607"/>
      <c r="AF7" s="1607"/>
      <c r="AG7" s="1607"/>
      <c r="AH7" s="1607"/>
      <c r="AI7" s="1607"/>
      <c r="AJ7" s="1608"/>
    </row>
    <row r="8" spans="1:36" ht="15">
      <c r="A8" s="3278"/>
      <c r="B8" s="197" t="s">
        <v>2840</v>
      </c>
      <c r="C8" s="2744"/>
      <c r="D8" s="917" t="s">
        <v>139</v>
      </c>
      <c r="E8" s="918" t="e">
        <f>ROUND(C11/E7,4)</f>
        <v>#DIV/0!</v>
      </c>
      <c r="F8" s="2745" t="s">
        <v>2841</v>
      </c>
      <c r="G8" s="2746"/>
      <c r="H8" s="2746"/>
      <c r="I8" s="2746"/>
      <c r="J8" s="2747"/>
      <c r="K8" s="1370"/>
      <c r="L8" s="2720" t="s">
        <v>2842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0" t="s">
        <v>2843</v>
      </c>
      <c r="X8" s="3271"/>
      <c r="Y8" s="1609" t="s">
        <v>2844</v>
      </c>
      <c r="Z8" s="1609" t="s">
        <v>2845</v>
      </c>
      <c r="AA8" s="1609" t="s">
        <v>2846</v>
      </c>
      <c r="AB8" s="1609" t="s">
        <v>2847</v>
      </c>
      <c r="AC8" s="1609" t="s">
        <v>2848</v>
      </c>
      <c r="AD8" s="1609" t="s">
        <v>2849</v>
      </c>
      <c r="AE8" s="1609" t="s">
        <v>2850</v>
      </c>
      <c r="AF8" s="1609" t="s">
        <v>2851</v>
      </c>
      <c r="AG8" s="1609" t="s">
        <v>2852</v>
      </c>
      <c r="AH8" s="1609" t="s">
        <v>2853</v>
      </c>
      <c r="AI8" s="1609" t="s">
        <v>2854</v>
      </c>
      <c r="AJ8" s="1609" t="s">
        <v>2855</v>
      </c>
    </row>
    <row r="9" spans="1:36" ht="15">
      <c r="A9" s="3278"/>
      <c r="B9" s="197" t="s">
        <v>2856</v>
      </c>
      <c r="C9" s="919">
        <f>SUMIF(修正!C59:C119,C8,修正!E59:E119)</f>
        <v>0</v>
      </c>
      <c r="D9" s="199" t="s">
        <v>140</v>
      </c>
      <c r="E9" s="199" t="e">
        <f>ROUND(C11/E7,4)</f>
        <v>#DIV/0!</v>
      </c>
      <c r="F9" s="2745" t="s">
        <v>2857</v>
      </c>
      <c r="G9" s="2746"/>
      <c r="H9" s="2746"/>
      <c r="I9" s="2746"/>
      <c r="J9" s="2747"/>
      <c r="K9" s="1370"/>
      <c r="L9" s="2720" t="s">
        <v>2858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2" t="s">
        <v>2859</v>
      </c>
      <c r="X9" s="1610" t="s">
        <v>2860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8"/>
      <c r="B10" s="197" t="s">
        <v>2861</v>
      </c>
      <c r="C10" s="199">
        <f>SUMIF(修正!C59:C119,C8,修正!F59:F119)</f>
        <v>0</v>
      </c>
      <c r="D10" s="199" t="s">
        <v>141</v>
      </c>
      <c r="E10" s="199" t="e">
        <f>ROUND(C11/E7,4)</f>
        <v>#DIV/0!</v>
      </c>
      <c r="F10" s="2745" t="s">
        <v>2862</v>
      </c>
      <c r="G10" s="2746"/>
      <c r="H10" s="2746"/>
      <c r="I10" s="2746"/>
      <c r="J10" s="2747"/>
      <c r="K10" s="1370"/>
      <c r="L10" s="2720" t="s">
        <v>2863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8"/>
      <c r="B11" s="2748" t="s">
        <v>2864</v>
      </c>
      <c r="C11" s="920">
        <f>C10/4</f>
        <v>0</v>
      </c>
      <c r="D11" s="920" t="s">
        <v>142</v>
      </c>
      <c r="E11" s="920" t="e">
        <f>ROUND(C11/E7,4)</f>
        <v>#DIV/0!</v>
      </c>
      <c r="F11" s="2749" t="s">
        <v>2865</v>
      </c>
      <c r="G11" s="2750"/>
      <c r="H11" s="2750"/>
      <c r="I11" s="2750"/>
      <c r="J11" s="2751"/>
      <c r="K11" s="1370"/>
      <c r="L11" s="2720" t="s">
        <v>2866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2" t="s">
        <v>2867</v>
      </c>
      <c r="X11" s="1613" t="s">
        <v>2868</v>
      </c>
      <c r="Y11" s="1614">
        <f>$G$3</f>
        <v>2.54</v>
      </c>
      <c r="Z11" s="1614">
        <f t="shared" ref="Z11:AJ11" si="3">$G$3</f>
        <v>2.54</v>
      </c>
      <c r="AA11" s="1614">
        <f t="shared" si="3"/>
        <v>2.54</v>
      </c>
      <c r="AB11" s="1614">
        <f t="shared" si="3"/>
        <v>2.54</v>
      </c>
      <c r="AC11" s="1614">
        <f t="shared" si="3"/>
        <v>2.54</v>
      </c>
      <c r="AD11" s="1614">
        <f t="shared" si="3"/>
        <v>2.54</v>
      </c>
      <c r="AE11" s="1614">
        <f t="shared" si="3"/>
        <v>2.54</v>
      </c>
      <c r="AF11" s="1614">
        <f t="shared" si="3"/>
        <v>2.54</v>
      </c>
      <c r="AG11" s="1614">
        <f t="shared" si="3"/>
        <v>2.54</v>
      </c>
      <c r="AH11" s="1614">
        <f t="shared" si="3"/>
        <v>2.54</v>
      </c>
      <c r="AI11" s="1614">
        <f t="shared" si="3"/>
        <v>2.54</v>
      </c>
      <c r="AJ11" s="1614">
        <f t="shared" si="3"/>
        <v>2.54</v>
      </c>
    </row>
    <row r="12" spans="1:36" ht="25.5" thickBot="1">
      <c r="A12" s="3277" t="s">
        <v>2869</v>
      </c>
      <c r="B12" s="2752" t="s">
        <v>2870</v>
      </c>
      <c r="C12" s="916">
        <f>ROUND(C15*D15*E15*F15*G15*H15*I15*J15,4)</f>
        <v>1</v>
      </c>
      <c r="D12" s="2753" t="s">
        <v>2871</v>
      </c>
      <c r="E12" s="2754"/>
      <c r="F12" s="2754"/>
      <c r="G12" s="2755"/>
      <c r="H12" s="2755"/>
      <c r="I12" s="2755"/>
      <c r="J12" s="2756"/>
      <c r="K12" s="1370"/>
      <c r="L12" s="2757" t="s">
        <v>2872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2"/>
      <c r="X12" s="1615" t="s">
        <v>2873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9"/>
      <c r="B13" s="2758" t="s">
        <v>2874</v>
      </c>
      <c r="C13" s="2759" t="s">
        <v>2875</v>
      </c>
      <c r="D13" s="1807" t="s">
        <v>2876</v>
      </c>
      <c r="E13" s="1807" t="s">
        <v>2877</v>
      </c>
      <c r="F13" s="30" t="s">
        <v>2878</v>
      </c>
      <c r="G13" s="2760" t="s">
        <v>2879</v>
      </c>
      <c r="H13" s="2760" t="s">
        <v>2879</v>
      </c>
      <c r="I13" s="2760" t="s">
        <v>2879</v>
      </c>
      <c r="J13" s="2761" t="s">
        <v>2879</v>
      </c>
      <c r="K13" s="1370"/>
      <c r="L13" s="1370"/>
      <c r="M13" s="1370"/>
      <c r="N13" s="1370"/>
      <c r="O13" s="1370"/>
      <c r="P13" s="1370"/>
      <c r="Q13" s="1370"/>
      <c r="R13" s="1601">
        <v>12</v>
      </c>
      <c r="S13" s="1602"/>
      <c r="T13" s="1601" t="e">
        <f t="shared" si="0"/>
        <v>#DIV/0!</v>
      </c>
      <c r="U13" s="1602"/>
      <c r="V13" s="1601" t="e">
        <f t="shared" si="1"/>
        <v>#DIV/0!</v>
      </c>
      <c r="W13" s="3272"/>
      <c r="X13" s="1615"/>
      <c r="Y13" s="1612">
        <f>(-0.163*(Y12^2)-0.59*Y12+7617)*(10^(-4))/Y11</f>
        <v>0.29988188976377955</v>
      </c>
      <c r="Z13" s="1612">
        <f t="shared" ref="Z13:AJ13" si="5">(-0.163*(Z12^2)-0.59*Z12+7617)*(10^(-4))/Z11</f>
        <v>0.29988188976377955</v>
      </c>
      <c r="AA13" s="1612">
        <f t="shared" si="5"/>
        <v>0.29988188976377955</v>
      </c>
      <c r="AB13" s="1612">
        <f t="shared" si="5"/>
        <v>0.29988188976377955</v>
      </c>
      <c r="AC13" s="1612">
        <f t="shared" si="5"/>
        <v>0.29988188976377955</v>
      </c>
      <c r="AD13" s="1612">
        <f t="shared" si="5"/>
        <v>0.29988188976377955</v>
      </c>
      <c r="AE13" s="1612">
        <f t="shared" si="5"/>
        <v>0.29988188976377955</v>
      </c>
      <c r="AF13" s="1612">
        <f t="shared" si="5"/>
        <v>0.29988188976377955</v>
      </c>
      <c r="AG13" s="1612">
        <f t="shared" si="5"/>
        <v>0.29988188976377955</v>
      </c>
      <c r="AH13" s="1612">
        <f t="shared" si="5"/>
        <v>0.29988188976377955</v>
      </c>
      <c r="AI13" s="1612">
        <f t="shared" si="5"/>
        <v>0.29988188976377955</v>
      </c>
      <c r="AJ13" s="1612">
        <f t="shared" si="5"/>
        <v>0.29988188976377955</v>
      </c>
    </row>
    <row r="14" spans="1:36" ht="15">
      <c r="A14" s="3279"/>
      <c r="B14" s="2762"/>
      <c r="C14" s="2763"/>
      <c r="D14" s="2764"/>
      <c r="E14" s="2764"/>
      <c r="F14" s="2765"/>
      <c r="G14" s="2766" t="s">
        <v>2880</v>
      </c>
      <c r="H14" s="2767"/>
      <c r="I14" s="2768"/>
      <c r="J14" s="2769"/>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0"/>
      <c r="B15" s="2770" t="s">
        <v>2881</v>
      </c>
      <c r="C15" s="228">
        <f>IF(C14="有",1.1,1)</f>
        <v>1</v>
      </c>
      <c r="D15" s="228">
        <f>IF(D14="有",1.1,1)</f>
        <v>1</v>
      </c>
      <c r="E15" s="228">
        <f>IF(E14="有",1.1,1)</f>
        <v>1</v>
      </c>
      <c r="F15" s="228">
        <f>IF(F14="500米范围内",1.2,IF(F14="500-1000米",1.1,1))</f>
        <v>1</v>
      </c>
      <c r="G15" s="946">
        <v>1</v>
      </c>
      <c r="H15" s="946">
        <v>1</v>
      </c>
      <c r="I15" s="946">
        <v>1</v>
      </c>
      <c r="J15" s="947">
        <v>1</v>
      </c>
      <c r="K15" s="1370"/>
      <c r="L15" s="2771" t="s">
        <v>2817</v>
      </c>
      <c r="M15" s="917" t="s">
        <v>2882</v>
      </c>
      <c r="N15" s="917" t="s">
        <v>2883</v>
      </c>
      <c r="O15" s="917" t="s">
        <v>2884</v>
      </c>
      <c r="P15" s="2772" t="s">
        <v>2885</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77" t="s">
        <v>2886</v>
      </c>
      <c r="B16" s="2739" t="s">
        <v>2887</v>
      </c>
      <c r="C16" s="1800" t="e">
        <f>ROUND(SUM(G17:J17)/C17,0)</f>
        <v>#DIV/0!</v>
      </c>
      <c r="D16" s="2773" t="s">
        <v>2888</v>
      </c>
      <c r="E16" s="2774"/>
      <c r="F16" s="2775"/>
      <c r="G16" s="2776"/>
      <c r="H16" s="2776"/>
      <c r="I16" s="2776"/>
      <c r="J16" s="2777"/>
      <c r="K16" s="1370"/>
      <c r="L16" s="2778" t="s">
        <v>2889</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8"/>
      <c r="B17" s="2779" t="s">
        <v>2890</v>
      </c>
      <c r="C17" s="921">
        <f>SUMPRODUCT((修正!A2:A5=E2)*(修正!B1:M1=G2)*(修正!B2:M5))</f>
        <v>0</v>
      </c>
      <c r="D17" s="2780" t="s">
        <v>2891</v>
      </c>
      <c r="E17" s="920" t="str">
        <f>IF(OR(G2="八级",G2="九级",G2="十级",G2="十一级",G2="十二级"),"五通一平","七通一平")</f>
        <v>七通一平</v>
      </c>
      <c r="F17" s="921" t="s">
        <v>2892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1" t="s">
        <v>2893</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2"/>
      <c r="AF17" s="2782"/>
      <c r="AG17" s="2714"/>
      <c r="AH17" s="2714"/>
      <c r="AI17" s="2714"/>
      <c r="AJ17" s="2714"/>
    </row>
    <row r="18" spans="1:37" s="2732" customFormat="1" ht="15.75" thickBot="1">
      <c r="A18" s="2783" t="s">
        <v>808</v>
      </c>
      <c r="B18" s="2784" t="s">
        <v>2894</v>
      </c>
      <c r="C18" s="923">
        <f>SUMIF(修正!C18:C39,E3,修正!E18:E39)</f>
        <v>0</v>
      </c>
      <c r="D18" s="2785"/>
      <c r="E18" s="2786"/>
      <c r="F18" s="2787"/>
      <c r="G18" s="2788"/>
      <c r="H18" s="2788"/>
      <c r="I18" s="2788"/>
      <c r="J18" s="2789"/>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32" customFormat="1" ht="27.75" thickBot="1">
      <c r="A19" s="2783" t="s">
        <v>809</v>
      </c>
      <c r="B19" s="2784" t="s">
        <v>2895</v>
      </c>
      <c r="C19" s="924" t="e">
        <f>ROUND(IF(H19="按公示增长率计算",SUMPRODUCT((地价!A3:A20=YEAR(G19)&amp;"-"&amp;ROUNDUP(MONTH(G19)/3,0))*(地价!X2:AB2=E2)*(地价!X3:AB20)),IF(H19="地价指数",M20/M19,(1+I19)^O19)),4)</f>
        <v>#DIV/0!</v>
      </c>
      <c r="D19" s="2791" t="s">
        <v>2896</v>
      </c>
      <c r="E19" s="925">
        <v>41640</v>
      </c>
      <c r="F19" s="2791" t="s">
        <v>2897</v>
      </c>
      <c r="G19" s="926">
        <f>'数据-取费表'!B2</f>
        <v>43056</v>
      </c>
      <c r="H19" s="2792" t="s">
        <v>2898</v>
      </c>
      <c r="I19" s="927" t="str">
        <f>IF(H19="季度增幅（自定义）",SUMIF(N21:N24,E2,O21:O24),"")</f>
        <v/>
      </c>
      <c r="J19" s="2789"/>
      <c r="K19" s="1377"/>
      <c r="L19" s="2793" t="s">
        <v>2899</v>
      </c>
      <c r="M19" s="1733">
        <f>ROUND(SUMIF(地价!B2:F2,E2,地价!B20:F20),0)</f>
        <v>0</v>
      </c>
      <c r="N19" s="2794" t="s">
        <v>2900</v>
      </c>
      <c r="O19" s="928">
        <f>ROUNDDOWN(DATEDIF(E19,G19,"M")/3,0)</f>
        <v>15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32" customFormat="1" ht="27.75" thickBot="1">
      <c r="A20" s="2798" t="s">
        <v>810</v>
      </c>
      <c r="B20" s="2799" t="s">
        <v>2901</v>
      </c>
      <c r="C20" s="929" t="e">
        <f>ROUND(POWER(1+G20,J20-I20)*(POWER(1+G20,I20)-1)/(POWER(1+G20,J20)-1),4)</f>
        <v>#DIV/0!</v>
      </c>
      <c r="D20" s="2800" t="s">
        <v>2902</v>
      </c>
      <c r="E20" s="1767">
        <f ca="1">存贷款利率!D4/100</f>
        <v>4.3499999999999997E-2</v>
      </c>
      <c r="F20" s="2800" t="s">
        <v>2893</v>
      </c>
      <c r="G20" s="934">
        <f>SUMIF(M15:P15,E2,M17:P17)</f>
        <v>0</v>
      </c>
      <c r="H20" s="2800" t="s">
        <v>2903</v>
      </c>
      <c r="I20" s="935" t="e">
        <f>SUMIF('数据-取费表'!C6:C15,E2,'数据-取费表'!F6:F15)/COUNTIF('数据-取费表'!C6:C15,E2)</f>
        <v>#DIV/0!</v>
      </c>
      <c r="J20" s="936">
        <f>IF(E2="住宅",70,IF(E2="商业",40,50))</f>
        <v>50</v>
      </c>
      <c r="K20" s="1377"/>
      <c r="L20" s="2801" t="s">
        <v>2904</v>
      </c>
      <c r="M20" s="1734">
        <f>ROUND(SUMPRODUCT((地价!A5:A20=YEAR(G19)&amp;"-"&amp;ROUNDUP(MONTH(G19)/3,0))*(地价!B2:F2=E2)*(地价!B5:F20)),0)</f>
        <v>0</v>
      </c>
      <c r="N20" s="2802" t="s">
        <v>2905</v>
      </c>
      <c r="O20" s="2803" t="s">
        <v>2906</v>
      </c>
      <c r="P20" s="2804" t="s">
        <v>2907</v>
      </c>
      <c r="R20" s="1376"/>
      <c r="S20" s="1376"/>
      <c r="T20" s="1371"/>
      <c r="U20" s="1371"/>
      <c r="V20" s="1371"/>
      <c r="W20" s="1370"/>
      <c r="X20" s="1370"/>
      <c r="Y20" s="1370"/>
      <c r="Z20" s="1377"/>
      <c r="AA20" s="1378"/>
      <c r="AB20" s="1378"/>
      <c r="AC20" s="1378"/>
      <c r="AD20" s="1378"/>
      <c r="AE20" s="1378"/>
      <c r="AF20" s="1378"/>
    </row>
    <row r="21" spans="1:37" s="2732" customFormat="1" ht="15">
      <c r="A21" s="2805" t="s">
        <v>811</v>
      </c>
      <c r="B21" s="2806" t="s">
        <v>2908</v>
      </c>
      <c r="C21" s="937">
        <f>IF(B21="容积率修正",IF(G3&lt;=10,D22,J22),C23)</f>
        <v>0</v>
      </c>
      <c r="D21" s="2807"/>
      <c r="E21" s="2807"/>
      <c r="F21" s="2807"/>
      <c r="G21" s="2807"/>
      <c r="H21" s="2807"/>
      <c r="I21" s="2807"/>
      <c r="J21" s="2808"/>
      <c r="K21" s="1377"/>
      <c r="N21" s="2809" t="s">
        <v>2909</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2910</v>
      </c>
      <c r="B22" s="2810" t="s">
        <v>2911</v>
      </c>
      <c r="C22" s="1809" t="s">
        <v>2912</v>
      </c>
      <c r="D22" s="1809">
        <f>IF(E22=G22,F22,IF(G3&lt;=10,ROUND(F22+(H22-F22)*(G3-E22)/(G22-E22),4),"——"))</f>
        <v>0</v>
      </c>
      <c r="E22" s="913">
        <f>ROUNDDOWN(G3,1)</f>
        <v>2.5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2913</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58" t="s">
        <v>2914</v>
      </c>
      <c r="B23" s="2811" t="s">
        <v>2915</v>
      </c>
      <c r="C23" s="1013">
        <f>ROUND(IF(G3&gt;1,IF(I3&lt;7,SUMPRODUCT((B93:B98=I3)*(C92:N92=G2)*(C93:N98)),SUMIF(C92:N92,G2,C100:N100)),IF(I3&lt;7,SUMPRODUCT((B102:B107=I3)*(C92:N92=G2)*(C102:N107)),SUMIF(C92:N92,G2,C109:N109))),4)</f>
        <v>0</v>
      </c>
      <c r="D23" s="2767"/>
      <c r="E23" s="2767"/>
      <c r="F23" s="2812"/>
      <c r="G23" s="2813"/>
      <c r="H23" s="2814"/>
      <c r="I23" s="2815"/>
      <c r="J23" s="2816"/>
      <c r="K23" s="1370"/>
      <c r="N23" s="2809" t="s">
        <v>2916</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0"/>
    </row>
    <row r="24" spans="1:37" s="2732" customFormat="1" ht="15.75" thickBot="1">
      <c r="A24" s="2798" t="s">
        <v>812</v>
      </c>
      <c r="B24" s="2784" t="s">
        <v>2917</v>
      </c>
      <c r="C24" s="924">
        <f>SUMIF(A45:A88,E2,B45:B88)</f>
        <v>0</v>
      </c>
      <c r="D24" s="2787"/>
      <c r="E24" s="2817"/>
      <c r="F24" s="2817"/>
      <c r="G24" s="2817"/>
      <c r="H24" s="2817"/>
      <c r="I24" s="2817"/>
      <c r="J24" s="2818"/>
      <c r="K24" s="1377"/>
      <c r="N24" s="2819" t="s">
        <v>2918</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2919</v>
      </c>
      <c r="C25" s="930"/>
      <c r="D25" s="2742"/>
      <c r="E25" s="2742"/>
      <c r="F25" s="2821"/>
      <c r="G25" s="2742"/>
      <c r="H25" s="2742"/>
      <c r="I25" s="2742"/>
      <c r="J25" s="2743"/>
      <c r="K25" s="1370"/>
      <c r="N25" s="2822" t="s">
        <v>2920</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3"/>
      <c r="B26" s="2810" t="s">
        <v>2921</v>
      </c>
      <c r="C26" s="205" t="e">
        <f>E29+SUM(E33:E39)</f>
        <v>#DIV/0!</v>
      </c>
      <c r="D26" s="2824"/>
      <c r="E26" s="2767"/>
      <c r="F26" s="2825"/>
      <c r="G26" s="2767"/>
      <c r="H26" s="2767"/>
      <c r="I26" s="2767"/>
      <c r="J26" s="2826"/>
      <c r="K26" s="1370"/>
      <c r="R26" s="1376"/>
      <c r="S26" s="1376"/>
      <c r="T26" s="1371"/>
      <c r="U26" s="1371"/>
      <c r="V26" s="1371"/>
      <c r="W26" s="1370"/>
      <c r="X26" s="1370"/>
      <c r="Y26" s="1370"/>
      <c r="Z26" s="1377"/>
      <c r="AA26" s="1378"/>
      <c r="AB26" s="1378"/>
      <c r="AC26" s="1378"/>
      <c r="AD26" s="1378"/>
    </row>
    <row r="27" spans="1:37" ht="15.75" thickBot="1">
      <c r="A27" s="2823"/>
      <c r="B27" s="2827" t="s">
        <v>2922</v>
      </c>
      <c r="C27" s="931" t="e">
        <f>E30+SUM(I33:I39)</f>
        <v>#DIV/0!</v>
      </c>
      <c r="D27" s="2828"/>
      <c r="E27" s="2829"/>
      <c r="F27" s="2830"/>
      <c r="G27" s="2829"/>
      <c r="H27" s="2829"/>
      <c r="I27" s="2829"/>
      <c r="J27" s="2831"/>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2"/>
      <c r="B28" s="2833" t="s">
        <v>2923</v>
      </c>
      <c r="C28" s="2834" t="s">
        <v>2924</v>
      </c>
      <c r="D28" s="2834" t="s">
        <v>2925</v>
      </c>
      <c r="E28" s="2835" t="s">
        <v>2926</v>
      </c>
      <c r="F28" s="2836"/>
      <c r="G28" s="2755"/>
      <c r="H28" s="2755"/>
      <c r="I28" s="2755"/>
      <c r="J28" s="2756"/>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7"/>
      <c r="B29" s="2838" t="s">
        <v>2927</v>
      </c>
      <c r="C29" s="205" t="e">
        <f>ROUND(C5*C18*C19*C20*C21*C24,0)</f>
        <v>#DIV/0!</v>
      </c>
      <c r="D29" s="2839"/>
      <c r="E29" s="942" t="e">
        <f>ROUND(C29*D29/10000,0)</f>
        <v>#DIV/0!</v>
      </c>
      <c r="F29" s="2840" t="s">
        <v>2928</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4"/>
      <c r="AH29" s="2714"/>
      <c r="AI29" s="2714"/>
      <c r="AJ29" s="2714"/>
    </row>
    <row r="30" spans="1:37" ht="25.5" thickBot="1">
      <c r="A30" s="2843"/>
      <c r="B30" s="2844" t="s">
        <v>2929</v>
      </c>
      <c r="C30" s="228" t="e">
        <f>ROUND(IF(E2="工业",C29*M39,C29*M38),0)</f>
        <v>#DIV/0!</v>
      </c>
      <c r="D30" s="2845"/>
      <c r="E30" s="942" t="e">
        <f>ROUND(C30*D30/10000,0)</f>
        <v>#DIV/0!</v>
      </c>
      <c r="F30" s="2846" t="s">
        <v>2930</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4"/>
      <c r="AH30" s="2714"/>
      <c r="AI30" s="2714"/>
      <c r="AJ30" s="2714"/>
    </row>
    <row r="31" spans="1:37" ht="14.25">
      <c r="A31" s="2849"/>
      <c r="B31" s="2850" t="s">
        <v>2931</v>
      </c>
      <c r="C31" s="2851" t="s">
        <v>2932</v>
      </c>
      <c r="D31" s="2755"/>
      <c r="E31" s="2851"/>
      <c r="F31" s="2851"/>
      <c r="G31" s="2753" t="s">
        <v>2933</v>
      </c>
      <c r="H31" s="2755"/>
      <c r="I31" s="2852"/>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4"/>
      <c r="AH31" s="2714"/>
      <c r="AI31" s="2714"/>
      <c r="AJ31" s="2714"/>
    </row>
    <row r="32" spans="1:37" ht="24">
      <c r="A32" s="2837"/>
      <c r="B32" s="2853"/>
      <c r="C32" s="500" t="s">
        <v>2924</v>
      </c>
      <c r="D32" s="497" t="s">
        <v>2925</v>
      </c>
      <c r="E32" s="497" t="s">
        <v>2926</v>
      </c>
      <c r="F32" s="387" t="s">
        <v>2934</v>
      </c>
      <c r="G32" s="2854" t="s">
        <v>2924</v>
      </c>
      <c r="H32" s="2854" t="s">
        <v>2925</v>
      </c>
      <c r="I32" s="2854" t="s">
        <v>2926</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4"/>
      <c r="AH32" s="2714"/>
      <c r="AI32" s="2714"/>
      <c r="AJ32" s="2714"/>
    </row>
    <row r="33" spans="1:37" ht="36" customHeight="1">
      <c r="A33" s="3287" t="s">
        <v>2935</v>
      </c>
      <c r="B33" s="2855" t="s">
        <v>2936</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759" t="s">
        <v>2937</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59" t="s">
        <v>2938</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89"/>
      <c r="B36" s="2759" t="s">
        <v>2939</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70"/>
      <c r="L36" s="2713"/>
      <c r="M36" s="2713"/>
      <c r="N36" s="1370"/>
      <c r="O36" s="1370"/>
      <c r="P36" s="1370"/>
      <c r="Q36" s="1370"/>
      <c r="R36" s="1370"/>
      <c r="S36" s="1370"/>
      <c r="T36" s="1370"/>
      <c r="U36" s="1370"/>
      <c r="V36" s="1370"/>
      <c r="W36" s="1370"/>
      <c r="X36" s="1370"/>
      <c r="Y36" s="1370"/>
      <c r="Z36" s="1371"/>
    </row>
    <row r="37" spans="1:37">
      <c r="A37" s="2857"/>
      <c r="B37" s="2759" t="s">
        <v>2940</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70"/>
      <c r="L37" s="2858" t="s">
        <v>2941</v>
      </c>
      <c r="M37" s="2859"/>
      <c r="N37" s="1370"/>
      <c r="O37" s="1370"/>
      <c r="P37" s="1370"/>
      <c r="Q37" s="1370"/>
      <c r="R37" s="1370"/>
      <c r="S37" s="1370"/>
      <c r="T37" s="1370"/>
      <c r="U37" s="1370"/>
      <c r="V37" s="1370"/>
      <c r="W37" s="1370"/>
      <c r="X37" s="1370"/>
      <c r="Y37" s="1370"/>
      <c r="Z37" s="1371"/>
    </row>
    <row r="38" spans="1:37">
      <c r="A38" s="2857"/>
      <c r="B38" s="2759" t="s">
        <v>2942</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70"/>
      <c r="L38" s="1886" t="s">
        <v>2943</v>
      </c>
      <c r="M38" s="2860">
        <v>0.25</v>
      </c>
      <c r="N38" s="1370"/>
      <c r="O38" s="1370"/>
      <c r="P38" s="1370"/>
      <c r="Q38" s="1370"/>
      <c r="R38" s="1370"/>
      <c r="S38" s="1370"/>
      <c r="T38" s="1370"/>
      <c r="U38" s="1370"/>
      <c r="V38" s="1370"/>
      <c r="W38" s="1370"/>
      <c r="X38" s="1370"/>
      <c r="Y38" s="1370"/>
      <c r="Z38" s="1371"/>
    </row>
    <row r="39" spans="1:37" ht="13.5" thickBot="1">
      <c r="A39" s="2843"/>
      <c r="B39" s="2861" t="s">
        <v>2944</v>
      </c>
      <c r="C39" s="228" t="e">
        <f>ROUND(C5*C19*C20*C24*F39,0)</f>
        <v>#DIV/0!</v>
      </c>
      <c r="D39" s="2845"/>
      <c r="E39" s="228" t="e">
        <f t="shared" si="7"/>
        <v>#DIV/0!</v>
      </c>
      <c r="F39" s="932">
        <f>SUMIF(修正!A45:A56,G2,修正!H45:H56)</f>
        <v>0</v>
      </c>
      <c r="G39" s="228" t="e">
        <f t="shared" si="6"/>
        <v>#DIV/0!</v>
      </c>
      <c r="H39" s="228">
        <f t="shared" si="8"/>
        <v>0</v>
      </c>
      <c r="I39" s="228" t="e">
        <f t="shared" si="9"/>
        <v>#DIV/0!</v>
      </c>
      <c r="J39" s="2862"/>
      <c r="K39" s="1370"/>
      <c r="L39" s="2863" t="s">
        <v>2885</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5"/>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2945</v>
      </c>
      <c r="B45" s="2867"/>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8" t="s">
        <v>2946</v>
      </c>
      <c r="B46" s="2869">
        <f>1+E48</f>
        <v>1</v>
      </c>
      <c r="C46" s="2870"/>
      <c r="D46" s="811"/>
      <c r="E46" s="812"/>
      <c r="F46" s="2871"/>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72" t="s">
        <v>2947</v>
      </c>
      <c r="B47" s="1808" t="s">
        <v>2948</v>
      </c>
      <c r="C47" s="1808" t="s">
        <v>2949</v>
      </c>
      <c r="D47" s="1808" t="s">
        <v>2950</v>
      </c>
      <c r="E47" s="816" t="s">
        <v>2951</v>
      </c>
      <c r="F47" s="2873" t="s">
        <v>2952</v>
      </c>
      <c r="G47" s="1808" t="s">
        <v>754</v>
      </c>
      <c r="H47" s="2874" t="s">
        <v>2953</v>
      </c>
      <c r="I47" s="1808" t="s">
        <v>2954</v>
      </c>
      <c r="J47" s="602" t="s">
        <v>2600</v>
      </c>
      <c r="K47" s="602" t="s">
        <v>2601</v>
      </c>
      <c r="L47" s="602" t="s">
        <v>2602</v>
      </c>
      <c r="M47" s="602" t="s">
        <v>2603</v>
      </c>
      <c r="N47" s="602" t="s">
        <v>2604</v>
      </c>
      <c r="AA47" s="1371"/>
      <c r="AB47" s="1371"/>
      <c r="AC47" s="1371"/>
      <c r="AD47" s="1371"/>
      <c r="AE47" s="1371"/>
      <c r="AF47" s="1371"/>
      <c r="AG47" s="1371"/>
      <c r="AH47" s="1371"/>
      <c r="AI47" s="1371"/>
      <c r="AJ47" s="1371"/>
      <c r="AK47" s="1371"/>
    </row>
    <row r="48" spans="1:37" s="1370" customFormat="1" ht="38.25">
      <c r="A48" s="2872" t="s">
        <v>2955</v>
      </c>
      <c r="B48" s="2875" t="str">
        <f>估价对象房地状况!C4</f>
        <v>估价对象位于XX商圈，周边商业氛围成熟，人流量大，商业繁华度好</v>
      </c>
      <c r="C48" s="2764"/>
      <c r="D48" s="1286">
        <f t="shared" ref="D48:D56" si="10">SUMIF($J$47:$N$47,C48,J48:N48)</f>
        <v>0</v>
      </c>
      <c r="E48" s="818">
        <f>ROUND(SUM(D48:D56),4)</f>
        <v>0</v>
      </c>
      <c r="F48" s="2498"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2956</v>
      </c>
      <c r="B49" s="2876" t="str">
        <f>估价对象房地状况!C18</f>
        <v>估价对象周边道路状况、公共交通通达情况、停车便捷程度，综合评价交通便捷度较好</v>
      </c>
      <c r="C49" s="2764"/>
      <c r="D49" s="1286">
        <f t="shared" si="10"/>
        <v>0</v>
      </c>
      <c r="E49" s="819"/>
      <c r="F49" s="2498"/>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2957</v>
      </c>
      <c r="B50" s="2876">
        <f>估价对象房地状况!C19</f>
        <v>0</v>
      </c>
      <c r="C50" s="2764"/>
      <c r="D50" s="1286">
        <f t="shared" si="10"/>
        <v>0</v>
      </c>
      <c r="E50" s="819"/>
      <c r="F50" s="2498"/>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2958</v>
      </c>
      <c r="B51" s="2877" t="s">
        <v>2959</v>
      </c>
      <c r="C51" s="2764"/>
      <c r="D51" s="1286">
        <f t="shared" si="10"/>
        <v>0</v>
      </c>
      <c r="E51" s="819"/>
      <c r="F51" s="2498"/>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2960</v>
      </c>
      <c r="B52" s="2876">
        <f>估价对象房地状况!C24</f>
        <v>0</v>
      </c>
      <c r="C52" s="2764"/>
      <c r="D52" s="1286">
        <f t="shared" si="10"/>
        <v>0</v>
      </c>
      <c r="E52" s="819"/>
      <c r="F52" s="2498"/>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2961</v>
      </c>
      <c r="B53" s="2878" t="s">
        <v>2962</v>
      </c>
      <c r="C53" s="2764"/>
      <c r="D53" s="1286">
        <f t="shared" si="10"/>
        <v>0</v>
      </c>
      <c r="E53" s="819"/>
      <c r="F53" s="2498"/>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2963</v>
      </c>
      <c r="B54" s="1724" t="str">
        <f>估价对象房地状况!C21</f>
        <v>估价对象所在区域公共配套设施齐备情况</v>
      </c>
      <c r="C54" s="2764"/>
      <c r="D54" s="1286">
        <f t="shared" si="10"/>
        <v>0</v>
      </c>
      <c r="E54" s="819"/>
      <c r="F54" s="2498"/>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2964</v>
      </c>
      <c r="B55" s="2876" t="str">
        <f>估价对象房地状况!C22</f>
        <v>估价对象所在区域基础设施水平</v>
      </c>
      <c r="C55" s="2764"/>
      <c r="D55" s="1286">
        <f t="shared" si="10"/>
        <v>0</v>
      </c>
      <c r="E55" s="819"/>
      <c r="F55" s="2498"/>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2965</v>
      </c>
      <c r="B56" s="2881" t="str">
        <f>估价对象房地状况!C20</f>
        <v>区域自然环境：；人文环境；综合评价环境状况一般</v>
      </c>
      <c r="C56" s="2764"/>
      <c r="D56" s="1286">
        <f t="shared" si="10"/>
        <v>0</v>
      </c>
      <c r="E56" s="822"/>
      <c r="F56" s="2498"/>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2966</v>
      </c>
      <c r="B57" s="2869">
        <f>1+E59</f>
        <v>1</v>
      </c>
      <c r="C57" s="811"/>
      <c r="D57" s="811"/>
      <c r="E57" s="812"/>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2947</v>
      </c>
      <c r="B58" s="1808"/>
      <c r="C58" s="1808" t="s">
        <v>2949</v>
      </c>
      <c r="D58" s="1808" t="s">
        <v>2950</v>
      </c>
      <c r="E58" s="816" t="s">
        <v>2951</v>
      </c>
      <c r="F58" s="2873" t="s">
        <v>2967</v>
      </c>
      <c r="G58" s="1808" t="s">
        <v>754</v>
      </c>
      <c r="H58" s="2874" t="s">
        <v>2953</v>
      </c>
      <c r="I58" s="1808" t="s">
        <v>2954</v>
      </c>
      <c r="J58" s="602" t="s">
        <v>2600</v>
      </c>
      <c r="K58" s="602" t="s">
        <v>2601</v>
      </c>
      <c r="L58" s="602" t="s">
        <v>2602</v>
      </c>
      <c r="M58" s="602" t="s">
        <v>2603</v>
      </c>
      <c r="N58" s="602" t="s">
        <v>2604</v>
      </c>
      <c r="AA58" s="1371"/>
      <c r="AB58" s="1371"/>
      <c r="AC58" s="1371"/>
      <c r="AD58" s="1371"/>
      <c r="AE58" s="1371"/>
      <c r="AF58" s="1371"/>
      <c r="AG58" s="1371"/>
      <c r="AH58" s="1371"/>
      <c r="AI58" s="1371"/>
      <c r="AJ58" s="1371"/>
      <c r="AK58" s="1371"/>
    </row>
    <row r="59" spans="1:37" s="1370" customFormat="1" ht="38.25">
      <c r="A59" s="2872" t="s">
        <v>2968</v>
      </c>
      <c r="B59" s="2875" t="str">
        <f>估价对象房地状况!C17</f>
        <v>估价对象位于XX商圈，周边办公楼项目较多，入驻率高，办公集聚程度较好</v>
      </c>
      <c r="C59" s="2764"/>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2956</v>
      </c>
      <c r="B60" s="2876" t="str">
        <f>估价对象房地状况!C18</f>
        <v>估价对象周边道路状况、公共交通通达情况、停车便捷程度，综合评价交通便捷度较好</v>
      </c>
      <c r="C60" s="2764"/>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2957</v>
      </c>
      <c r="B61" s="2876">
        <f>估价对象房地状况!C19</f>
        <v>0</v>
      </c>
      <c r="C61" s="2764"/>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2958</v>
      </c>
      <c r="B62" s="2877" t="s">
        <v>2959</v>
      </c>
      <c r="C62" s="2764"/>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2960</v>
      </c>
      <c r="B63" s="2876">
        <f>估价对象房地状况!C24</f>
        <v>0</v>
      </c>
      <c r="C63" s="2764"/>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2961</v>
      </c>
      <c r="B64" s="2878" t="s">
        <v>2962</v>
      </c>
      <c r="C64" s="2764"/>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2963</v>
      </c>
      <c r="B65" s="1724" t="str">
        <f>估价对象房地状况!C21</f>
        <v>估价对象所在区域公共配套设施齐备情况</v>
      </c>
      <c r="C65" s="2764"/>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2964</v>
      </c>
      <c r="B66" s="1724" t="str">
        <f>估价对象房地状况!C22</f>
        <v>估价对象所在区域基础设施水平</v>
      </c>
      <c r="C66" s="2764"/>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2965</v>
      </c>
      <c r="B67" s="2882" t="str">
        <f>估价对象房地状况!C20</f>
        <v>区域自然环境：；人文环境；综合评价环境状况一般</v>
      </c>
      <c r="C67" s="2764"/>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2969</v>
      </c>
      <c r="B68" s="2869">
        <f>1+E70</f>
        <v>1</v>
      </c>
      <c r="C68" s="811"/>
      <c r="D68" s="811"/>
      <c r="E68" s="812"/>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2947</v>
      </c>
      <c r="B69" s="1808"/>
      <c r="C69" s="1808" t="s">
        <v>2949</v>
      </c>
      <c r="D69" s="1808" t="s">
        <v>2950</v>
      </c>
      <c r="E69" s="816" t="s">
        <v>2951</v>
      </c>
      <c r="F69" s="2873" t="s">
        <v>2967</v>
      </c>
      <c r="G69" s="1808" t="s">
        <v>754</v>
      </c>
      <c r="H69" s="2874" t="s">
        <v>2953</v>
      </c>
      <c r="I69" s="1808" t="s">
        <v>2954</v>
      </c>
      <c r="J69" s="602" t="s">
        <v>2600</v>
      </c>
      <c r="K69" s="602" t="s">
        <v>2601</v>
      </c>
      <c r="L69" s="602" t="s">
        <v>2602</v>
      </c>
      <c r="M69" s="602" t="s">
        <v>2603</v>
      </c>
      <c r="N69" s="602" t="s">
        <v>2604</v>
      </c>
      <c r="AA69" s="1371"/>
      <c r="AB69" s="1371"/>
      <c r="AC69" s="1371"/>
      <c r="AD69" s="1371"/>
      <c r="AE69" s="1371"/>
      <c r="AF69" s="1371"/>
      <c r="AG69" s="1371"/>
      <c r="AH69" s="1371"/>
      <c r="AI69" s="1371"/>
      <c r="AJ69" s="1371"/>
      <c r="AK69" s="1371"/>
    </row>
    <row r="70" spans="1:37" s="1370" customFormat="1" ht="51">
      <c r="A70" s="2872" t="s">
        <v>2970</v>
      </c>
      <c r="B70" s="2875" t="str">
        <f>估价对象房地状况!C15</f>
        <v>估价对象周边居住用地比例、居住小区规模和社区发展完善程度，综合评价居住社区成熟度一般</v>
      </c>
      <c r="C70" s="2764"/>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2956</v>
      </c>
      <c r="B71" s="2876" t="str">
        <f>估价对象房地状况!C18</f>
        <v>估价对象周边道路状况、公共交通通达情况、停车便捷程度，综合评价交通便捷度较好</v>
      </c>
      <c r="C71" s="2764"/>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2957</v>
      </c>
      <c r="B72" s="2876">
        <f>估价对象房地状况!C19</f>
        <v>0</v>
      </c>
      <c r="C72" s="2764"/>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2971</v>
      </c>
      <c r="B73" s="2876">
        <f>估价对象房地状况!C24</f>
        <v>0</v>
      </c>
      <c r="C73" s="2764"/>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2963</v>
      </c>
      <c r="B74" s="1724" t="str">
        <f>估价对象房地状况!C21</f>
        <v>估价对象所在区域公共配套设施齐备情况</v>
      </c>
      <c r="C74" s="2764"/>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2964</v>
      </c>
      <c r="B75" s="1724" t="str">
        <f>估价对象房地状况!C22</f>
        <v>估价对象所在区域基础设施水平</v>
      </c>
      <c r="C75" s="2764"/>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72" t="s">
        <v>2961</v>
      </c>
      <c r="B76" s="2878" t="s">
        <v>2962</v>
      </c>
      <c r="C76" s="2764"/>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2965</v>
      </c>
      <c r="B77" s="2875" t="str">
        <f>估价对象房地状况!C20</f>
        <v>区域自然环境：；人文环境；综合评价环境状况一般</v>
      </c>
      <c r="C77" s="2764"/>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4"/>
      <c r="AA77" s="2790"/>
      <c r="AG77" s="1372"/>
      <c r="AK77" s="2790"/>
    </row>
    <row r="78" spans="1:37" ht="24.75" thickBot="1">
      <c r="A78" s="2880" t="s">
        <v>2972</v>
      </c>
      <c r="B78" s="2884"/>
      <c r="C78" s="2764"/>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4"/>
      <c r="AA78" s="2790"/>
      <c r="AG78" s="1372"/>
      <c r="AK78" s="2790"/>
    </row>
    <row r="79" spans="1:37" ht="15">
      <c r="A79" s="2868" t="s">
        <v>2973</v>
      </c>
      <c r="B79" s="2869">
        <f>1+E81</f>
        <v>1</v>
      </c>
      <c r="C79" s="811"/>
      <c r="D79" s="811"/>
      <c r="E79" s="812"/>
      <c r="F79" s="2871"/>
      <c r="G79" s="6"/>
      <c r="H79" s="6"/>
      <c r="I79" s="6"/>
      <c r="J79" s="7"/>
      <c r="K79" s="7"/>
      <c r="L79" s="7"/>
      <c r="M79" s="7"/>
      <c r="N79" s="7"/>
      <c r="Z79" s="2714"/>
      <c r="AA79" s="2790"/>
      <c r="AG79" s="1372"/>
      <c r="AK79" s="2790"/>
    </row>
    <row r="80" spans="1:37" ht="24.75">
      <c r="A80" s="2872" t="s">
        <v>2947</v>
      </c>
      <c r="B80" s="1808"/>
      <c r="C80" s="1808" t="s">
        <v>2949</v>
      </c>
      <c r="D80" s="1808" t="s">
        <v>2950</v>
      </c>
      <c r="E80" s="816" t="s">
        <v>2951</v>
      </c>
      <c r="F80" s="2873" t="s">
        <v>2967</v>
      </c>
      <c r="G80" s="1808" t="s">
        <v>754</v>
      </c>
      <c r="H80" s="2874" t="s">
        <v>2953</v>
      </c>
      <c r="I80" s="1808" t="s">
        <v>2954</v>
      </c>
      <c r="J80" s="602" t="s">
        <v>2600</v>
      </c>
      <c r="K80" s="602" t="s">
        <v>2601</v>
      </c>
      <c r="L80" s="602" t="s">
        <v>2602</v>
      </c>
      <c r="M80" s="602" t="s">
        <v>2603</v>
      </c>
      <c r="N80" s="602" t="s">
        <v>2604</v>
      </c>
      <c r="Z80" s="2714"/>
      <c r="AA80" s="2790"/>
      <c r="AG80" s="1372"/>
      <c r="AK80" s="2790"/>
    </row>
    <row r="81" spans="1:37" ht="38.25">
      <c r="A81" s="2872" t="s">
        <v>2974</v>
      </c>
      <c r="B81" s="2876" t="str">
        <f>估价对象房地状况!G15</f>
        <v>估价对象位于XX开发区，园区建设成熟度XX，产业集聚程度XX</v>
      </c>
      <c r="C81" s="2764"/>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4"/>
      <c r="AA81" s="2790"/>
      <c r="AG81" s="1372"/>
      <c r="AK81" s="2790"/>
    </row>
    <row r="82" spans="1:37" ht="51">
      <c r="A82" s="2872" t="s">
        <v>2956</v>
      </c>
      <c r="B82" s="2876" t="str">
        <f>估价对象房地状况!G16</f>
        <v>估价对象周边道路状况、公共交通通达情况、停车便捷程度，综合评价交通便捷度较好</v>
      </c>
      <c r="C82" s="2764"/>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4"/>
      <c r="AA82" s="2790"/>
      <c r="AG82" s="1372"/>
      <c r="AK82" s="2790"/>
    </row>
    <row r="83" spans="1:37" ht="24">
      <c r="A83" s="2872" t="s">
        <v>2957</v>
      </c>
      <c r="B83" s="2876">
        <f>估价对象房地状况!G17</f>
        <v>0</v>
      </c>
      <c r="C83" s="2764"/>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4"/>
      <c r="AA83" s="2790"/>
      <c r="AG83" s="1372"/>
      <c r="AK83" s="2790"/>
    </row>
    <row r="84" spans="1:37" ht="14.25">
      <c r="A84" s="2872" t="s">
        <v>2971</v>
      </c>
      <c r="B84" s="2876">
        <f>估价对象房地状况!G22</f>
        <v>0</v>
      </c>
      <c r="C84" s="2764"/>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4"/>
      <c r="AA84" s="2790"/>
      <c r="AG84" s="1372"/>
      <c r="AK84" s="2790"/>
    </row>
    <row r="85" spans="1:37" ht="25.5">
      <c r="A85" s="2872" t="s">
        <v>2963</v>
      </c>
      <c r="B85" s="1724" t="str">
        <f>估价对象房地状况!G19</f>
        <v>估价对象所在区域公共配套设施齐备情况</v>
      </c>
      <c r="C85" s="2764"/>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4"/>
      <c r="AA85" s="2790"/>
      <c r="AG85" s="1372"/>
      <c r="AK85" s="2790"/>
    </row>
    <row r="86" spans="1:37" ht="25.5">
      <c r="A86" s="2872" t="s">
        <v>2964</v>
      </c>
      <c r="B86" s="1724" t="str">
        <f>估价对象房地状况!G20</f>
        <v>估价对象所在区域基础设施水平</v>
      </c>
      <c r="C86" s="2764"/>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4"/>
      <c r="AA86" s="2790"/>
      <c r="AG86" s="1372"/>
      <c r="AK86" s="2790"/>
    </row>
    <row r="87" spans="1:37" ht="24">
      <c r="A87" s="2872" t="s">
        <v>2961</v>
      </c>
      <c r="B87" s="2878" t="s">
        <v>2975</v>
      </c>
      <c r="C87" s="2764"/>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4"/>
      <c r="AA87" s="2790"/>
      <c r="AG87" s="1372"/>
      <c r="AK87" s="2790"/>
    </row>
    <row r="88" spans="1:37" ht="39" thickBot="1">
      <c r="A88" s="2880" t="s">
        <v>2976</v>
      </c>
      <c r="B88" s="2885" t="str">
        <f>估价对象房地状况!G18</f>
        <v>该园区内是否有污染型企业，绿化情况，卫生条件，整体环境状况判断</v>
      </c>
      <c r="C88" s="2764"/>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4"/>
      <c r="AA88" s="2790"/>
      <c r="AG88" s="1372"/>
      <c r="AK88" s="2790"/>
    </row>
    <row r="90" spans="1:37">
      <c r="A90" s="3281" t="s">
        <v>2977</v>
      </c>
      <c r="B90" s="3281"/>
      <c r="C90" s="3281"/>
      <c r="D90" s="3281"/>
      <c r="E90" s="3281"/>
      <c r="F90" s="3281"/>
      <c r="G90" s="3281"/>
      <c r="H90" s="3281"/>
      <c r="I90" s="3281"/>
      <c r="J90" s="3281"/>
      <c r="K90" s="2886"/>
      <c r="L90" s="2886"/>
      <c r="M90" s="2886"/>
      <c r="N90" s="2886"/>
    </row>
    <row r="91" spans="1:37">
      <c r="A91" s="3283" t="s">
        <v>2978</v>
      </c>
      <c r="B91" s="3283" t="s">
        <v>2979</v>
      </c>
      <c r="C91" s="2840" t="s">
        <v>2980</v>
      </c>
      <c r="D91" s="2841"/>
      <c r="E91" s="2841"/>
      <c r="F91" s="2841"/>
      <c r="G91" s="2841"/>
      <c r="H91" s="2841"/>
      <c r="I91" s="2841"/>
      <c r="J91" s="2887"/>
      <c r="K91" s="2888"/>
      <c r="L91" s="2888"/>
      <c r="M91" s="2888"/>
      <c r="N91" s="2888"/>
    </row>
    <row r="92" spans="1:37">
      <c r="A92" s="3283"/>
      <c r="B92" s="3283"/>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84" t="s">
        <v>2981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5"/>
      <c r="B99" s="2889" t="s">
        <v>2860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4" t="s">
        <v>2982</v>
      </c>
      <c r="B101" s="2893" t="s">
        <v>2983</v>
      </c>
      <c r="C101" s="2894">
        <f>$G$3</f>
        <v>2.54</v>
      </c>
      <c r="D101" s="2894">
        <f t="shared" ref="D101:N101" si="31">$G$3</f>
        <v>2.54</v>
      </c>
      <c r="E101" s="2894">
        <f t="shared" si="31"/>
        <v>2.54</v>
      </c>
      <c r="F101" s="2894">
        <f t="shared" si="31"/>
        <v>2.54</v>
      </c>
      <c r="G101" s="2894">
        <f t="shared" si="31"/>
        <v>2.54</v>
      </c>
      <c r="H101" s="2894">
        <f t="shared" si="31"/>
        <v>2.54</v>
      </c>
      <c r="I101" s="2894">
        <f t="shared" si="31"/>
        <v>2.54</v>
      </c>
      <c r="J101" s="2894">
        <f t="shared" si="31"/>
        <v>2.54</v>
      </c>
      <c r="K101" s="2894">
        <f t="shared" si="31"/>
        <v>2.54</v>
      </c>
      <c r="L101" s="2894">
        <f t="shared" si="31"/>
        <v>2.54</v>
      </c>
      <c r="M101" s="2894">
        <f t="shared" si="31"/>
        <v>2.54</v>
      </c>
      <c r="N101" s="2894">
        <f t="shared" si="31"/>
        <v>2.54</v>
      </c>
    </row>
    <row r="102" spans="1:14">
      <c r="A102" s="3285"/>
      <c r="B102" s="2889">
        <v>1</v>
      </c>
      <c r="C102" s="2890">
        <f>1.9362/C101</f>
        <v>0.76228346456692908</v>
      </c>
      <c r="D102" s="2890">
        <f>1.9362/D101</f>
        <v>0.76228346456692908</v>
      </c>
      <c r="E102" s="2890">
        <f>1.8629/E101</f>
        <v>0.73342519685039365</v>
      </c>
      <c r="F102" s="2890">
        <f>1.8629/F101</f>
        <v>0.73342519685039365</v>
      </c>
      <c r="G102" s="2890">
        <f>1.8629/G101</f>
        <v>0.73342519685039365</v>
      </c>
      <c r="H102" s="2890">
        <f>1.8629/H101</f>
        <v>0.73342519685039365</v>
      </c>
      <c r="I102" s="2890">
        <f>1.8629/I101</f>
        <v>0.73342519685039365</v>
      </c>
      <c r="J102" s="2890">
        <f>1.942/J101</f>
        <v>0.76456692913385826</v>
      </c>
      <c r="K102" s="2890">
        <f>1.942/K101</f>
        <v>0.76456692913385826</v>
      </c>
      <c r="L102" s="2890">
        <f>1.942/L101</f>
        <v>0.76456692913385826</v>
      </c>
      <c r="M102" s="2890">
        <f>1.942/M101</f>
        <v>0.76456692913385826</v>
      </c>
      <c r="N102" s="2890">
        <f>1.942/N101</f>
        <v>0.76456692913385826</v>
      </c>
    </row>
    <row r="103" spans="1:14">
      <c r="A103" s="3285"/>
      <c r="B103" s="2889">
        <v>2</v>
      </c>
      <c r="C103" s="2890">
        <f>1.4198/C101</f>
        <v>0.5589763779527559</v>
      </c>
      <c r="D103" s="2890">
        <f>1.4198/D101</f>
        <v>0.5589763779527559</v>
      </c>
      <c r="E103" s="2890">
        <f>1.3372/E101</f>
        <v>0.52645669291338582</v>
      </c>
      <c r="F103" s="2890">
        <f>1.3372/F101</f>
        <v>0.52645669291338582</v>
      </c>
      <c r="G103" s="2890">
        <f>1.3372/G101</f>
        <v>0.52645669291338582</v>
      </c>
      <c r="H103" s="2890">
        <f>1.3372/H101</f>
        <v>0.52645669291338582</v>
      </c>
      <c r="I103" s="2890">
        <f>1.3372/I101</f>
        <v>0.52645669291338582</v>
      </c>
      <c r="J103" s="2890">
        <f>1.2799/J101</f>
        <v>0.50389763779527563</v>
      </c>
      <c r="K103" s="2890">
        <f>1.2799/K101</f>
        <v>0.50389763779527563</v>
      </c>
      <c r="L103" s="2890">
        <f>1.2799/L101</f>
        <v>0.50389763779527563</v>
      </c>
      <c r="M103" s="2890">
        <f>1.2799/M101</f>
        <v>0.50389763779527563</v>
      </c>
      <c r="N103" s="2890">
        <f>1.2799/N101</f>
        <v>0.50389763779527563</v>
      </c>
    </row>
    <row r="104" spans="1:14">
      <c r="A104" s="3285"/>
      <c r="B104" s="2889">
        <v>3</v>
      </c>
      <c r="C104" s="2890">
        <f>1.1594/C101</f>
        <v>0.45645669291338581</v>
      </c>
      <c r="D104" s="2890">
        <f>1.1594/D101</f>
        <v>0.45645669291338581</v>
      </c>
      <c r="E104" s="2890">
        <f>1.0788/E101</f>
        <v>0.4247244094488189</v>
      </c>
      <c r="F104" s="2890">
        <f>1.0788/F101</f>
        <v>0.4247244094488189</v>
      </c>
      <c r="G104" s="2890">
        <f>1.0788/G101</f>
        <v>0.4247244094488189</v>
      </c>
      <c r="H104" s="2890">
        <f>1.0788/H101</f>
        <v>0.4247244094488189</v>
      </c>
      <c r="I104" s="2890">
        <f>1.0788/I101</f>
        <v>0.4247244094488189</v>
      </c>
      <c r="J104" s="2890">
        <f>1.0072/J101</f>
        <v>0.39653543307086619</v>
      </c>
      <c r="K104" s="2890">
        <f>1.0072/K101</f>
        <v>0.39653543307086619</v>
      </c>
      <c r="L104" s="2890">
        <f>1.0072/L101</f>
        <v>0.39653543307086619</v>
      </c>
      <c r="M104" s="2890">
        <f>1.0072/M101</f>
        <v>0.39653543307086619</v>
      </c>
      <c r="N104" s="2890">
        <f>1.0072/N101</f>
        <v>0.39653543307086619</v>
      </c>
    </row>
    <row r="105" spans="1:14">
      <c r="A105" s="3285"/>
      <c r="B105" s="2889">
        <v>4</v>
      </c>
      <c r="C105" s="2890">
        <f>0.9622/C101</f>
        <v>0.3788188976377953</v>
      </c>
      <c r="D105" s="2890">
        <f>0.9622/D101</f>
        <v>0.3788188976377953</v>
      </c>
      <c r="E105" s="2890">
        <f>0.8656/E101</f>
        <v>0.34078740157480314</v>
      </c>
      <c r="F105" s="2890">
        <f>0.8656/F101</f>
        <v>0.34078740157480314</v>
      </c>
      <c r="G105" s="2890">
        <f>0.8656/G101</f>
        <v>0.34078740157480314</v>
      </c>
      <c r="H105" s="2890">
        <f>0.8656/H101</f>
        <v>0.34078740157480314</v>
      </c>
      <c r="I105" s="2890">
        <f>0.8656/I101</f>
        <v>0.34078740157480314</v>
      </c>
      <c r="J105" s="2890">
        <f>0.7525/J101</f>
        <v>0.29625984251968501</v>
      </c>
      <c r="K105" s="2890">
        <f>0.7525/K101</f>
        <v>0.29625984251968501</v>
      </c>
      <c r="L105" s="2890">
        <f>0.7525/L101</f>
        <v>0.29625984251968501</v>
      </c>
      <c r="M105" s="2890">
        <f>0.7525/M101</f>
        <v>0.29625984251968501</v>
      </c>
      <c r="N105" s="2890">
        <f>0.7525/N101</f>
        <v>0.29625984251968501</v>
      </c>
    </row>
    <row r="106" spans="1:14">
      <c r="A106" s="3285"/>
      <c r="B106" s="2889">
        <v>5</v>
      </c>
      <c r="C106" s="2890">
        <f>0.8417/C101</f>
        <v>0.33137795275590554</v>
      </c>
      <c r="D106" s="2890">
        <f>0.8417/D101</f>
        <v>0.33137795275590554</v>
      </c>
      <c r="E106" s="2890">
        <f>0.7371/E101</f>
        <v>0.2901968503937008</v>
      </c>
      <c r="F106" s="2890">
        <f>0.7371/F101</f>
        <v>0.2901968503937008</v>
      </c>
      <c r="G106" s="2890">
        <f>0.7371/G101</f>
        <v>0.2901968503937008</v>
      </c>
      <c r="H106" s="2890">
        <f>0.7371/H101</f>
        <v>0.2901968503937008</v>
      </c>
      <c r="I106" s="2890">
        <f>0.7371/I101</f>
        <v>0.2901968503937008</v>
      </c>
      <c r="J106" s="2890">
        <f>0.5659/J101</f>
        <v>0.22279527559055115</v>
      </c>
      <c r="K106" s="2890">
        <f>0.5659/K101</f>
        <v>0.22279527559055115</v>
      </c>
      <c r="L106" s="2890">
        <f>0.5659/L101</f>
        <v>0.22279527559055115</v>
      </c>
      <c r="M106" s="2890">
        <f>0.5659/M101</f>
        <v>0.22279527559055115</v>
      </c>
      <c r="N106" s="2890">
        <f>0.5659/N101</f>
        <v>0.22279527559055115</v>
      </c>
    </row>
    <row r="107" spans="1:14">
      <c r="A107" s="3285"/>
      <c r="B107" s="2889">
        <v>6</v>
      </c>
      <c r="C107" s="2890">
        <f>0.7608/C101</f>
        <v>0.29952755905511813</v>
      </c>
      <c r="D107" s="2890">
        <f>0.7608/D101</f>
        <v>0.29952755905511813</v>
      </c>
      <c r="E107" s="2890">
        <f>0.6482/E101</f>
        <v>0.25519685039370077</v>
      </c>
      <c r="F107" s="2890">
        <f>0.6482/F101</f>
        <v>0.25519685039370077</v>
      </c>
      <c r="G107" s="2890">
        <f>0.6482/G101</f>
        <v>0.25519685039370077</v>
      </c>
      <c r="H107" s="2890">
        <f>0.6482/H101</f>
        <v>0.25519685039370077</v>
      </c>
      <c r="I107" s="2890">
        <f>0.6482/I101</f>
        <v>0.25519685039370077</v>
      </c>
      <c r="J107" s="2890">
        <f>0.4525/J101</f>
        <v>0.17814960629921262</v>
      </c>
      <c r="K107" s="2890">
        <f>0.4525/K101</f>
        <v>0.17814960629921262</v>
      </c>
      <c r="L107" s="2890">
        <f>0.4525/L101</f>
        <v>0.17814960629921262</v>
      </c>
      <c r="M107" s="2890">
        <f>0.4525/M101</f>
        <v>0.17814960629921262</v>
      </c>
      <c r="N107" s="2890">
        <f>0.4525/N101</f>
        <v>0.17814960629921262</v>
      </c>
    </row>
    <row r="108" spans="1:14">
      <c r="A108" s="3285"/>
      <c r="B108" s="3139" t="s">
        <v>2984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6"/>
      <c r="B109" s="3140"/>
      <c r="C109" s="2892">
        <f>(-0.163*(C108^2)-0.59*C108+7617)*(10^(-4))/C101</f>
        <v>0.29988188976377955</v>
      </c>
      <c r="D109" s="2892">
        <f>(-0.163*(D108^2)-0.59*D108+7617)*(10^(-4))/D101</f>
        <v>0.29988188976377955</v>
      </c>
      <c r="E109" s="2892">
        <f>(-0.161*(E108^2)-7.509*E108+6533)*(10^(-4))/E101</f>
        <v>0.2572047244094488</v>
      </c>
      <c r="F109" s="2892">
        <f>(-0.161*(F108^2)-7.509*F108+6533)*(10^(-4))/F101</f>
        <v>0.2572047244094488</v>
      </c>
      <c r="G109" s="2892">
        <f>(-0.161*(G108^2)-7.509*G108+6533)*(10^(-4))/G101</f>
        <v>0.2572047244094488</v>
      </c>
      <c r="H109" s="2892">
        <f>(-0.161*(H108^2)-7.509*H108+6533)*(10^(-4))/H101</f>
        <v>0.2572047244094488</v>
      </c>
      <c r="I109" s="2892">
        <f>(-0.161*(I108^2)-7.509*I108+6533)*(10^(-4))/I101</f>
        <v>0.2572047244094488</v>
      </c>
      <c r="J109" s="2892">
        <f>(-0.214*(J108^2)-21.991*J108+4665)*(10^(-4))/J101</f>
        <v>0.18366141732283464</v>
      </c>
      <c r="K109" s="2892">
        <f>(-0.214*(K108^2)-21.991*K108+4665)*(10^(-4))/K101</f>
        <v>0.18366141732283464</v>
      </c>
      <c r="L109" s="2892">
        <f>(-0.214*(L108^2)-21.991*L108+4665)*(10^(-4))/L101</f>
        <v>0.18366141732283464</v>
      </c>
      <c r="M109" s="2892">
        <f>(-0.214*(M108^2)-21.991*M108+4665)*(10^(-4))/M101</f>
        <v>0.18366141732283464</v>
      </c>
      <c r="N109" s="2892">
        <f>(-0.214*(N108^2)-21.991*N108+4665)*(10^(-4))/N101</f>
        <v>0.18366141732283464</v>
      </c>
    </row>
    <row r="110" spans="1:14">
      <c r="A110" s="3282" t="s">
        <v>2985</v>
      </c>
      <c r="B110" s="3282"/>
      <c r="C110" s="3282"/>
      <c r="D110" s="3282"/>
      <c r="E110" s="3282"/>
      <c r="F110" s="3282"/>
      <c r="G110" s="3282"/>
      <c r="H110" s="3282"/>
      <c r="I110" s="3282"/>
      <c r="J110" s="3282"/>
      <c r="K110" s="2895"/>
      <c r="L110" s="2895"/>
      <c r="M110" s="2895"/>
      <c r="N110" s="2895"/>
    </row>
    <row r="112" spans="1:14" ht="13.5" thickBot="1"/>
    <row r="113" spans="1:13" ht="25.5" thickBot="1">
      <c r="A113" s="900" t="s">
        <v>2986</v>
      </c>
      <c r="B113" s="1287">
        <f>G3</f>
        <v>2.54</v>
      </c>
      <c r="C113" s="901" t="s">
        <v>2987</v>
      </c>
      <c r="D113" s="902">
        <f>SUMPRODUCT((A115:A118=F113)*(B114:M114=H113)*B115:M118)</f>
        <v>0</v>
      </c>
      <c r="E113" s="2718" t="s">
        <v>2817</v>
      </c>
      <c r="F113" s="2897">
        <f>E2</f>
        <v>0</v>
      </c>
      <c r="G113" s="2718" t="s">
        <v>2818</v>
      </c>
      <c r="H113" s="2897">
        <f>G2</f>
        <v>0</v>
      </c>
      <c r="I113" s="2718"/>
      <c r="J113" s="2898"/>
      <c r="K113" s="2898"/>
      <c r="L113" s="2898"/>
      <c r="M113" s="2898"/>
    </row>
    <row r="114" spans="1:13">
      <c r="A114" s="905"/>
      <c r="B114" s="2899" t="s">
        <v>2988</v>
      </c>
      <c r="C114" s="2899" t="s">
        <v>2989</v>
      </c>
      <c r="D114" s="2899" t="s">
        <v>2990</v>
      </c>
      <c r="E114" s="2900" t="s">
        <v>2991</v>
      </c>
      <c r="F114" s="2900" t="s">
        <v>2992</v>
      </c>
      <c r="G114" s="2900" t="s">
        <v>2993</v>
      </c>
      <c r="H114" s="2901" t="s">
        <v>2994</v>
      </c>
      <c r="I114" s="2901" t="s">
        <v>2995</v>
      </c>
      <c r="J114" s="2902" t="s">
        <v>2996</v>
      </c>
      <c r="K114" s="2902" t="s">
        <v>2997</v>
      </c>
      <c r="L114" s="2902" t="s">
        <v>2998</v>
      </c>
      <c r="M114" s="2903" t="s">
        <v>2999</v>
      </c>
    </row>
    <row r="115" spans="1:13">
      <c r="A115" s="906" t="s">
        <v>2882</v>
      </c>
      <c r="B115" s="907">
        <f>ROUND(0.9335-0.0094*B113,4)</f>
        <v>0.90959999999999996</v>
      </c>
      <c r="C115" s="907">
        <f>B115</f>
        <v>0.90959999999999996</v>
      </c>
      <c r="D115" s="907">
        <f>ROUND(0.8331-0.0109*B113,4)</f>
        <v>0.8054</v>
      </c>
      <c r="E115" s="907">
        <f>D115</f>
        <v>0.8054</v>
      </c>
      <c r="F115" s="907">
        <f>E115</f>
        <v>0.8054</v>
      </c>
      <c r="G115" s="907">
        <f>F115</f>
        <v>0.8054</v>
      </c>
      <c r="H115" s="907">
        <f>G115</f>
        <v>0.8054</v>
      </c>
      <c r="I115" s="907">
        <f>ROUND(0.689-0.0155*B113,4)</f>
        <v>0.64959999999999996</v>
      </c>
      <c r="J115" s="907">
        <f t="shared" ref="J115:M118" si="33">I115</f>
        <v>0.64959999999999996</v>
      </c>
      <c r="K115" s="907">
        <f t="shared" si="33"/>
        <v>0.64959999999999996</v>
      </c>
      <c r="L115" s="907">
        <f t="shared" si="33"/>
        <v>0.64959999999999996</v>
      </c>
      <c r="M115" s="908">
        <f t="shared" si="33"/>
        <v>0.64959999999999996</v>
      </c>
    </row>
    <row r="116" spans="1:13">
      <c r="A116" s="906" t="s">
        <v>2883</v>
      </c>
      <c r="B116" s="907">
        <f>ROUND(0.949-0.012*B113,4)</f>
        <v>0.91849999999999998</v>
      </c>
      <c r="C116" s="907">
        <f>B116</f>
        <v>0.91849999999999998</v>
      </c>
      <c r="D116" s="907">
        <f>ROUND(0.8567-0.013*B113,4)</f>
        <v>0.82369999999999999</v>
      </c>
      <c r="E116" s="907">
        <f t="shared" ref="E116:H117" si="34">D116</f>
        <v>0.82369999999999999</v>
      </c>
      <c r="F116" s="907">
        <f t="shared" si="34"/>
        <v>0.82369999999999999</v>
      </c>
      <c r="G116" s="907">
        <f t="shared" si="34"/>
        <v>0.82369999999999999</v>
      </c>
      <c r="H116" s="907">
        <f t="shared" si="34"/>
        <v>0.82369999999999999</v>
      </c>
      <c r="I116" s="907">
        <f>ROUND(0.7694-0.014*B113,4)</f>
        <v>0.73380000000000001</v>
      </c>
      <c r="J116" s="907">
        <f t="shared" si="33"/>
        <v>0.73380000000000001</v>
      </c>
      <c r="K116" s="907">
        <f t="shared" si="33"/>
        <v>0.73380000000000001</v>
      </c>
      <c r="L116" s="907">
        <f t="shared" si="33"/>
        <v>0.73380000000000001</v>
      </c>
      <c r="M116" s="908">
        <f t="shared" si="33"/>
        <v>0.73380000000000001</v>
      </c>
    </row>
    <row r="117" spans="1:13">
      <c r="A117" s="906" t="s">
        <v>2884</v>
      </c>
      <c r="B117" s="907">
        <f>ROUND(0.8808-0.006*B113,4)</f>
        <v>0.86560000000000004</v>
      </c>
      <c r="C117" s="907">
        <f>B117</f>
        <v>0.86560000000000004</v>
      </c>
      <c r="D117" s="907">
        <f>ROUND(0.8748-0.008*B113,4)</f>
        <v>0.85450000000000004</v>
      </c>
      <c r="E117" s="907">
        <f t="shared" si="34"/>
        <v>0.85450000000000004</v>
      </c>
      <c r="F117" s="907">
        <f t="shared" si="34"/>
        <v>0.85450000000000004</v>
      </c>
      <c r="G117" s="907">
        <f t="shared" si="34"/>
        <v>0.85450000000000004</v>
      </c>
      <c r="H117" s="907">
        <f t="shared" si="34"/>
        <v>0.85450000000000004</v>
      </c>
      <c r="I117" s="907">
        <f>ROUND(0.7412-0.0095*B113,4)</f>
        <v>0.71709999999999996</v>
      </c>
      <c r="J117" s="907">
        <f t="shared" si="33"/>
        <v>0.71709999999999996</v>
      </c>
      <c r="K117" s="907">
        <f t="shared" si="33"/>
        <v>0.71709999999999996</v>
      </c>
      <c r="L117" s="907">
        <f t="shared" si="33"/>
        <v>0.71709999999999996</v>
      </c>
      <c r="M117" s="908">
        <f t="shared" si="33"/>
        <v>0.71709999999999996</v>
      </c>
    </row>
    <row r="118" spans="1:13" ht="13.5" thickBot="1">
      <c r="A118" s="713" t="s">
        <v>2885</v>
      </c>
      <c r="B118" s="909">
        <f>ROUND(0.7275-0.01*B113,4)</f>
        <v>0.70209999999999995</v>
      </c>
      <c r="C118" s="909">
        <f>B118</f>
        <v>0.70209999999999995</v>
      </c>
      <c r="D118" s="909">
        <f>ROUND(0.7043-0.012*B113,4)</f>
        <v>0.67379999999999995</v>
      </c>
      <c r="E118" s="909">
        <f>D118</f>
        <v>0.67379999999999995</v>
      </c>
      <c r="F118" s="909">
        <f>E118</f>
        <v>0.67379999999999995</v>
      </c>
      <c r="G118" s="909">
        <f>ROUND(0.6299-0.0122*B113,4)</f>
        <v>0.59889999999999999</v>
      </c>
      <c r="H118" s="909">
        <f>G118</f>
        <v>0.59889999999999999</v>
      </c>
      <c r="I118" s="909">
        <f>ROUND(0.5667-0.0136*B113,4)</f>
        <v>0.53220000000000001</v>
      </c>
      <c r="J118" s="909">
        <f t="shared" si="33"/>
        <v>0.53220000000000001</v>
      </c>
      <c r="K118" s="909">
        <f t="shared" si="33"/>
        <v>0.53220000000000001</v>
      </c>
      <c r="L118" s="909">
        <f t="shared" si="33"/>
        <v>0.53220000000000001</v>
      </c>
      <c r="M118" s="910">
        <f t="shared" si="33"/>
        <v>0.53220000000000001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0" t="s">
        <v>183</v>
      </c>
      <c r="B18" s="879" t="s">
        <v>560</v>
      </c>
      <c r="C18" s="880" t="s">
        <v>561</v>
      </c>
      <c r="D18" s="881"/>
      <c r="E18" s="879">
        <v>1</v>
      </c>
      <c r="F18" s="882" t="s">
        <v>562</v>
      </c>
      <c r="G18" s="883"/>
      <c r="H18" s="875"/>
      <c r="I18" s="875"/>
    </row>
    <row r="19" spans="1:9" s="884" customFormat="1" ht="19.5" customHeight="1">
      <c r="A19" s="3290"/>
      <c r="B19" s="3290" t="s">
        <v>563</v>
      </c>
      <c r="C19" s="880" t="s">
        <v>564</v>
      </c>
      <c r="D19" s="881"/>
      <c r="E19" s="879">
        <v>0.9</v>
      </c>
      <c r="F19" s="882" t="s">
        <v>565</v>
      </c>
      <c r="G19" s="883"/>
      <c r="H19" s="875"/>
      <c r="I19" s="875"/>
    </row>
    <row r="20" spans="1:9" s="884" customFormat="1" ht="19.5" customHeight="1">
      <c r="A20" s="3290"/>
      <c r="B20" s="3290"/>
      <c r="C20" s="880" t="s">
        <v>566</v>
      </c>
      <c r="D20" s="881"/>
      <c r="E20" s="879">
        <v>1.1000000000000001</v>
      </c>
      <c r="F20" s="882" t="s">
        <v>567</v>
      </c>
      <c r="G20" s="883"/>
      <c r="H20" s="875"/>
      <c r="I20" s="875"/>
    </row>
    <row r="21" spans="1:9" s="884" customFormat="1" ht="19.5" customHeight="1">
      <c r="A21" s="3290"/>
      <c r="B21" s="3290"/>
      <c r="C21" s="880" t="s">
        <v>568</v>
      </c>
      <c r="D21" s="881"/>
      <c r="E21" s="879">
        <v>0.8</v>
      </c>
      <c r="F21" s="882" t="s">
        <v>569</v>
      </c>
      <c r="G21" s="883"/>
      <c r="H21" s="875"/>
      <c r="I21" s="875"/>
    </row>
    <row r="22" spans="1:9" s="884" customFormat="1" ht="19.5" customHeight="1">
      <c r="A22" s="3290"/>
      <c r="B22" s="3290"/>
      <c r="C22" s="880" t="s">
        <v>570</v>
      </c>
      <c r="D22" s="881"/>
      <c r="E22" s="879">
        <v>0.5</v>
      </c>
      <c r="F22" s="882"/>
      <c r="G22" s="883"/>
      <c r="H22" s="875"/>
      <c r="I22" s="875"/>
    </row>
    <row r="23" spans="1:9" s="884" customFormat="1" ht="19.5" customHeight="1">
      <c r="A23" s="3290" t="s">
        <v>184</v>
      </c>
      <c r="B23" s="879" t="s">
        <v>560</v>
      </c>
      <c r="C23" s="880" t="s">
        <v>571</v>
      </c>
      <c r="D23" s="881"/>
      <c r="E23" s="879">
        <v>1</v>
      </c>
      <c r="F23" s="882" t="s">
        <v>572</v>
      </c>
      <c r="G23" s="883"/>
      <c r="H23" s="875"/>
      <c r="I23" s="875"/>
    </row>
    <row r="24" spans="1:9" s="884" customFormat="1" ht="19.5" customHeight="1">
      <c r="A24" s="3290"/>
      <c r="B24" s="3290" t="s">
        <v>563</v>
      </c>
      <c r="C24" s="880" t="s">
        <v>573</v>
      </c>
      <c r="D24" s="881"/>
      <c r="E24" s="879">
        <v>0.5</v>
      </c>
      <c r="F24" s="882"/>
      <c r="G24" s="883"/>
      <c r="H24" s="875"/>
      <c r="I24" s="875"/>
    </row>
    <row r="25" spans="1:9" s="884" customFormat="1" ht="19.5" customHeight="1">
      <c r="A25" s="3290"/>
      <c r="B25" s="3290"/>
      <c r="C25" s="880" t="s">
        <v>574</v>
      </c>
      <c r="D25" s="881"/>
      <c r="E25" s="879">
        <v>1.1000000000000001</v>
      </c>
      <c r="F25" s="882"/>
      <c r="G25" s="883"/>
      <c r="H25" s="875"/>
      <c r="I25" s="875"/>
    </row>
    <row r="26" spans="1:9" s="884" customFormat="1" ht="19.5" customHeight="1">
      <c r="A26" s="3290"/>
      <c r="B26" s="3290"/>
      <c r="C26" s="880" t="s">
        <v>575</v>
      </c>
      <c r="D26" s="881"/>
      <c r="E26" s="879">
        <v>1.1000000000000001</v>
      </c>
      <c r="F26" s="882"/>
      <c r="G26" s="883"/>
      <c r="H26" s="875"/>
      <c r="I26" s="875"/>
    </row>
    <row r="27" spans="1:9" s="884" customFormat="1" ht="19.5" customHeight="1">
      <c r="A27" s="3290"/>
      <c r="B27" s="3290"/>
      <c r="C27" s="880" t="s">
        <v>576</v>
      </c>
      <c r="D27" s="881"/>
      <c r="E27" s="879">
        <v>0.9</v>
      </c>
      <c r="F27" s="882" t="s">
        <v>577</v>
      </c>
      <c r="G27" s="883"/>
      <c r="H27" s="875"/>
      <c r="I27" s="875"/>
    </row>
    <row r="28" spans="1:9" s="884" customFormat="1" ht="19.5" customHeight="1">
      <c r="A28" s="3290"/>
      <c r="B28" s="3290"/>
      <c r="C28" s="880" t="s">
        <v>578</v>
      </c>
      <c r="D28" s="881"/>
      <c r="E28" s="879">
        <v>0.9</v>
      </c>
      <c r="F28" s="882" t="s">
        <v>579</v>
      </c>
      <c r="G28" s="883"/>
      <c r="H28" s="875"/>
      <c r="I28" s="875"/>
    </row>
    <row r="29" spans="1:9" s="884" customFormat="1" ht="19.5" customHeight="1">
      <c r="A29" s="3290"/>
      <c r="B29" s="3290"/>
      <c r="C29" s="880" t="s">
        <v>580</v>
      </c>
      <c r="D29" s="881"/>
      <c r="E29" s="879">
        <v>0.9</v>
      </c>
      <c r="F29" s="882" t="s">
        <v>581</v>
      </c>
      <c r="G29" s="883"/>
      <c r="H29" s="875"/>
      <c r="I29" s="875"/>
    </row>
    <row r="30" spans="1:9" s="884" customFormat="1" ht="19.5" customHeight="1">
      <c r="A30" s="3290"/>
      <c r="B30" s="3290"/>
      <c r="C30" s="880" t="s">
        <v>582</v>
      </c>
      <c r="D30" s="881"/>
      <c r="E30" s="879">
        <v>0.9</v>
      </c>
      <c r="F30" s="882" t="s">
        <v>583</v>
      </c>
      <c r="G30" s="883"/>
      <c r="H30" s="875"/>
      <c r="I30" s="875"/>
    </row>
    <row r="31" spans="1:9" s="884" customFormat="1" ht="19.5" customHeight="1">
      <c r="A31" s="3290"/>
      <c r="B31" s="3290"/>
      <c r="C31" s="880" t="s">
        <v>584</v>
      </c>
      <c r="D31" s="881"/>
      <c r="E31" s="879">
        <v>0.8</v>
      </c>
      <c r="F31" s="882" t="s">
        <v>585</v>
      </c>
      <c r="G31" s="883"/>
      <c r="H31" s="875"/>
      <c r="I31" s="875"/>
    </row>
    <row r="32" spans="1:9" s="884" customFormat="1" ht="19.5" customHeight="1">
      <c r="A32" s="3290"/>
      <c r="B32" s="3290"/>
      <c r="C32" s="880" t="s">
        <v>586</v>
      </c>
      <c r="D32" s="881"/>
      <c r="E32" s="879">
        <v>0.8</v>
      </c>
      <c r="F32" s="882" t="s">
        <v>587</v>
      </c>
      <c r="G32" s="883"/>
      <c r="H32" s="875"/>
      <c r="I32" s="875"/>
    </row>
    <row r="33" spans="1:9" s="884" customFormat="1" ht="19.5" customHeight="1">
      <c r="A33" s="3290" t="s">
        <v>185</v>
      </c>
      <c r="B33" s="879" t="s">
        <v>560</v>
      </c>
      <c r="C33" s="880" t="s">
        <v>588</v>
      </c>
      <c r="D33" s="881"/>
      <c r="E33" s="879">
        <v>1</v>
      </c>
      <c r="F33" s="882" t="s">
        <v>589</v>
      </c>
      <c r="G33" s="883"/>
      <c r="H33" s="875"/>
      <c r="I33" s="875"/>
    </row>
    <row r="34" spans="1:9" s="884" customFormat="1" ht="19.5" customHeight="1">
      <c r="A34" s="3290"/>
      <c r="B34" s="879" t="s">
        <v>563</v>
      </c>
      <c r="C34" s="880" t="s">
        <v>590</v>
      </c>
      <c r="D34" s="881"/>
      <c r="E34" s="879">
        <v>1.5</v>
      </c>
      <c r="F34" s="882" t="s">
        <v>591</v>
      </c>
      <c r="G34" s="883"/>
      <c r="H34" s="875"/>
      <c r="I34" s="875"/>
    </row>
    <row r="35" spans="1:9" s="884" customFormat="1" ht="19.5" customHeight="1">
      <c r="A35" s="3290" t="s">
        <v>186</v>
      </c>
      <c r="B35" s="879" t="s">
        <v>560</v>
      </c>
      <c r="C35" s="880" t="s">
        <v>592</v>
      </c>
      <c r="D35" s="881"/>
      <c r="E35" s="879">
        <v>1</v>
      </c>
      <c r="F35" s="882" t="s">
        <v>593</v>
      </c>
      <c r="G35" s="883"/>
      <c r="H35" s="875"/>
      <c r="I35" s="875"/>
    </row>
    <row r="36" spans="1:9" s="884" customFormat="1" ht="19.5" customHeight="1">
      <c r="A36" s="3290"/>
      <c r="B36" s="3290" t="s">
        <v>563</v>
      </c>
      <c r="C36" s="880" t="s">
        <v>594</v>
      </c>
      <c r="D36" s="881"/>
      <c r="E36" s="879">
        <v>1</v>
      </c>
      <c r="F36" s="882" t="s">
        <v>595</v>
      </c>
      <c r="G36" s="883"/>
      <c r="H36" s="875"/>
      <c r="I36" s="875"/>
    </row>
    <row r="37" spans="1:9" s="884" customFormat="1" ht="19.5" customHeight="1">
      <c r="A37" s="3290"/>
      <c r="B37" s="3290"/>
      <c r="C37" s="880" t="s">
        <v>596</v>
      </c>
      <c r="D37" s="881"/>
      <c r="E37" s="879">
        <v>1.5</v>
      </c>
      <c r="F37" s="882" t="s">
        <v>597</v>
      </c>
      <c r="G37" s="883"/>
      <c r="H37" s="875"/>
      <c r="I37" s="875"/>
    </row>
    <row r="38" spans="1:9" s="884" customFormat="1" ht="19.5" customHeight="1">
      <c r="A38" s="3290"/>
      <c r="B38" s="3290"/>
      <c r="C38" s="880" t="s">
        <v>598</v>
      </c>
      <c r="D38" s="881"/>
      <c r="E38" s="879">
        <v>1</v>
      </c>
      <c r="F38" s="882" t="s">
        <v>599</v>
      </c>
      <c r="G38" s="883"/>
      <c r="H38" s="875"/>
      <c r="I38" s="875"/>
    </row>
    <row r="39" spans="1:9" s="884" customFormat="1" ht="19.5" customHeight="1">
      <c r="A39" s="3290"/>
      <c r="B39" s="329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0" t="s">
        <v>614</v>
      </c>
      <c r="C61" s="815" t="s">
        <v>615</v>
      </c>
      <c r="D61" s="815" t="s">
        <v>616</v>
      </c>
      <c r="E61" s="892">
        <v>0.5</v>
      </c>
      <c r="F61" s="879">
        <v>80</v>
      </c>
    </row>
    <row r="62" spans="1:8" s="875" customFormat="1" ht="24">
      <c r="A62" s="879">
        <v>2</v>
      </c>
      <c r="B62" s="3290"/>
      <c r="C62" s="815" t="s">
        <v>617</v>
      </c>
      <c r="D62" s="815" t="s">
        <v>618</v>
      </c>
      <c r="E62" s="892">
        <v>0.5</v>
      </c>
      <c r="F62" s="879">
        <v>80</v>
      </c>
    </row>
    <row r="63" spans="1:8" s="875" customFormat="1" ht="36">
      <c r="A63" s="879">
        <v>3</v>
      </c>
      <c r="B63" s="3290"/>
      <c r="C63" s="815" t="s">
        <v>619</v>
      </c>
      <c r="D63" s="815" t="s">
        <v>620</v>
      </c>
      <c r="E63" s="892">
        <v>0.5</v>
      </c>
      <c r="F63" s="879">
        <v>80</v>
      </c>
    </row>
    <row r="64" spans="1:8" s="875" customFormat="1" ht="36">
      <c r="A64" s="879">
        <v>4</v>
      </c>
      <c r="B64" s="3290"/>
      <c r="C64" s="815" t="s">
        <v>621</v>
      </c>
      <c r="D64" s="815" t="s">
        <v>622</v>
      </c>
      <c r="E64" s="892">
        <v>0.4</v>
      </c>
      <c r="F64" s="879">
        <v>60</v>
      </c>
    </row>
    <row r="65" spans="1:6" s="875" customFormat="1" ht="36">
      <c r="A65" s="879">
        <v>5</v>
      </c>
      <c r="B65" s="3290"/>
      <c r="C65" s="815" t="s">
        <v>623</v>
      </c>
      <c r="D65" s="815" t="s">
        <v>624</v>
      </c>
      <c r="E65" s="892">
        <v>0.2</v>
      </c>
      <c r="F65" s="879">
        <v>30</v>
      </c>
    </row>
    <row r="66" spans="1:6" s="875" customFormat="1" ht="36">
      <c r="A66" s="879">
        <v>6</v>
      </c>
      <c r="B66" s="3290"/>
      <c r="C66" s="815" t="s">
        <v>625</v>
      </c>
      <c r="D66" s="815" t="s">
        <v>626</v>
      </c>
      <c r="E66" s="892">
        <v>0.3</v>
      </c>
      <c r="F66" s="879">
        <v>50</v>
      </c>
    </row>
    <row r="67" spans="1:6" s="875" customFormat="1" ht="36">
      <c r="A67" s="879">
        <v>7</v>
      </c>
      <c r="B67" s="3290"/>
      <c r="C67" s="815" t="s">
        <v>627</v>
      </c>
      <c r="D67" s="815" t="s">
        <v>628</v>
      </c>
      <c r="E67" s="892">
        <v>0.2</v>
      </c>
      <c r="F67" s="879">
        <v>30</v>
      </c>
    </row>
    <row r="68" spans="1:6" s="875" customFormat="1" ht="36">
      <c r="A68" s="879">
        <v>8</v>
      </c>
      <c r="B68" s="3290"/>
      <c r="C68" s="815" t="s">
        <v>629</v>
      </c>
      <c r="D68" s="815" t="s">
        <v>630</v>
      </c>
      <c r="E68" s="892">
        <v>0.2</v>
      </c>
      <c r="F68" s="879">
        <v>30</v>
      </c>
    </row>
    <row r="69" spans="1:6" s="875" customFormat="1" ht="36">
      <c r="A69" s="879">
        <v>9</v>
      </c>
      <c r="B69" s="3290"/>
      <c r="C69" s="815" t="s">
        <v>631</v>
      </c>
      <c r="D69" s="815" t="s">
        <v>632</v>
      </c>
      <c r="E69" s="892">
        <v>0.2</v>
      </c>
      <c r="F69" s="879">
        <v>30</v>
      </c>
    </row>
    <row r="70" spans="1:6" s="875" customFormat="1" ht="48">
      <c r="A70" s="879">
        <v>10</v>
      </c>
      <c r="B70" s="3290"/>
      <c r="C70" s="815" t="s">
        <v>633</v>
      </c>
      <c r="D70" s="815" t="s">
        <v>634</v>
      </c>
      <c r="E70" s="892">
        <v>0.2</v>
      </c>
      <c r="F70" s="879">
        <v>30</v>
      </c>
    </row>
    <row r="71" spans="1:6" s="875" customFormat="1" ht="48">
      <c r="A71" s="879">
        <v>11</v>
      </c>
      <c r="B71" s="3290"/>
      <c r="C71" s="815" t="s">
        <v>635</v>
      </c>
      <c r="D71" s="815" t="s">
        <v>636</v>
      </c>
      <c r="E71" s="892">
        <v>0.2</v>
      </c>
      <c r="F71" s="879">
        <v>30</v>
      </c>
    </row>
    <row r="72" spans="1:6" s="875" customFormat="1" ht="36">
      <c r="A72" s="879">
        <v>12</v>
      </c>
      <c r="B72" s="3290"/>
      <c r="C72" s="815" t="s">
        <v>637</v>
      </c>
      <c r="D72" s="815" t="s">
        <v>638</v>
      </c>
      <c r="E72" s="892">
        <v>0.5</v>
      </c>
      <c r="F72" s="879">
        <v>80</v>
      </c>
    </row>
    <row r="73" spans="1:6" s="875" customFormat="1" ht="24">
      <c r="A73" s="879">
        <v>13</v>
      </c>
      <c r="B73" s="3290"/>
      <c r="C73" s="815" t="s">
        <v>639</v>
      </c>
      <c r="D73" s="815" t="s">
        <v>640</v>
      </c>
      <c r="E73" s="892">
        <v>0.4</v>
      </c>
      <c r="F73" s="879">
        <v>60</v>
      </c>
    </row>
    <row r="74" spans="1:6" s="875" customFormat="1" ht="24">
      <c r="A74" s="879">
        <v>14</v>
      </c>
      <c r="B74" s="3290"/>
      <c r="C74" s="815" t="s">
        <v>641</v>
      </c>
      <c r="D74" s="815" t="s">
        <v>642</v>
      </c>
      <c r="E74" s="892">
        <v>0.2</v>
      </c>
      <c r="F74" s="879">
        <v>30</v>
      </c>
    </row>
    <row r="75" spans="1:6" s="875" customFormat="1" ht="24">
      <c r="A75" s="879">
        <v>15</v>
      </c>
      <c r="B75" s="3290"/>
      <c r="C75" s="815" t="s">
        <v>643</v>
      </c>
      <c r="D75" s="815" t="s">
        <v>644</v>
      </c>
      <c r="E75" s="892">
        <v>0.2</v>
      </c>
      <c r="F75" s="879">
        <v>30</v>
      </c>
    </row>
    <row r="76" spans="1:6" s="875" customFormat="1" ht="24">
      <c r="A76" s="879">
        <v>16</v>
      </c>
      <c r="B76" s="3290" t="s">
        <v>645</v>
      </c>
      <c r="C76" s="815" t="s">
        <v>646</v>
      </c>
      <c r="D76" s="815" t="s">
        <v>647</v>
      </c>
      <c r="E76" s="892">
        <v>0.5</v>
      </c>
      <c r="F76" s="879">
        <v>80</v>
      </c>
    </row>
    <row r="77" spans="1:6" s="875" customFormat="1" ht="24">
      <c r="A77" s="879">
        <v>17</v>
      </c>
      <c r="B77" s="3290"/>
      <c r="C77" s="815" t="s">
        <v>648</v>
      </c>
      <c r="D77" s="815" t="s">
        <v>649</v>
      </c>
      <c r="E77" s="892">
        <v>0.5</v>
      </c>
      <c r="F77" s="879">
        <v>80</v>
      </c>
    </row>
    <row r="78" spans="1:6" s="875" customFormat="1" ht="24">
      <c r="A78" s="879">
        <v>18</v>
      </c>
      <c r="B78" s="3290"/>
      <c r="C78" s="815" t="s">
        <v>650</v>
      </c>
      <c r="D78" s="815" t="s">
        <v>651</v>
      </c>
      <c r="E78" s="892">
        <v>0.2</v>
      </c>
      <c r="F78" s="879">
        <v>30</v>
      </c>
    </row>
    <row r="79" spans="1:6" s="875" customFormat="1" ht="24">
      <c r="A79" s="879">
        <v>19</v>
      </c>
      <c r="B79" s="3290"/>
      <c r="C79" s="815" t="s">
        <v>652</v>
      </c>
      <c r="D79" s="815" t="s">
        <v>653</v>
      </c>
      <c r="E79" s="892">
        <v>0.5</v>
      </c>
      <c r="F79" s="879">
        <v>80</v>
      </c>
    </row>
    <row r="80" spans="1:6" s="875" customFormat="1" ht="36">
      <c r="A80" s="879">
        <v>20</v>
      </c>
      <c r="B80" s="3290"/>
      <c r="C80" s="815" t="s">
        <v>654</v>
      </c>
      <c r="D80" s="815" t="s">
        <v>655</v>
      </c>
      <c r="E80" s="892">
        <v>0.2</v>
      </c>
      <c r="F80" s="879">
        <v>30</v>
      </c>
    </row>
    <row r="81" spans="1:6" s="875" customFormat="1" ht="36">
      <c r="A81" s="879">
        <v>21</v>
      </c>
      <c r="B81" s="3290"/>
      <c r="C81" s="815" t="s">
        <v>656</v>
      </c>
      <c r="D81" s="815" t="s">
        <v>657</v>
      </c>
      <c r="E81" s="892">
        <v>0.2</v>
      </c>
      <c r="F81" s="879">
        <v>30</v>
      </c>
    </row>
    <row r="82" spans="1:6" s="875" customFormat="1" ht="48">
      <c r="A82" s="879">
        <v>22</v>
      </c>
      <c r="B82" s="3290"/>
      <c r="C82" s="815" t="s">
        <v>658</v>
      </c>
      <c r="D82" s="815" t="s">
        <v>659</v>
      </c>
      <c r="E82" s="892">
        <v>0.2</v>
      </c>
      <c r="F82" s="879">
        <v>30</v>
      </c>
    </row>
    <row r="83" spans="1:6" s="875" customFormat="1" ht="48">
      <c r="A83" s="879">
        <v>23</v>
      </c>
      <c r="B83" s="3290"/>
      <c r="C83" s="815" t="s">
        <v>660</v>
      </c>
      <c r="D83" s="815" t="s">
        <v>661</v>
      </c>
      <c r="E83" s="892">
        <v>0.2</v>
      </c>
      <c r="F83" s="879">
        <v>30</v>
      </c>
    </row>
    <row r="84" spans="1:6" s="875" customFormat="1" ht="36">
      <c r="A84" s="879">
        <v>24</v>
      </c>
      <c r="B84" s="3290"/>
      <c r="C84" s="815" t="s">
        <v>662</v>
      </c>
      <c r="D84" s="815" t="s">
        <v>663</v>
      </c>
      <c r="E84" s="892">
        <v>0.2</v>
      </c>
      <c r="F84" s="879">
        <v>30</v>
      </c>
    </row>
    <row r="85" spans="1:6" s="875" customFormat="1" ht="36">
      <c r="A85" s="879">
        <v>25</v>
      </c>
      <c r="B85" s="3290"/>
      <c r="C85" s="815" t="s">
        <v>664</v>
      </c>
      <c r="D85" s="815" t="s">
        <v>665</v>
      </c>
      <c r="E85" s="892">
        <v>0.5</v>
      </c>
      <c r="F85" s="879">
        <v>80</v>
      </c>
    </row>
    <row r="86" spans="1:6" s="875" customFormat="1" ht="36">
      <c r="A86" s="879">
        <v>26</v>
      </c>
      <c r="B86" s="3290"/>
      <c r="C86" s="815" t="s">
        <v>666</v>
      </c>
      <c r="D86" s="815" t="s">
        <v>667</v>
      </c>
      <c r="E86" s="892">
        <v>0.2</v>
      </c>
      <c r="F86" s="879">
        <v>30</v>
      </c>
    </row>
    <row r="87" spans="1:6" s="875" customFormat="1" ht="36">
      <c r="A87" s="879">
        <v>27</v>
      </c>
      <c r="B87" s="3290"/>
      <c r="C87" s="815" t="s">
        <v>668</v>
      </c>
      <c r="D87" s="815" t="s">
        <v>669</v>
      </c>
      <c r="E87" s="892">
        <v>0.2</v>
      </c>
      <c r="F87" s="879">
        <v>30</v>
      </c>
    </row>
    <row r="88" spans="1:6" s="875" customFormat="1" ht="36">
      <c r="A88" s="879">
        <v>28</v>
      </c>
      <c r="B88" s="3290"/>
      <c r="C88" s="815" t="s">
        <v>670</v>
      </c>
      <c r="D88" s="815" t="s">
        <v>671</v>
      </c>
      <c r="E88" s="892">
        <v>0.2</v>
      </c>
      <c r="F88" s="879">
        <v>30</v>
      </c>
    </row>
    <row r="89" spans="1:6" s="875" customFormat="1" ht="24">
      <c r="A89" s="879">
        <v>29</v>
      </c>
      <c r="B89" s="3290"/>
      <c r="C89" s="815" t="s">
        <v>672</v>
      </c>
      <c r="D89" s="815" t="s">
        <v>673</v>
      </c>
      <c r="E89" s="892">
        <v>0.2</v>
      </c>
      <c r="F89" s="879">
        <v>30</v>
      </c>
    </row>
    <row r="90" spans="1:6" s="875" customFormat="1" ht="24">
      <c r="A90" s="879">
        <v>30</v>
      </c>
      <c r="B90" s="3290"/>
      <c r="C90" s="815" t="s">
        <v>674</v>
      </c>
      <c r="D90" s="815" t="s">
        <v>675</v>
      </c>
      <c r="E90" s="892">
        <v>0.2</v>
      </c>
      <c r="F90" s="879">
        <v>30</v>
      </c>
    </row>
    <row r="91" spans="1:6" s="875" customFormat="1" ht="36">
      <c r="A91" s="879">
        <v>31</v>
      </c>
      <c r="B91" s="3290"/>
      <c r="C91" s="815" t="s">
        <v>676</v>
      </c>
      <c r="D91" s="815" t="s">
        <v>677</v>
      </c>
      <c r="E91" s="892">
        <v>0.2</v>
      </c>
      <c r="F91" s="879">
        <v>30</v>
      </c>
    </row>
    <row r="92" spans="1:6" s="875" customFormat="1" ht="24">
      <c r="A92" s="879">
        <v>32</v>
      </c>
      <c r="B92" s="3290" t="s">
        <v>678</v>
      </c>
      <c r="C92" s="879" t="s">
        <v>679</v>
      </c>
      <c r="D92" s="815" t="s">
        <v>680</v>
      </c>
      <c r="E92" s="892">
        <v>0.2</v>
      </c>
      <c r="F92" s="879">
        <v>30</v>
      </c>
    </row>
    <row r="93" spans="1:6" s="875" customFormat="1" ht="36">
      <c r="A93" s="879">
        <v>33</v>
      </c>
      <c r="B93" s="3290"/>
      <c r="C93" s="879" t="s">
        <v>681</v>
      </c>
      <c r="D93" s="815" t="s">
        <v>682</v>
      </c>
      <c r="E93" s="892">
        <v>0.2</v>
      </c>
      <c r="F93" s="879">
        <v>30</v>
      </c>
    </row>
    <row r="94" spans="1:6" s="875" customFormat="1" ht="48">
      <c r="A94" s="879">
        <v>34</v>
      </c>
      <c r="B94" s="3290"/>
      <c r="C94" s="879" t="s">
        <v>683</v>
      </c>
      <c r="D94" s="815" t="s">
        <v>684</v>
      </c>
      <c r="E94" s="892">
        <v>0.2</v>
      </c>
      <c r="F94" s="879">
        <v>30</v>
      </c>
    </row>
    <row r="95" spans="1:6" s="875" customFormat="1" ht="36">
      <c r="A95" s="879">
        <v>35</v>
      </c>
      <c r="B95" s="3290"/>
      <c r="C95" s="879" t="s">
        <v>685</v>
      </c>
      <c r="D95" s="815" t="s">
        <v>686</v>
      </c>
      <c r="E95" s="892">
        <v>0.2</v>
      </c>
      <c r="F95" s="879">
        <v>30</v>
      </c>
    </row>
    <row r="96" spans="1:6" s="875" customFormat="1" ht="48">
      <c r="A96" s="879">
        <v>36</v>
      </c>
      <c r="B96" s="3290"/>
      <c r="C96" s="815" t="s">
        <v>687</v>
      </c>
      <c r="D96" s="815" t="s">
        <v>688</v>
      </c>
      <c r="E96" s="892">
        <v>0.2</v>
      </c>
      <c r="F96" s="879">
        <v>30</v>
      </c>
    </row>
    <row r="97" spans="1:6" s="875" customFormat="1" ht="36">
      <c r="A97" s="879">
        <v>37</v>
      </c>
      <c r="B97" s="3290"/>
      <c r="C97" s="879" t="s">
        <v>689</v>
      </c>
      <c r="D97" s="815" t="s">
        <v>690</v>
      </c>
      <c r="E97" s="892">
        <v>0.2</v>
      </c>
      <c r="F97" s="879">
        <v>30</v>
      </c>
    </row>
    <row r="98" spans="1:6" s="875" customFormat="1" ht="36">
      <c r="A98" s="879">
        <v>38</v>
      </c>
      <c r="B98" s="3290"/>
      <c r="C98" s="879" t="s">
        <v>691</v>
      </c>
      <c r="D98" s="815" t="s">
        <v>692</v>
      </c>
      <c r="E98" s="892">
        <v>0.2</v>
      </c>
      <c r="F98" s="879">
        <v>30</v>
      </c>
    </row>
    <row r="99" spans="1:6" s="875" customFormat="1" ht="36">
      <c r="A99" s="879">
        <v>39</v>
      </c>
      <c r="B99" s="3290" t="s">
        <v>693</v>
      </c>
      <c r="C99" s="879" t="s">
        <v>694</v>
      </c>
      <c r="D99" s="815" t="s">
        <v>695</v>
      </c>
      <c r="E99" s="892">
        <v>0.3</v>
      </c>
      <c r="F99" s="879">
        <v>50</v>
      </c>
    </row>
    <row r="100" spans="1:6" s="875" customFormat="1" ht="24">
      <c r="A100" s="879">
        <v>40</v>
      </c>
      <c r="B100" s="3290"/>
      <c r="C100" s="879" t="s">
        <v>696</v>
      </c>
      <c r="D100" s="815" t="s">
        <v>697</v>
      </c>
      <c r="E100" s="892">
        <v>0.2</v>
      </c>
      <c r="F100" s="879">
        <v>30</v>
      </c>
    </row>
    <row r="101" spans="1:6" s="875" customFormat="1" ht="36">
      <c r="A101" s="879">
        <v>41</v>
      </c>
      <c r="B101" s="329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0" t="s">
        <v>708</v>
      </c>
      <c r="C105" s="879" t="s">
        <v>709</v>
      </c>
      <c r="D105" s="815" t="s">
        <v>710</v>
      </c>
      <c r="E105" s="892">
        <v>0.2</v>
      </c>
      <c r="F105" s="879">
        <v>30</v>
      </c>
    </row>
    <row r="106" spans="1:6" s="875" customFormat="1" ht="36">
      <c r="A106" s="879">
        <v>46</v>
      </c>
      <c r="B106" s="3290"/>
      <c r="C106" s="879" t="s">
        <v>711</v>
      </c>
      <c r="D106" s="815" t="s">
        <v>712</v>
      </c>
      <c r="E106" s="892">
        <v>0.2</v>
      </c>
      <c r="F106" s="879">
        <v>30</v>
      </c>
    </row>
    <row r="107" spans="1:6" s="875" customFormat="1" ht="36">
      <c r="A107" s="879">
        <v>47</v>
      </c>
      <c r="B107" s="3290" t="s">
        <v>713</v>
      </c>
      <c r="C107" s="879" t="s">
        <v>714</v>
      </c>
      <c r="D107" s="815" t="s">
        <v>715</v>
      </c>
      <c r="E107" s="892">
        <v>0.3</v>
      </c>
      <c r="F107" s="879">
        <v>50</v>
      </c>
    </row>
    <row r="108" spans="1:6" s="875" customFormat="1" ht="36">
      <c r="A108" s="879">
        <v>48</v>
      </c>
      <c r="B108" s="329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0" t="s">
        <v>724</v>
      </c>
      <c r="C111" s="879" t="s">
        <v>725</v>
      </c>
      <c r="D111" s="815" t="s">
        <v>726</v>
      </c>
      <c r="E111" s="892">
        <v>0.2</v>
      </c>
      <c r="F111" s="879">
        <v>30</v>
      </c>
    </row>
    <row r="112" spans="1:6" s="875" customFormat="1" ht="24">
      <c r="A112" s="879">
        <v>52</v>
      </c>
      <c r="B112" s="3290"/>
      <c r="C112" s="879" t="s">
        <v>727</v>
      </c>
      <c r="D112" s="815" t="s">
        <v>728</v>
      </c>
      <c r="E112" s="892">
        <v>0.2</v>
      </c>
      <c r="F112" s="879">
        <v>30</v>
      </c>
    </row>
    <row r="113" spans="1:6" s="875" customFormat="1" ht="24">
      <c r="A113" s="879">
        <v>53</v>
      </c>
      <c r="B113" s="329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0" t="s">
        <v>737</v>
      </c>
      <c r="C116" s="879" t="s">
        <v>738</v>
      </c>
      <c r="D116" s="815" t="s">
        <v>739</v>
      </c>
      <c r="E116" s="892">
        <v>0.2</v>
      </c>
      <c r="F116" s="879">
        <v>30</v>
      </c>
    </row>
    <row r="117" spans="1:6" ht="36">
      <c r="A117" s="879">
        <v>57</v>
      </c>
      <c r="B117" s="329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0"/>
      <c r="B4" s="2984" t="s">
        <v>1632</v>
      </c>
      <c r="C4" s="2984"/>
      <c r="D4" s="2984"/>
      <c r="E4" s="1960"/>
    </row>
    <row r="5" spans="1:5" ht="16.5" thickTop="1">
      <c r="A5" s="1958"/>
      <c r="B5" s="2982" t="s">
        <v>1624</v>
      </c>
      <c r="C5" s="1961" t="s">
        <v>1625</v>
      </c>
      <c r="D5" s="1040">
        <f ca="1">结果表!H101</f>
        <v>83432</v>
      </c>
      <c r="E5" s="1958"/>
    </row>
    <row r="6" spans="1:5" ht="15.75">
      <c r="A6" s="1958"/>
      <c r="B6" s="2982"/>
      <c r="C6" s="1961" t="s">
        <v>1626</v>
      </c>
      <c r="D6" s="1040" t="str">
        <f ca="1">NUMBERSTRING(INT(D5*10000),2)&amp;"元整"</f>
        <v>捌亿叁仟肆佰叁拾贰万元整</v>
      </c>
      <c r="E6" s="1958"/>
    </row>
    <row r="7" spans="1:5" ht="15.75">
      <c r="A7" s="1958"/>
      <c r="B7" s="2987"/>
      <c r="C7" s="1962" t="s">
        <v>1627</v>
      </c>
      <c r="D7" s="1041">
        <f ca="1">结果表!H102</f>
        <v>12921</v>
      </c>
      <c r="E7" s="1958"/>
    </row>
    <row r="8" spans="1:5" ht="15.75">
      <c r="A8" s="1958"/>
      <c r="B8" s="2988" t="str">
        <f>结果表!E103</f>
        <v>2.估价师知悉的除抵押担保权以外的法定优先受偿款</v>
      </c>
      <c r="C8" s="1963" t="s">
        <v>1628</v>
      </c>
      <c r="D8" s="1041">
        <f>结果表!H103</f>
        <v>0</v>
      </c>
      <c r="E8" s="1958"/>
    </row>
    <row r="9" spans="1:5" ht="15.75">
      <c r="A9" s="1958"/>
      <c r="B9" s="2990"/>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1" t="str">
        <f>结果表!E107</f>
        <v>——</v>
      </c>
      <c r="C13" s="1966" t="s">
        <v>1625</v>
      </c>
      <c r="D13" s="1043" t="str">
        <f>结果表!H107</f>
        <v>——</v>
      </c>
      <c r="E13" s="1958"/>
    </row>
    <row r="14" spans="1:5" ht="15.75">
      <c r="A14" s="1958"/>
      <c r="B14" s="2982"/>
      <c r="C14" s="1961" t="s">
        <v>1626</v>
      </c>
      <c r="D14" s="1040" t="e">
        <f>NUMBERSTRING(INT(D13*10000),2)&amp;"元整"</f>
        <v>#VALUE!</v>
      </c>
      <c r="E14" s="1958"/>
    </row>
    <row r="15" spans="1:5" ht="15">
      <c r="A15" s="1958"/>
      <c r="B15" s="2987"/>
      <c r="C15" s="1962" t="s">
        <v>1636</v>
      </c>
      <c r="D15" s="1052" t="e">
        <f>结果表!H108</f>
        <v>#VALUE!</v>
      </c>
      <c r="E15" s="1958"/>
    </row>
    <row r="16" spans="1:5" ht="15">
      <c r="A16" s="1958"/>
      <c r="B16" s="2988" t="str">
        <f>结果表!E109</f>
        <v>3.抵押担保权已注销时的房地产抵押价值</v>
      </c>
      <c r="C16" s="1966" t="s">
        <v>1637</v>
      </c>
      <c r="D16" s="1967">
        <f ca="1">结果表!H109</f>
        <v>83432</v>
      </c>
      <c r="E16" s="1958"/>
    </row>
    <row r="17" spans="1:5" ht="15.75">
      <c r="A17" s="1958"/>
      <c r="B17" s="2989"/>
      <c r="C17" s="1961" t="s">
        <v>1638</v>
      </c>
      <c r="D17" s="1040" t="str">
        <f ca="1">NUMBERSTRING(INT(D16*10000),2)&amp;"元整"</f>
        <v>捌亿叁仟肆佰叁拾贰万元整</v>
      </c>
      <c r="E17" s="1958"/>
    </row>
    <row r="18" spans="1:5" ht="15">
      <c r="A18" s="1958"/>
      <c r="B18" s="2990"/>
      <c r="C18" s="1962" t="s">
        <v>1627</v>
      </c>
      <c r="D18" s="1052">
        <f ca="1">结果表!H110</f>
        <v>12921</v>
      </c>
      <c r="E18" s="1958"/>
    </row>
    <row r="19" spans="1:5" ht="15.75">
      <c r="A19" s="1958"/>
      <c r="B19" s="2981" t="str">
        <f>结果表!E111</f>
        <v>——</v>
      </c>
      <c r="C19" s="1966" t="s">
        <v>1625</v>
      </c>
      <c r="D19" s="1041" t="str">
        <f>结果表!H111</f>
        <v>——</v>
      </c>
      <c r="E19" s="1958"/>
    </row>
    <row r="20" spans="1:5" ht="15.75">
      <c r="A20" s="1958"/>
      <c r="B20" s="2982"/>
      <c r="C20" s="1961" t="s">
        <v>1638</v>
      </c>
      <c r="D20" s="1040" t="e">
        <f>NUMBERSTRING(INT(D19*10000),2)&amp;"元整"</f>
        <v>#VALUE!</v>
      </c>
      <c r="E20" s="1958"/>
    </row>
    <row r="21" spans="1:5" ht="15.75" thickBot="1">
      <c r="A21" s="1958"/>
      <c r="B21" s="2983"/>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3008</v>
      </c>
    </row>
    <row r="2" spans="1:5" ht="15.75">
      <c r="A2" s="2904" t="s">
        <v>3000</v>
      </c>
      <c r="B2" s="2905" t="e">
        <f ca="1">SUMIF(B6:B13,"&lt;&gt;#ref!",B6:B13)</f>
        <v>#DIV/0!</v>
      </c>
      <c r="C2" s="2904" t="s">
        <v>3001</v>
      </c>
      <c r="D2" s="2904" t="s">
        <v>3002</v>
      </c>
      <c r="E2" s="2905" t="e">
        <f ca="1">SUM(E6:E13)</f>
        <v>#REF!</v>
      </c>
    </row>
    <row r="3" spans="1:5" ht="15.75">
      <c r="A3" s="2904" t="s">
        <v>3003</v>
      </c>
      <c r="B3" s="2905" t="e">
        <f ca="1">ROUND(B2*10000/E2,0)</f>
        <v>#DIV/0!</v>
      </c>
      <c r="C3" s="2904" t="s">
        <v>3009</v>
      </c>
      <c r="D3" s="2906"/>
      <c r="E3" s="2906"/>
    </row>
    <row r="4" spans="1:5" ht="15.75">
      <c r="A4" s="2907"/>
      <c r="B4" s="2906"/>
      <c r="C4" s="2906"/>
      <c r="D4" s="2906"/>
      <c r="E4" s="2906"/>
    </row>
    <row r="5" spans="1:5" ht="28.5">
      <c r="A5" s="2908" t="s">
        <v>3004</v>
      </c>
      <c r="B5" s="2904" t="s">
        <v>3005</v>
      </c>
      <c r="C5" s="2905"/>
      <c r="D5" s="2906"/>
      <c r="E5" s="2904" t="s">
        <v>3006</v>
      </c>
    </row>
    <row r="6" spans="1:5" ht="15.75">
      <c r="A6" s="2909" t="s">
        <v>3007</v>
      </c>
      <c r="B6" s="2905" t="e">
        <f ca="1">SUMIF(INDIRECT("'"&amp;A6&amp;"'"&amp;"!A:A"),"总价",INDIRECT("'"&amp;A6&amp;"'"&amp;"!B:B"))</f>
        <v>#DIV/0!</v>
      </c>
      <c r="C6" s="2904" t="s">
        <v>3001</v>
      </c>
      <c r="D6" s="2906"/>
      <c r="E6" s="2571">
        <f ca="1">SUMIF(INDIRECT("'"&amp;A6&amp;"'"&amp;"!C:C"),"建筑面积",INDIRECT("'"&amp;A6&amp;"'"&amp;"!D:D"))</f>
        <v>0</v>
      </c>
    </row>
    <row r="7" spans="1:5" ht="15.75">
      <c r="A7" s="2909"/>
      <c r="B7" s="2905" t="e">
        <f ca="1">SUMIF(INDIRECT("'"&amp;A7&amp;"'"&amp;"!A:A"),"总价",INDIRECT("'"&amp;A7&amp;"'"&amp;"!B:B"))</f>
        <v>#REF!</v>
      </c>
      <c r="C7" s="2904" t="s">
        <v>3001</v>
      </c>
      <c r="D7" s="2906"/>
      <c r="E7" s="2571" t="e">
        <f t="shared" ref="E7:E13" ca="1" si="0">SUMIF(INDIRECT("'"&amp;A7&amp;"'"&amp;"!C:C"),"建筑面积",INDIRECT("'"&amp;A7&amp;"'"&amp;"!D:D"))</f>
        <v>#REF!</v>
      </c>
    </row>
    <row r="8" spans="1:5" ht="15.75">
      <c r="A8" s="2909"/>
      <c r="B8" s="2905" t="e">
        <f t="shared" ref="B8:B13" ca="1" si="1">SUMIF(INDIRECT("'"&amp;A8&amp;"'"&amp;"!A:A"),"总价",INDIRECT("'"&amp;A8&amp;"'"&amp;"!B:B"))</f>
        <v>#REF!</v>
      </c>
      <c r="C8" s="2904" t="s">
        <v>3001</v>
      </c>
      <c r="D8" s="2906"/>
      <c r="E8" s="2571" t="e">
        <f t="shared" ca="1" si="0"/>
        <v>#REF!</v>
      </c>
    </row>
    <row r="9" spans="1:5" ht="15.75">
      <c r="A9" s="2909"/>
      <c r="B9" s="2905" t="e">
        <f t="shared" ca="1" si="1"/>
        <v>#REF!</v>
      </c>
      <c r="C9" s="2904" t="s">
        <v>3001</v>
      </c>
      <c r="D9" s="2906"/>
      <c r="E9" s="2571" t="e">
        <f t="shared" ca="1" si="0"/>
        <v>#REF!</v>
      </c>
    </row>
    <row r="10" spans="1:5" ht="15.75">
      <c r="A10" s="2909"/>
      <c r="B10" s="2905" t="e">
        <f t="shared" ca="1" si="1"/>
        <v>#REF!</v>
      </c>
      <c r="C10" s="2904" t="s">
        <v>3001</v>
      </c>
      <c r="D10" s="2906"/>
      <c r="E10" s="2571" t="e">
        <f t="shared" ca="1" si="0"/>
        <v>#REF!</v>
      </c>
    </row>
    <row r="11" spans="1:5" ht="15.75">
      <c r="A11" s="2909"/>
      <c r="B11" s="2905" t="e">
        <f t="shared" ca="1" si="1"/>
        <v>#REF!</v>
      </c>
      <c r="C11" s="2904" t="s">
        <v>3001</v>
      </c>
      <c r="D11" s="2906"/>
      <c r="E11" s="2571" t="e">
        <f t="shared" ca="1" si="0"/>
        <v>#REF!</v>
      </c>
    </row>
    <row r="12" spans="1:5" ht="15.75">
      <c r="A12" s="2909"/>
      <c r="B12" s="2905" t="e">
        <f t="shared" ca="1" si="1"/>
        <v>#REF!</v>
      </c>
      <c r="C12" s="2904" t="s">
        <v>3001</v>
      </c>
      <c r="D12" s="2906"/>
      <c r="E12" s="2571" t="e">
        <f t="shared" ca="1" si="0"/>
        <v>#REF!</v>
      </c>
    </row>
    <row r="13" spans="1:5" ht="15.75">
      <c r="A13" s="2909"/>
      <c r="B13" s="2905" t="e">
        <f t="shared" ca="1" si="1"/>
        <v>#REF!</v>
      </c>
      <c r="C13" s="2904" t="s">
        <v>3001</v>
      </c>
      <c r="D13" s="2906"/>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96" t="s">
        <v>1150</v>
      </c>
      <c r="C1" s="3296"/>
      <c r="D1" s="3296"/>
      <c r="E1" s="3296"/>
      <c r="F1" s="3296"/>
      <c r="G1" s="3295" t="s">
        <v>1151</v>
      </c>
      <c r="H1" s="3295"/>
      <c r="I1" s="3295"/>
      <c r="J1" s="3295"/>
      <c r="K1" s="3295"/>
      <c r="L1" s="3295"/>
      <c r="N1" s="3295" t="s">
        <v>1152</v>
      </c>
      <c r="O1" s="3295"/>
      <c r="P1" s="3295"/>
      <c r="Q1" s="3295"/>
      <c r="R1" s="1445"/>
      <c r="S1" s="3295" t="s">
        <v>1153</v>
      </c>
      <c r="T1" s="3295"/>
      <c r="U1" s="3295"/>
      <c r="V1" s="3295"/>
      <c r="X1" s="3294" t="s">
        <v>1154</v>
      </c>
      <c r="Y1" s="3295"/>
      <c r="Z1" s="3295"/>
      <c r="AA1" s="3295"/>
      <c r="AB1" s="3295"/>
      <c r="AD1" s="3294" t="s">
        <v>1155</v>
      </c>
      <c r="AE1" s="3295"/>
      <c r="AF1" s="3295"/>
      <c r="AG1" s="3295"/>
      <c r="AH1" s="3295"/>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18"/>
      <c r="J3" s="2918"/>
      <c r="K3" s="2918"/>
      <c r="L3" s="2918"/>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3045</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18">
        <f>ROUND(AVERAGE(I5:I20),2)</f>
        <v>2.4900000000000002</v>
      </c>
      <c r="J4" s="2918">
        <f t="shared" ref="J4:L4" si="7">ROUND(AVERAGE(J5:J20),2)</f>
        <v>1.64</v>
      </c>
      <c r="K4" s="2918">
        <f t="shared" si="7"/>
        <v>2.78</v>
      </c>
      <c r="L4" s="2918">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3043</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5">
        <v>2017</v>
      </c>
      <c r="H5" s="1729">
        <v>4</v>
      </c>
      <c r="I5" s="2919">
        <f>ROUND(AVERAGE(I6:I20),2)</f>
        <v>2.4900000000000002</v>
      </c>
      <c r="J5" s="2919">
        <f>ROUND(AVERAGE(J6:J20),2)</f>
        <v>1.64</v>
      </c>
      <c r="K5" s="2919">
        <f>ROUND(AVERAGE(K6:K20),2)</f>
        <v>2.78</v>
      </c>
      <c r="L5" s="2919">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3044</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17"/>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16"/>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17"/>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297">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92"/>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92"/>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93"/>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91">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92"/>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92"/>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93"/>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91">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92"/>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92"/>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93"/>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298">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99"/>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99"/>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00"/>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91">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92"/>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92"/>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93"/>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91">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92">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92">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93">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91">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92">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92">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93">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91">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92">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92">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93">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91">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92">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92">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93">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91">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92">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92">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93">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91">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92">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92">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93">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91">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92">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92">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93">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91">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92">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92">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93">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91">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92">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92">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93">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91">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92">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92">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93">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7"/>
    <col min="20" max="45" width="9" style="793"/>
    <col min="46" max="16384" width="9" style="137"/>
  </cols>
  <sheetData>
    <row r="1" spans="1:45" ht="14.25" customHeight="1" thickBot="1">
      <c r="A1" s="154"/>
      <c r="B1" s="1204" t="s">
        <v>3010</v>
      </c>
      <c r="C1" s="3302" t="s">
        <v>3011</v>
      </c>
      <c r="D1" s="3303"/>
      <c r="E1" s="3303"/>
      <c r="F1" s="3303"/>
      <c r="G1" s="3303"/>
      <c r="H1" s="3303"/>
      <c r="I1" s="3303"/>
      <c r="J1" s="3303"/>
      <c r="K1" s="3303"/>
      <c r="L1" s="3303"/>
      <c r="M1" s="3303"/>
      <c r="N1" s="3303"/>
      <c r="O1" s="3303"/>
      <c r="P1" s="3303"/>
      <c r="Q1" s="3303"/>
      <c r="R1" s="3303"/>
      <c r="S1" s="3304"/>
      <c r="T1" s="1204" t="s">
        <v>3012</v>
      </c>
    </row>
    <row r="2" spans="1:45" s="706" customFormat="1">
      <c r="A2" s="1205"/>
      <c r="B2" s="702" t="s">
        <v>3013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7"/>
      <c r="B3" s="707"/>
      <c r="C3" s="708"/>
      <c r="D3" s="709"/>
      <c r="E3" s="709"/>
      <c r="F3" s="1703"/>
      <c r="G3" s="1703"/>
      <c r="H3" s="1703"/>
      <c r="I3" s="1703"/>
      <c r="J3" s="1703"/>
      <c r="K3" s="1703"/>
      <c r="L3" s="1704"/>
      <c r="M3" s="1705"/>
      <c r="N3" s="1705"/>
      <c r="O3" s="1703"/>
      <c r="P3" s="1703"/>
      <c r="Q3" s="1703"/>
      <c r="R3" s="1703"/>
      <c r="S3" s="1706"/>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68" t="s">
        <v>3014</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69" t="s">
        <v>3015</v>
      </c>
      <c r="C7" s="1121"/>
      <c r="D7" s="1115"/>
      <c r="E7" s="1115"/>
      <c r="F7" s="1715"/>
      <c r="G7" s="1715"/>
      <c r="H7" s="1715"/>
      <c r="I7" s="1715"/>
      <c r="J7" s="1715"/>
      <c r="K7" s="1715"/>
      <c r="L7" s="1715"/>
      <c r="M7" s="1716"/>
      <c r="N7" s="1717"/>
      <c r="O7" s="1718"/>
      <c r="P7" s="1719"/>
      <c r="Q7" s="1720"/>
      <c r="R7" s="1721"/>
      <c r="S7" s="1722"/>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69" t="s">
        <v>3016</v>
      </c>
      <c r="C9" s="1121"/>
      <c r="D9" s="1115"/>
      <c r="E9" s="1115"/>
      <c r="F9" s="1715"/>
      <c r="G9" s="1715"/>
      <c r="H9" s="1715"/>
      <c r="I9" s="1715"/>
      <c r="J9" s="1715"/>
      <c r="K9" s="1715"/>
      <c r="L9" s="1723"/>
      <c r="M9" s="1716"/>
      <c r="N9" s="1717"/>
      <c r="O9" s="1718"/>
      <c r="P9" s="1719"/>
      <c r="Q9" s="1720"/>
      <c r="R9" s="1721"/>
      <c r="S9" s="1722"/>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68" t="s">
        <v>3017</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8" t="s">
        <v>3018</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8" t="s">
        <v>3019</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0" t="s">
        <v>3020</v>
      </c>
      <c r="B17" s="2911" t="s">
        <v>3021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7"/>
      <c r="C19" s="167"/>
      <c r="D19" s="2912" t="s">
        <v>3022</v>
      </c>
      <c r="E19" s="1791"/>
      <c r="F19" s="1791"/>
      <c r="G19" s="1791"/>
      <c r="H19" s="1280"/>
      <c r="I19" s="167"/>
      <c r="J19" s="167"/>
      <c r="K19" s="167"/>
      <c r="L19" s="167"/>
      <c r="M19" s="167"/>
      <c r="N19" s="167"/>
      <c r="O19" s="167"/>
      <c r="P19" s="167"/>
      <c r="Q19" s="167"/>
      <c r="R19" s="786"/>
      <c r="S19" s="136"/>
    </row>
    <row r="20" spans="1:45" ht="16.5" thickBot="1">
      <c r="A20" s="714" t="s">
        <v>3023</v>
      </c>
      <c r="B20" s="337" t="e">
        <f ca="1">IF(D20="——",S22,S22-F20)</f>
        <v>#REF!</v>
      </c>
      <c r="C20" s="167"/>
      <c r="D20" s="2913" t="s">
        <v>3024</v>
      </c>
      <c r="E20" s="1792"/>
      <c r="F20" s="1204" t="e">
        <f ca="1">SUMIF(INDIRECT("'"&amp;H20&amp;"'"&amp;"!A:A"),"承租人权益价值",INDIRECT("'"&amp;H20&amp;"'"&amp;"!c:c"))</f>
        <v>#REF!</v>
      </c>
      <c r="G20" s="1204" t="s">
        <v>3025</v>
      </c>
      <c r="H20" s="2914"/>
      <c r="I20" s="167"/>
      <c r="J20" s="167"/>
      <c r="K20" s="167"/>
      <c r="L20" s="167"/>
      <c r="M20" s="167"/>
      <c r="N20" s="167"/>
      <c r="O20" s="167"/>
      <c r="P20" s="167"/>
      <c r="Q20" s="167"/>
      <c r="R20" s="786"/>
      <c r="S20" s="136"/>
    </row>
    <row r="21" spans="1:45" ht="15.75">
      <c r="A21" s="714" t="s">
        <v>3026</v>
      </c>
      <c r="B21" s="337">
        <f>R22</f>
        <v>10000</v>
      </c>
      <c r="C21" s="167"/>
      <c r="D21" s="167"/>
      <c r="E21" s="167"/>
      <c r="F21" s="167"/>
      <c r="G21" s="167"/>
      <c r="H21" s="167"/>
      <c r="I21" s="167"/>
      <c r="J21" s="167"/>
      <c r="K21" s="167"/>
      <c r="L21" s="167"/>
      <c r="M21" s="167"/>
      <c r="N21" s="167"/>
      <c r="O21" s="167"/>
      <c r="P21" s="167"/>
      <c r="Q21" s="167"/>
      <c r="R21" s="786"/>
      <c r="S21" s="136"/>
    </row>
    <row r="22" spans="1:45">
      <c r="A22" s="360" t="s">
        <v>3027</v>
      </c>
      <c r="B22" s="24">
        <f>SUM(B24:B10000)</f>
        <v>100</v>
      </c>
      <c r="C22" s="3161" t="s">
        <v>33</v>
      </c>
      <c r="D22" s="3162"/>
      <c r="E22" s="3162"/>
      <c r="F22" s="3162"/>
      <c r="G22" s="3162"/>
      <c r="H22" s="3162"/>
      <c r="I22" s="3162"/>
      <c r="J22" s="3162"/>
      <c r="K22" s="3162"/>
      <c r="L22" s="3162"/>
      <c r="M22" s="3162"/>
      <c r="N22" s="3162"/>
      <c r="O22" s="3162"/>
      <c r="P22" s="3162"/>
      <c r="Q22" s="3301"/>
      <c r="R22" s="715">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28783</v>
      </c>
      <c r="C2" s="2" t="s">
        <v>133</v>
      </c>
      <c r="D2" s="242"/>
      <c r="E2" s="242"/>
      <c r="F2" s="242"/>
      <c r="G2" s="242"/>
    </row>
    <row r="3" spans="1:7" s="243" customFormat="1" ht="18" customHeight="1" thickBot="1">
      <c r="A3" s="246" t="s">
        <v>85</v>
      </c>
      <c r="B3" s="247">
        <f ca="1">ROUND(B2*10000/'数据-汇总表'!E3,0)</f>
        <v>4458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810</v>
      </c>
      <c r="D7" s="263"/>
      <c r="E7" s="261"/>
      <c r="F7" s="264">
        <f>'数据-取费表'!B48+'数据-取费表'!B49</f>
        <v>4.0500000000000001E-2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1135</v>
      </c>
      <c r="D9" s="1032">
        <f>'数据-汇总表'!E5</f>
        <v>46157.97</v>
      </c>
      <c r="E9" s="268">
        <f>'数据-取费表'!B27</f>
        <v>246</v>
      </c>
      <c r="F9" s="264"/>
      <c r="G9" s="269"/>
    </row>
    <row r="10" spans="1:7" s="257" customFormat="1" ht="13.5" customHeight="1">
      <c r="A10" s="950" t="s">
        <v>801</v>
      </c>
      <c r="B10" s="267" t="s">
        <v>94</v>
      </c>
      <c r="C10" s="268">
        <f>ROUND(D10*E10/10000,0)</f>
        <v>453</v>
      </c>
      <c r="D10" s="1032">
        <f>'数据-汇总表'!E6</f>
        <v>18411.170000000006</v>
      </c>
      <c r="E10" s="268">
        <f>'数据-取费表'!B28</f>
        <v>246</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646</v>
      </c>
      <c r="D19" s="1036">
        <f>'数据-汇总表'!E3</f>
        <v>64569.140000000007</v>
      </c>
      <c r="E19" s="254">
        <f>'数据-取费表'!B31</f>
        <v>100</v>
      </c>
      <c r="F19" s="274"/>
      <c r="G19" s="1" t="s">
        <v>1074</v>
      </c>
    </row>
    <row r="20" spans="1:7" s="257" customFormat="1" ht="13.5" customHeight="1">
      <c r="A20" s="948" t="s">
        <v>1057</v>
      </c>
      <c r="B20" s="253" t="s">
        <v>104</v>
      </c>
      <c r="C20" s="275">
        <f>ROUND((C5+C19)*F20,0)</f>
        <v>322</v>
      </c>
      <c r="D20" s="275"/>
      <c r="E20" s="275"/>
      <c r="F20" s="276">
        <f>'数据-取费表'!B37</f>
        <v>1.4999999999999999E-2</v>
      </c>
      <c r="G20" s="1289" t="s">
        <v>1068</v>
      </c>
    </row>
    <row r="21" spans="1:7" s="257" customFormat="1" ht="13.5" customHeight="1">
      <c r="A21" s="948" t="s">
        <v>1059</v>
      </c>
      <c r="B21" s="253" t="s">
        <v>105</v>
      </c>
      <c r="C21" s="278">
        <f>F21</f>
        <v>2.5000000000000001E-2</v>
      </c>
      <c r="D21" s="279" t="s">
        <v>126</v>
      </c>
      <c r="E21" s="275"/>
      <c r="F21" s="276">
        <f>'数据-取费表'!B38</f>
        <v>2.5000000000000001E-2</v>
      </c>
      <c r="G21" s="277" t="s">
        <v>106</v>
      </c>
    </row>
    <row r="22" spans="1:7" s="257" customFormat="1" ht="13.5" customHeight="1">
      <c r="A22" s="948" t="s">
        <v>786</v>
      </c>
      <c r="B22" s="253" t="s">
        <v>107</v>
      </c>
      <c r="C22" s="1354">
        <f ca="1">ROUND(SUM(C23:C25),0)</f>
        <v>1027</v>
      </c>
      <c r="D22" s="278">
        <f ca="1">C26</f>
        <v>5.9999999999999995E-4</v>
      </c>
      <c r="E22" s="279" t="s">
        <v>126</v>
      </c>
      <c r="F22" s="280">
        <f ca="1">'数据-取费表'!B40</f>
        <v>4.7500000000000001E-2</v>
      </c>
      <c r="G22" s="1289" t="str">
        <f>IF('数据-取费表'!B22&lt;=1,"单利计息","复利计息")</f>
        <v>复利计息</v>
      </c>
    </row>
    <row r="23" spans="1:7" s="257" customFormat="1" ht="13.5" customHeight="1">
      <c r="A23" s="951" t="s">
        <v>794</v>
      </c>
      <c r="B23" s="258" t="s">
        <v>1061</v>
      </c>
      <c r="C23" s="1355">
        <f ca="1">ROUND(IF('数据-取费表'!B22&lt;=1,C5*F22*'数据-取费表'!B23,C5*(POWER((1+F22),'数据-取费表'!B23)-1)),0)</f>
        <v>988</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31</v>
      </c>
      <c r="D24" s="281"/>
      <c r="E24" s="281"/>
      <c r="F24" s="282"/>
      <c r="G24" s="283" t="s">
        <v>109</v>
      </c>
    </row>
    <row r="25" spans="1:7" s="257" customFormat="1" ht="24">
      <c r="A25" s="951" t="s">
        <v>793</v>
      </c>
      <c r="B25" s="258" t="s">
        <v>1058</v>
      </c>
      <c r="C25" s="1355">
        <f ca="1">ROUND(IF('数据-取费表'!B22&lt;=1,C20*F22*'数据-取费表'!B23/2,C20*(POWER((1+F22),'数据-取费表'!B23/2)-1)),0)</f>
        <v>8</v>
      </c>
      <c r="D25" s="281"/>
      <c r="E25" s="284"/>
      <c r="F25" s="282"/>
      <c r="G25" s="285" t="s">
        <v>110</v>
      </c>
    </row>
    <row r="26" spans="1:7" s="257" customFormat="1">
      <c r="A26" s="951" t="s">
        <v>795</v>
      </c>
      <c r="B26" s="258" t="s">
        <v>1060</v>
      </c>
      <c r="C26" s="281">
        <f ca="1">ROUND(IF('数据-取费表'!B22&lt;=1,F21*F22*'数据-取费表'!B23/2,F21*(POWER((1+F22),'数据-取费表'!B23/2)-1)),4)</f>
        <v>5.9999999999999995E-4</v>
      </c>
      <c r="D26" s="281"/>
      <c r="E26" s="284"/>
      <c r="F26" s="282"/>
      <c r="G26" s="286"/>
    </row>
    <row r="27" spans="1:7" s="257" customFormat="1" ht="24.75">
      <c r="A27" s="948" t="s">
        <v>787</v>
      </c>
      <c r="B27" s="287" t="s">
        <v>112</v>
      </c>
      <c r="C27" s="288">
        <f>C28</f>
        <v>1481</v>
      </c>
      <c r="D27" s="278">
        <f>C29</f>
        <v>1.6999999999999999E-3</v>
      </c>
      <c r="E27" s="279" t="s">
        <v>126</v>
      </c>
      <c r="F27" s="289">
        <f>'数据-取费表'!Q16</f>
        <v>0.17</v>
      </c>
      <c r="G27" s="290" t="s">
        <v>1069</v>
      </c>
    </row>
    <row r="28" spans="1:7" s="257" customFormat="1" ht="13.5" customHeight="1">
      <c r="A28" s="951" t="s">
        <v>794</v>
      </c>
      <c r="B28" s="291" t="s">
        <v>1062</v>
      </c>
      <c r="C28" s="292">
        <f>ROUND((C5+C19+C20)*F27*'数据-取费表'!B21/'数据-取费表'!B20,0)</f>
        <v>1481</v>
      </c>
      <c r="D28" s="278"/>
      <c r="E28" s="279"/>
      <c r="F28" s="289"/>
      <c r="G28" s="290"/>
    </row>
    <row r="29" spans="1:7" s="257" customFormat="1" ht="13.5" customHeight="1">
      <c r="A29" s="951" t="s">
        <v>792</v>
      </c>
      <c r="B29" s="291" t="s">
        <v>1063</v>
      </c>
      <c r="C29" s="281">
        <f>ROUND(C21*F27*'数据-取费表'!B21/'数据-取费表'!B20,4)</f>
        <v>1.6999999999999999E-3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26416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1791</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1541</v>
      </c>
      <c r="D34" s="260"/>
      <c r="E34" s="263"/>
      <c r="F34" s="300">
        <f>IF('数据-取费表'!B24=0,1,'数据-取费表'!N16)</f>
        <v>9.5000000000000001E-2</v>
      </c>
      <c r="G34" s="262" t="s">
        <v>116</v>
      </c>
    </row>
    <row r="35" spans="1:7" ht="13.5" customHeight="1">
      <c r="A35" s="951" t="s">
        <v>796</v>
      </c>
      <c r="B35" s="258" t="s">
        <v>60</v>
      </c>
      <c r="C35" s="263">
        <f>ROUND(C34*F35,0)</f>
        <v>46</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58</v>
      </c>
      <c r="D36" s="263"/>
      <c r="E36" s="263"/>
      <c r="F36" s="302">
        <f>'数据-取费表'!B34</f>
        <v>0.05</v>
      </c>
      <c r="G36" s="303" t="s">
        <v>62</v>
      </c>
    </row>
    <row r="37" spans="1:7" s="301" customFormat="1" ht="13.5" customHeight="1">
      <c r="A37" s="951" t="s">
        <v>798</v>
      </c>
      <c r="B37" s="258" t="s">
        <v>118</v>
      </c>
      <c r="C37" s="292">
        <f>ROUND(E37*D37*F34/10000,0)</f>
        <v>123</v>
      </c>
      <c r="D37" s="260">
        <f>'数据-汇总表'!E3</f>
        <v>64569.140000000007</v>
      </c>
      <c r="E37" s="292">
        <f>'数据-取费表'!B35</f>
        <v>200</v>
      </c>
      <c r="F37" s="302"/>
      <c r="G37" s="304" t="s">
        <v>119</v>
      </c>
    </row>
    <row r="38" spans="1:7" ht="13.5" customHeight="1">
      <c r="A38" s="951" t="s">
        <v>799</v>
      </c>
      <c r="B38" s="258" t="s">
        <v>63</v>
      </c>
      <c r="C38" s="263">
        <f>ROUND(C34*F38,0)</f>
        <v>23</v>
      </c>
      <c r="D38" s="263"/>
      <c r="E38" s="263"/>
      <c r="F38" s="302">
        <f>'数据-取费表'!B36</f>
        <v>1.4999999999999999E-2</v>
      </c>
      <c r="G38" s="262" t="s">
        <v>117</v>
      </c>
    </row>
    <row r="39" spans="1:7" s="257" customFormat="1" ht="13.5" customHeight="1">
      <c r="A39" s="948" t="s">
        <v>783</v>
      </c>
      <c r="B39" s="253" t="s">
        <v>104</v>
      </c>
      <c r="C39" s="275">
        <f>ROUND(C33*F20,0)</f>
        <v>27</v>
      </c>
      <c r="D39" s="275"/>
      <c r="E39" s="275"/>
      <c r="F39" s="276"/>
      <c r="G39" s="1289" t="s">
        <v>1071</v>
      </c>
    </row>
    <row r="40" spans="1:7" s="257" customFormat="1" ht="13.5" customHeight="1">
      <c r="A40" s="948" t="s">
        <v>784</v>
      </c>
      <c r="B40" s="253" t="s">
        <v>105</v>
      </c>
      <c r="C40" s="305">
        <f>F21</f>
        <v>2.5000000000000001E-2</v>
      </c>
      <c r="D40" s="279" t="s">
        <v>129</v>
      </c>
      <c r="E40" s="275"/>
      <c r="F40" s="276"/>
      <c r="G40" s="277" t="s">
        <v>120</v>
      </c>
    </row>
    <row r="41" spans="1:7" s="257" customFormat="1" ht="13.5" customHeight="1">
      <c r="A41" s="948" t="s">
        <v>785</v>
      </c>
      <c r="B41" s="253" t="s">
        <v>107</v>
      </c>
      <c r="C41" s="275">
        <f ca="1">ROUND(SUM(C42:C43),0)</f>
        <v>43</v>
      </c>
      <c r="D41" s="278">
        <f ca="1">C44</f>
        <v>5.9999999999999995E-4</v>
      </c>
      <c r="E41" s="279" t="s">
        <v>129</v>
      </c>
      <c r="F41" s="280"/>
      <c r="G41" s="1289" t="str">
        <f>IF('数据-取费表'!B22&lt;=1,"单利计息","复利计息")</f>
        <v>复利计息</v>
      </c>
    </row>
    <row r="42" spans="1:7" ht="13.5" customHeight="1">
      <c r="A42" s="951" t="s">
        <v>794</v>
      </c>
      <c r="B42" s="258" t="s">
        <v>1061</v>
      </c>
      <c r="C42" s="281">
        <f ca="1">ROUND(IF('数据-取费表'!B22&lt;=1,C33*F22*'数据-取费表'!B21/2,C33*(POWER((1+F22),'数据-取费表'!B21/2)-1)),0)</f>
        <v>42</v>
      </c>
      <c r="D42" s="281"/>
      <c r="E42" s="281"/>
      <c r="F42" s="282"/>
      <c r="G42" s="3166" t="s">
        <v>121</v>
      </c>
    </row>
    <row r="43" spans="1:7" ht="13.5" customHeight="1">
      <c r="A43" s="951" t="s">
        <v>792</v>
      </c>
      <c r="B43" s="258" t="s">
        <v>1064</v>
      </c>
      <c r="C43" s="281">
        <f ca="1">ROUND(IF('数据-取费表'!B22&lt;=1,C39*F22*'数据-取费表'!B21/2,C39*(POWER((1+F22),'数据-取费表'!B21/2)-1)),0)</f>
        <v>1</v>
      </c>
      <c r="D43" s="281"/>
      <c r="E43" s="281"/>
      <c r="F43" s="282"/>
      <c r="G43" s="3167"/>
    </row>
    <row r="44" spans="1:7" ht="13.5" customHeight="1">
      <c r="A44" s="951" t="s">
        <v>793</v>
      </c>
      <c r="B44" s="258" t="s">
        <v>1066</v>
      </c>
      <c r="C44" s="281">
        <f ca="1">ROUND(IF('数据-取费表'!B22&lt;=1,C40*F22*'数据-取费表'!B21/2,C40*(POWER((1+F22),'数据-取费表'!B21/2)-1)),4)</f>
        <v>5.9999999999999995E-4</v>
      </c>
      <c r="D44" s="281"/>
      <c r="E44" s="281"/>
      <c r="F44" s="282"/>
      <c r="G44" s="3168"/>
    </row>
    <row r="45" spans="1:7" s="257" customFormat="1" ht="13.5" customHeight="1">
      <c r="A45" s="948" t="s">
        <v>786</v>
      </c>
      <c r="B45" s="287" t="s">
        <v>112</v>
      </c>
      <c r="C45" s="288">
        <f>C46</f>
        <v>309</v>
      </c>
      <c r="D45" s="278">
        <f>C47</f>
        <v>4.3E-3</v>
      </c>
      <c r="E45" s="279" t="s">
        <v>129</v>
      </c>
      <c r="F45" s="289"/>
      <c r="G45" s="290" t="s">
        <v>1072</v>
      </c>
    </row>
    <row r="46" spans="1:7" s="257" customFormat="1" ht="13.5" customHeight="1">
      <c r="A46" s="951" t="s">
        <v>794</v>
      </c>
      <c r="B46" s="291" t="s">
        <v>1065</v>
      </c>
      <c r="C46" s="292">
        <f>ROUND((C33+C39)*F27,0)</f>
        <v>309</v>
      </c>
      <c r="D46" s="306"/>
      <c r="E46" s="279"/>
      <c r="F46" s="289"/>
      <c r="G46" s="290"/>
    </row>
    <row r="47" spans="1:7" s="257" customFormat="1" ht="13.5" customHeight="1">
      <c r="A47" s="951" t="s">
        <v>792</v>
      </c>
      <c r="B47" s="291" t="s">
        <v>1067</v>
      </c>
      <c r="C47" s="281">
        <f>ROUND(C40*F27,4)</f>
        <v>4.3E-3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2367</v>
      </c>
      <c r="D49" s="275"/>
      <c r="E49" s="275"/>
      <c r="F49" s="307"/>
      <c r="G49" s="277" t="s">
        <v>1073</v>
      </c>
    </row>
    <row r="50" spans="1:7" s="301" customFormat="1" ht="24">
      <c r="A50" s="948" t="s">
        <v>789</v>
      </c>
      <c r="B50" s="253" t="s">
        <v>124</v>
      </c>
      <c r="C50" s="275"/>
      <c r="D50" s="275"/>
      <c r="E50" s="275"/>
      <c r="F50" s="307">
        <f>IF('数据-取费表'!B24=0,'数据-取费表'!N16,1)</f>
        <v>1</v>
      </c>
      <c r="G50" s="290" t="s">
        <v>125</v>
      </c>
    </row>
    <row r="51" spans="1:7" ht="16.5" customHeight="1">
      <c r="A51" s="948" t="s">
        <v>790</v>
      </c>
      <c r="B51" s="253" t="s">
        <v>132</v>
      </c>
      <c r="C51" s="275">
        <f ca="1">ROUND(C49*F50,0)</f>
        <v>2367</v>
      </c>
      <c r="D51" s="275"/>
      <c r="E51" s="275"/>
      <c r="F51" s="307"/>
      <c r="G51" s="277" t="s">
        <v>64</v>
      </c>
    </row>
    <row r="52" spans="1:7" s="251" customFormat="1" ht="16.5" thickBot="1">
      <c r="A52" s="308" t="s">
        <v>65</v>
      </c>
      <c r="B52" s="309"/>
      <c r="C52" s="310">
        <f ca="1">C31+C51</f>
        <v>28783</v>
      </c>
      <c r="D52" s="309"/>
      <c r="E52" s="309"/>
      <c r="F52" s="309"/>
      <c r="G52" s="311"/>
    </row>
    <row r="55" spans="1:7" ht="15">
      <c r="B55" s="313" t="s">
        <v>66</v>
      </c>
      <c r="C55" s="314"/>
    </row>
    <row r="56" spans="1:7">
      <c r="B56" s="316" t="s">
        <v>67</v>
      </c>
      <c r="C56" s="317">
        <f ca="1">ROUND(C51/C52,3)</f>
        <v>8.2000000000000003E-2</v>
      </c>
    </row>
    <row r="57" spans="1:7">
      <c r="B57" s="316" t="s">
        <v>68</v>
      </c>
      <c r="C57" s="318">
        <f ca="1">1-C56</f>
        <v>0.91800000000000004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05" t="s">
        <v>156</v>
      </c>
      <c r="B1" s="3305"/>
      <c r="C1" s="3305"/>
      <c r="D1" s="3305"/>
      <c r="E1" s="3305"/>
      <c r="F1" s="330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6" t="s">
        <v>169</v>
      </c>
      <c r="B2" s="3306"/>
      <c r="C2" s="3306"/>
      <c r="D2" s="3306"/>
      <c r="E2" s="3306"/>
      <c r="F2" s="330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5" t="s">
        <v>871</v>
      </c>
      <c r="B1" s="3305"/>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43056</v>
      </c>
      <c r="D1" s="1699" t="s">
        <v>1302</v>
      </c>
      <c r="E1" s="1694">
        <f>'数据-取费表'!B22</f>
        <v>2.5</v>
      </c>
      <c r="F1" s="1699" t="s">
        <v>1303</v>
      </c>
      <c r="G1" s="1695">
        <f ca="1">INDIRECT("d"&amp;$K$1)/100</f>
        <v>4.7500000000000001E-2</v>
      </c>
      <c r="H1" s="1699" t="s">
        <v>1333</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
  <sheetViews>
    <sheetView workbookViewId="0">
      <selection activeCell="R46" sqref="R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1643</v>
      </c>
      <c r="B2" s="3001" t="s">
        <v>1644</v>
      </c>
      <c r="C2" s="3001" t="s">
        <v>1645</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2995"/>
      <c r="B3" s="2995"/>
      <c r="C3" s="2995"/>
      <c r="D3" s="1044" t="s">
        <v>1640</v>
      </c>
      <c r="E3" s="1044" t="s">
        <v>1646</v>
      </c>
      <c r="F3" s="1044" t="s">
        <v>1640</v>
      </c>
      <c r="G3" s="1044" t="s">
        <v>1641</v>
      </c>
      <c r="H3" s="1044" t="s">
        <v>1640</v>
      </c>
      <c r="I3" s="1044" t="s">
        <v>1641</v>
      </c>
    </row>
    <row r="4" spans="1:9" ht="60">
      <c r="A4" s="1972" t="str">
        <f>项目基本情况!S2</f>
        <v>山东省济南市高新区凤凰路以西、旅游路以南出让国有建设用地使用权及在建建筑物房地产</v>
      </c>
      <c r="B4" s="1044">
        <f>项目基本情况!C17</f>
        <v>64569.140000000007</v>
      </c>
      <c r="C4" s="1044">
        <f>项目基本情况!C18</f>
        <v>20327.75</v>
      </c>
      <c r="D4" s="1044">
        <f ca="1">结果表!D118</f>
        <v>81263</v>
      </c>
      <c r="E4" s="1044">
        <f ca="1">结果表!E118</f>
        <v>12585</v>
      </c>
      <c r="F4" s="1044">
        <f ca="1">结果表!F118</f>
        <v>2169</v>
      </c>
      <c r="G4" s="1044">
        <f ca="1">结果表!G118</f>
        <v>336</v>
      </c>
      <c r="H4" s="1044">
        <f ca="1">结果表!H118</f>
        <v>83432</v>
      </c>
      <c r="I4" s="1044">
        <f ca="1">结果表!I118</f>
        <v>12921</v>
      </c>
    </row>
    <row r="5" spans="1:9" ht="30" customHeight="1">
      <c r="A5" s="2995" t="s">
        <v>1642</v>
      </c>
      <c r="B5" s="2995"/>
      <c r="C5" s="2995"/>
      <c r="D5" s="2996" t="str">
        <f ca="1">结果表!D119</f>
        <v>捌亿壹仟贰佰陆拾叁万元整</v>
      </c>
      <c r="E5" s="2996"/>
      <c r="F5" s="2996" t="str">
        <f ca="1">结果表!F119</f>
        <v>贰仟壹佰陆拾玖万元整</v>
      </c>
      <c r="G5" s="2996"/>
      <c r="H5" s="2996" t="str">
        <f ca="1">结果表!H119</f>
        <v>捌亿叁仟肆佰叁拾贰万元整</v>
      </c>
      <c r="I5" s="2996"/>
    </row>
    <row r="6" spans="1:9" ht="15.75">
      <c r="A6" s="2994" t="str">
        <f>结果表!A120</f>
        <v>估价师知悉的除抵押担保权以外的法定优先受偿款</v>
      </c>
      <c r="B6" s="2994"/>
      <c r="C6" s="2994"/>
      <c r="D6" s="2994">
        <f>结果表!D120</f>
        <v>0</v>
      </c>
      <c r="E6" s="2994"/>
      <c r="F6" s="2994"/>
      <c r="G6" s="2994"/>
      <c r="H6" s="2994"/>
      <c r="I6" s="2994"/>
    </row>
    <row r="7" spans="1:9" ht="15">
      <c r="A7" s="2995" t="s">
        <v>1642</v>
      </c>
      <c r="B7" s="2995"/>
      <c r="C7" s="2995"/>
      <c r="D7" s="2997" t="str">
        <f>结果表!D121</f>
        <v>零元整</v>
      </c>
      <c r="E7" s="2998"/>
      <c r="F7" s="2998"/>
      <c r="G7" s="2998"/>
      <c r="H7" s="2998"/>
      <c r="I7" s="2999"/>
    </row>
    <row r="8" spans="1:9" ht="15.75">
      <c r="A8" s="2994" t="str">
        <f>结果表!A122</f>
        <v/>
      </c>
      <c r="B8" s="2994"/>
      <c r="C8" s="2994"/>
      <c r="D8" s="2994" t="str">
        <f>结果表!D122</f>
        <v>——</v>
      </c>
      <c r="E8" s="2994"/>
      <c r="F8" s="2994"/>
      <c r="G8" s="2994"/>
      <c r="H8" s="2994"/>
      <c r="I8" s="2994"/>
    </row>
    <row r="9" spans="1:9" ht="15">
      <c r="A9" s="2995" t="s">
        <v>1642</v>
      </c>
      <c r="B9" s="2995"/>
      <c r="C9" s="2995"/>
      <c r="D9" s="2996" t="e">
        <f>结果表!D123</f>
        <v>#VALUE!</v>
      </c>
      <c r="E9" s="2996"/>
      <c r="F9" s="2996"/>
      <c r="G9" s="2996"/>
      <c r="H9" s="2996"/>
      <c r="I9" s="2996"/>
    </row>
    <row r="10" spans="1:9" ht="15.75">
      <c r="A10" s="2994" t="str">
        <f>结果表!A124</f>
        <v>抵押担保权已注销时的房地产抵押价值</v>
      </c>
      <c r="B10" s="2994"/>
      <c r="C10" s="2994"/>
      <c r="D10" s="2994">
        <f ca="1">结果表!D124</f>
        <v>83432</v>
      </c>
      <c r="E10" s="2994"/>
      <c r="F10" s="2994"/>
      <c r="G10" s="2994"/>
      <c r="H10" s="2994"/>
      <c r="I10" s="2994"/>
    </row>
    <row r="11" spans="1:9" ht="15">
      <c r="A11" s="2995" t="s">
        <v>1642</v>
      </c>
      <c r="B11" s="2995"/>
      <c r="C11" s="2995"/>
      <c r="D11" s="2996" t="str">
        <f ca="1">结果表!D125</f>
        <v>捌亿叁仟肆佰叁拾贰万元整</v>
      </c>
      <c r="E11" s="2996"/>
      <c r="F11" s="2996"/>
      <c r="G11" s="2996"/>
      <c r="H11" s="2996"/>
      <c r="I11" s="2996"/>
    </row>
    <row r="12" spans="1:9" ht="15.75">
      <c r="A12" s="2994" t="str">
        <f>结果表!A126</f>
        <v/>
      </c>
      <c r="B12" s="2994"/>
      <c r="C12" s="2994"/>
      <c r="D12" s="2994" t="str">
        <f>结果表!D126</f>
        <v>——</v>
      </c>
      <c r="E12" s="2994"/>
      <c r="F12" s="2994"/>
      <c r="G12" s="2994"/>
      <c r="H12" s="2994"/>
      <c r="I12" s="2994"/>
    </row>
    <row r="13" spans="1:9" ht="15.75" thickBot="1">
      <c r="A13" s="2991" t="s">
        <v>1642</v>
      </c>
      <c r="B13" s="2991"/>
      <c r="C13" s="2991"/>
      <c r="D13" s="2992" t="e">
        <f>结果表!D127</f>
        <v>#VALUE!</v>
      </c>
      <c r="E13" s="2992"/>
      <c r="F13" s="2992"/>
      <c r="G13" s="2992"/>
      <c r="H13" s="2992"/>
      <c r="I13" s="2992"/>
    </row>
    <row r="14" spans="1:9" ht="15" thickTop="1">
      <c r="A14" s="2993" t="s">
        <v>1647</v>
      </c>
      <c r="B14" s="2993"/>
      <c r="C14" s="2993"/>
      <c r="D14" s="2993"/>
      <c r="E14" s="2993"/>
      <c r="F14" s="2993"/>
      <c r="G14" s="2993"/>
      <c r="H14" s="2993"/>
      <c r="I14" s="2993"/>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8" t="s">
        <v>1664</v>
      </c>
      <c r="B1" s="3008"/>
      <c r="C1" s="3008"/>
      <c r="D1" s="3008"/>
    </row>
    <row r="2" spans="1:4" ht="18">
      <c r="A2" s="3009" t="s">
        <v>1648</v>
      </c>
      <c r="B2" s="3009"/>
      <c r="C2" s="3009"/>
      <c r="D2" s="3009"/>
    </row>
    <row r="3" spans="1:4" ht="18.75">
      <c r="A3" s="1976" t="s">
        <v>1649</v>
      </c>
      <c r="B3" s="1976" t="s">
        <v>1650</v>
      </c>
      <c r="C3" s="1976" t="s">
        <v>1651</v>
      </c>
      <c r="D3" s="1976" t="s">
        <v>1652</v>
      </c>
    </row>
    <row r="4" spans="1:4" ht="56.25" customHeight="1">
      <c r="A4" s="1977" t="str">
        <f>项目基本情况!B4</f>
        <v>郑燚</v>
      </c>
      <c r="B4" s="1978">
        <f ca="1">项目基本情况!C4</f>
        <v>1120070131</v>
      </c>
      <c r="C4" s="1979"/>
      <c r="D4" s="1980" t="s">
        <v>1653</v>
      </c>
    </row>
    <row r="5" spans="1:4" ht="56.25" customHeight="1">
      <c r="A5" s="1977" t="str">
        <f>项目基本情况!D4</f>
        <v>王鹏</v>
      </c>
      <c r="B5" s="1978">
        <f ca="1">项目基本情况!E4</f>
        <v>1120050019</v>
      </c>
      <c r="C5" s="1981"/>
      <c r="D5" s="1980" t="s">
        <v>1653</v>
      </c>
    </row>
    <row r="6" spans="1:4" ht="18">
      <c r="A6" s="3009" t="s">
        <v>1654</v>
      </c>
      <c r="B6" s="3009"/>
      <c r="C6" s="3009"/>
      <c r="D6" s="3009"/>
    </row>
    <row r="7" spans="1:4" ht="18.75">
      <c r="A7" s="1976" t="s">
        <v>1649</v>
      </c>
      <c r="B7" s="1978" t="s">
        <v>1655</v>
      </c>
      <c r="C7" s="1976" t="s">
        <v>1651</v>
      </c>
      <c r="D7" s="1976" t="s">
        <v>1652</v>
      </c>
    </row>
    <row r="8" spans="1:4" ht="56.25" customHeight="1">
      <c r="A8" s="1982" t="s">
        <v>869</v>
      </c>
      <c r="B8" s="1982" t="s">
        <v>1</v>
      </c>
      <c r="C8" s="1979"/>
      <c r="D8" s="1980" t="s">
        <v>1653</v>
      </c>
    </row>
    <row r="9" spans="1:4">
      <c r="A9" s="726"/>
      <c r="B9" s="726"/>
      <c r="C9" s="726"/>
      <c r="D9" s="726"/>
    </row>
    <row r="10" spans="1:4" ht="18.75">
      <c r="A10" s="1983" t="s">
        <v>1656</v>
      </c>
      <c r="B10" s="726"/>
      <c r="C10" s="726"/>
      <c r="D10" s="726"/>
    </row>
    <row r="11" spans="1:4" ht="30" customHeight="1">
      <c r="A11" s="3010" t="s">
        <v>1657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4" t="s">
        <v>1658</v>
      </c>
      <c r="B16" s="3004"/>
      <c r="C16" s="3004"/>
      <c r="D16" s="3004"/>
    </row>
    <row r="17" spans="1:4" ht="144" customHeight="1">
      <c r="A17" s="3004" t="s">
        <v>1659</v>
      </c>
      <c r="B17" s="3004"/>
      <c r="C17" s="3004"/>
      <c r="D17" s="3004"/>
    </row>
    <row r="18" spans="1:4" ht="15.75" customHeight="1">
      <c r="A18" s="3002" t="str">
        <f>IF(项目基本情况!B8="抵押",结果表!K120,"——")</f>
        <v>故，本次评估不存在估价师知悉的除抵押担保权以外的法定优先受偿款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1660</v>
      </c>
      <c r="B22" s="3006"/>
      <c r="C22" s="3006"/>
      <c r="D22" s="3006"/>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B40" sqref="B40"/>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16" t="s">
        <v>1671</v>
      </c>
      <c r="B15" s="3011" t="s">
        <v>136</v>
      </c>
      <c r="C15" s="3012"/>
    </row>
    <row r="16" spans="1:7" ht="13.5">
      <c r="A16" s="3017"/>
      <c r="B16" s="3011" t="s">
        <v>69</v>
      </c>
      <c r="C16" s="3012"/>
    </row>
    <row r="17" spans="1:3" ht="13.5">
      <c r="A17" s="3017"/>
      <c r="B17" s="3014" t="s">
        <v>1672</v>
      </c>
      <c r="C17" s="1999" t="s">
        <v>1671</v>
      </c>
    </row>
    <row r="18" spans="1:3" ht="13.5">
      <c r="A18" s="3017"/>
      <c r="B18" s="3014"/>
      <c r="C18" s="1999" t="s">
        <v>1673</v>
      </c>
    </row>
    <row r="19" spans="1:3" ht="13.5">
      <c r="A19" s="3017"/>
      <c r="B19" s="3014"/>
      <c r="C19" s="1999" t="s">
        <v>1674</v>
      </c>
    </row>
    <row r="20" spans="1:3" ht="13.5">
      <c r="A20" s="3018"/>
      <c r="B20" s="3013" t="s">
        <v>1675</v>
      </c>
      <c r="C20" s="3012"/>
    </row>
    <row r="21" spans="1:3" ht="13.5">
      <c r="A21" s="2000" t="s">
        <v>1676</v>
      </c>
      <c r="B21" s="2001"/>
      <c r="C21" s="2002"/>
    </row>
    <row r="22" spans="1:3" ht="13.5">
      <c r="A22" s="3015" t="s">
        <v>1677</v>
      </c>
      <c r="B22" s="3013" t="s">
        <v>1678</v>
      </c>
      <c r="C22" s="3012"/>
    </row>
    <row r="23" spans="1:3" ht="13.5">
      <c r="A23" s="3015"/>
      <c r="B23" s="3013" t="s">
        <v>1679</v>
      </c>
      <c r="C23" s="3012"/>
    </row>
    <row r="24" spans="1:3" ht="13.5">
      <c r="A24" s="3015"/>
      <c r="B24" s="3013" t="s">
        <v>1680</v>
      </c>
      <c r="C24" s="3012"/>
    </row>
    <row r="25" spans="1:3" ht="13.5">
      <c r="A25" s="3015"/>
      <c r="B25" s="3014" t="s">
        <v>1681</v>
      </c>
      <c r="C25" s="1999" t="s">
        <v>1682</v>
      </c>
    </row>
    <row r="26" spans="1:3" ht="13.5">
      <c r="A26" s="3015"/>
      <c r="B26" s="3014"/>
      <c r="C26" s="1999" t="s">
        <v>1683</v>
      </c>
    </row>
    <row r="27" spans="1:3" ht="13.5">
      <c r="A27" s="3015"/>
      <c r="B27" s="3014"/>
      <c r="C27" s="1999" t="s">
        <v>1684</v>
      </c>
    </row>
    <row r="28" spans="1:3" ht="13.5">
      <c r="A28" s="3015"/>
      <c r="B28" s="3014"/>
      <c r="C28" s="1999" t="s">
        <v>1685</v>
      </c>
    </row>
    <row r="29" spans="1:3" ht="13.5">
      <c r="A29" s="3015"/>
      <c r="B29" s="3014"/>
      <c r="C29" s="1999" t="s">
        <v>1686</v>
      </c>
    </row>
    <row r="30" spans="1:3" ht="13.5">
      <c r="A30" s="3015"/>
      <c r="B30" s="3014"/>
      <c r="C30" s="1999" t="s">
        <v>1687</v>
      </c>
    </row>
    <row r="31" spans="1:3" ht="13.5">
      <c r="A31" s="3015"/>
      <c r="B31" s="3014"/>
      <c r="C31" s="1999" t="s">
        <v>1688</v>
      </c>
    </row>
    <row r="32" spans="1:3" ht="13.5">
      <c r="A32" s="3015"/>
      <c r="B32" s="3014"/>
      <c r="C32" s="1999" t="s">
        <v>1689</v>
      </c>
    </row>
    <row r="33" spans="1:3" ht="13.5">
      <c r="A33" s="3015"/>
      <c r="B33" s="3014"/>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B7" sqref="B7"/>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43060</v>
      </c>
      <c r="C2" s="1019" t="s">
        <v>826</v>
      </c>
      <c r="D2" s="1019"/>
    </row>
    <row r="3" spans="1:6" ht="24" customHeight="1">
      <c r="A3" s="1020" t="s">
        <v>827</v>
      </c>
      <c r="B3" s="1021" t="s">
        <v>828</v>
      </c>
      <c r="C3" s="2341" t="s">
        <v>829</v>
      </c>
      <c r="D3" s="2344" t="s">
        <v>830</v>
      </c>
      <c r="E3" s="1022" t="s">
        <v>831</v>
      </c>
      <c r="F3" s="1021" t="s">
        <v>829</v>
      </c>
    </row>
    <row r="4" spans="1:6" ht="24" customHeight="1">
      <c r="A4" s="1701" t="s">
        <v>832</v>
      </c>
      <c r="B4" s="1022">
        <f ca="1">IF(C4&lt;B2,"已过期",1119970066)</f>
        <v>1119970066</v>
      </c>
      <c r="C4" s="2342">
        <v>43849</v>
      </c>
      <c r="D4" s="2345" t="s">
        <v>832</v>
      </c>
      <c r="E4" s="1022">
        <f ca="1">IF(F4&lt;B2,"已过期",96010014)</f>
        <v>96010014</v>
      </c>
      <c r="F4" s="1030">
        <v>47118</v>
      </c>
    </row>
    <row r="5" spans="1:6" ht="24" customHeight="1">
      <c r="A5" s="1701" t="s">
        <v>833</v>
      </c>
      <c r="B5" s="1022">
        <f ca="1">IF(C5&lt;B2,"已过期",1119970074)</f>
        <v>1119970074</v>
      </c>
      <c r="C5" s="2342">
        <v>43849</v>
      </c>
      <c r="D5" s="2345" t="s">
        <v>833</v>
      </c>
      <c r="E5" s="1022">
        <f ca="1">IF(F5&lt;B2,"已过期",2002110027)</f>
        <v>2002110027</v>
      </c>
      <c r="F5" s="1030">
        <v>46752</v>
      </c>
    </row>
    <row r="6" spans="1:6" ht="24" customHeight="1">
      <c r="A6" s="1701" t="s">
        <v>834</v>
      </c>
      <c r="B6" s="1022">
        <f ca="1">IF(C6&lt;B2,"已过期",1119970111)</f>
        <v>1119970111</v>
      </c>
      <c r="C6" s="2342">
        <v>43849</v>
      </c>
      <c r="D6" s="2345" t="s">
        <v>834</v>
      </c>
      <c r="E6" s="1022">
        <f ca="1">IF(F6&lt;B2,"已过期",94010078)</f>
        <v>94010078</v>
      </c>
      <c r="F6" s="1030">
        <v>46387</v>
      </c>
    </row>
    <row r="7" spans="1:6" ht="24" customHeight="1">
      <c r="A7" s="1701" t="s">
        <v>835</v>
      </c>
      <c r="B7" s="1022">
        <f ca="1">IF(C7&lt;B2,"已过期",1120050019)</f>
        <v>1120050019</v>
      </c>
      <c r="C7" s="2342">
        <v>43359</v>
      </c>
      <c r="D7" s="2345" t="s">
        <v>835</v>
      </c>
      <c r="E7" s="1022">
        <f ca="1">IF(F7&lt;B2,"已过期",2002110030)</f>
        <v>2002110030</v>
      </c>
      <c r="F7" s="1030">
        <v>46387</v>
      </c>
    </row>
    <row r="8" spans="1:6" ht="24" customHeight="1">
      <c r="A8" s="1701" t="s">
        <v>836</v>
      </c>
      <c r="B8" s="1022">
        <f ca="1">IF(C8&lt;B2,"已过期",1120000080)</f>
        <v>1120000080</v>
      </c>
      <c r="C8" s="2342">
        <v>43849</v>
      </c>
      <c r="D8" s="2345" t="s">
        <v>836</v>
      </c>
      <c r="E8" s="1022">
        <f ca="1">IF(F8&lt;B2,"已过期",2000110082)</f>
        <v>2000110082</v>
      </c>
      <c r="F8" s="1030">
        <v>46387</v>
      </c>
    </row>
    <row r="9" spans="1:6" ht="24" customHeight="1">
      <c r="A9" s="1701" t="s">
        <v>837</v>
      </c>
      <c r="B9" s="1022">
        <f ca="1">IF(C9&lt;B2,"已过期",1419970001)</f>
        <v>1419970001</v>
      </c>
      <c r="C9" s="2342">
        <v>43867</v>
      </c>
      <c r="D9" s="2345" t="s">
        <v>837</v>
      </c>
      <c r="E9" s="1022">
        <f ca="1">IF(F9&lt;B2,"已过期",2002110125)</f>
        <v>2002110125</v>
      </c>
      <c r="F9" s="1030">
        <v>47118</v>
      </c>
    </row>
    <row r="10" spans="1:6" ht="24" customHeight="1">
      <c r="A10" s="1701" t="s">
        <v>838</v>
      </c>
      <c r="B10" s="1022">
        <f ca="1">IF(C10&lt;B2,"已过期",1120060040)</f>
        <v>1120060040</v>
      </c>
      <c r="C10" s="2342">
        <v>43483</v>
      </c>
      <c r="D10" s="2345" t="s">
        <v>838</v>
      </c>
      <c r="E10" s="1022">
        <f ca="1">IF(F10&lt;B2,"已过期",2004110096)</f>
        <v>2004110096</v>
      </c>
      <c r="F10" s="1030">
        <v>47118</v>
      </c>
    </row>
    <row r="11" spans="1:6" ht="24" customHeight="1">
      <c r="A11" s="1701" t="s">
        <v>839</v>
      </c>
      <c r="B11" s="1022">
        <f ca="1">IF(C11&lt;B2,"已过期",1120100036)</f>
        <v>1120100036</v>
      </c>
      <c r="C11" s="2342">
        <v>43622</v>
      </c>
      <c r="D11" s="2345" t="s">
        <v>839</v>
      </c>
      <c r="E11" s="1022">
        <f ca="1">IF(F11&lt;B2,"已过期",2010110070)</f>
        <v>2010110070</v>
      </c>
      <c r="F11" s="1030">
        <v>47907</v>
      </c>
    </row>
    <row r="12" spans="1:6" ht="24" customHeight="1">
      <c r="A12" s="1701"/>
      <c r="B12" s="1022"/>
      <c r="C12" s="2342"/>
      <c r="D12" s="2345"/>
      <c r="E12" s="1022"/>
      <c r="F12" s="1022"/>
    </row>
    <row r="13" spans="1:6" ht="24" customHeight="1">
      <c r="A13" s="1701" t="s">
        <v>840</v>
      </c>
      <c r="B13" s="1022">
        <f ca="1">IF(C13&lt;B2,"已过期",1120070131)</f>
        <v>1120070131</v>
      </c>
      <c r="C13" s="2342">
        <v>43814</v>
      </c>
      <c r="D13" s="2345" t="s">
        <v>840</v>
      </c>
      <c r="E13" s="1022">
        <v>2014110011</v>
      </c>
      <c r="F13" s="1030">
        <v>49302</v>
      </c>
    </row>
    <row r="14" spans="1:6" ht="24" customHeight="1">
      <c r="A14" s="1701" t="s">
        <v>841</v>
      </c>
      <c r="B14" s="1022">
        <f ca="1">IF(C14&lt;B2,"已过期",1120130020)</f>
        <v>1120130020</v>
      </c>
      <c r="C14" s="2342">
        <v>43622</v>
      </c>
      <c r="D14" s="2345"/>
      <c r="E14" s="1022"/>
      <c r="F14" s="1022"/>
    </row>
    <row r="15" spans="1:6" ht="24" customHeight="1">
      <c r="A15" s="1702" t="s">
        <v>1149</v>
      </c>
      <c r="B15" s="1022">
        <v>1120070085</v>
      </c>
      <c r="C15" s="2342">
        <v>43814</v>
      </c>
      <c r="D15" s="2346" t="s">
        <v>1149</v>
      </c>
      <c r="E15" s="1022">
        <v>2004110128</v>
      </c>
      <c r="F15" s="1023">
        <v>47118</v>
      </c>
    </row>
    <row r="16" spans="1:6" ht="24" customHeight="1">
      <c r="A16" s="1701" t="s">
        <v>842</v>
      </c>
      <c r="B16" s="1022">
        <f ca="1">IF(C16&lt;B2,"已过期",1120140022)</f>
        <v>1120140022</v>
      </c>
      <c r="C16" s="2342">
        <v>44029</v>
      </c>
      <c r="D16" s="2345" t="s">
        <v>842</v>
      </c>
      <c r="E16" s="1022">
        <f ca="1">IF(F16&lt;B2,"已过期",2008110059)</f>
        <v>2008110059</v>
      </c>
      <c r="F16" s="1030">
        <v>47177</v>
      </c>
    </row>
    <row r="17" spans="1:7" ht="24" customHeight="1">
      <c r="A17" s="1701"/>
      <c r="B17" s="1022"/>
      <c r="C17" s="2342"/>
      <c r="D17" s="2345"/>
      <c r="E17" s="1022"/>
      <c r="F17" s="1030"/>
    </row>
    <row r="18" spans="1:7" ht="24" customHeight="1">
      <c r="A18" s="1701"/>
      <c r="B18" s="1022"/>
      <c r="C18" s="2342"/>
      <c r="D18" s="2345"/>
      <c r="E18" s="1022"/>
      <c r="F18" s="1030"/>
    </row>
    <row r="19" spans="1:7" ht="24" customHeight="1">
      <c r="A19" s="1701"/>
      <c r="B19" s="1022"/>
      <c r="C19" s="2342"/>
      <c r="D19" s="2345"/>
      <c r="E19" s="1022"/>
      <c r="F19" s="1022"/>
    </row>
    <row r="20" spans="1:7" ht="24" customHeight="1">
      <c r="A20" s="1701"/>
      <c r="B20" s="1022"/>
      <c r="C20" s="2342"/>
      <c r="D20" s="2345"/>
      <c r="E20" s="1022"/>
      <c r="F20" s="1022"/>
    </row>
    <row r="21" spans="1:7" ht="24" customHeight="1">
      <c r="A21" s="1701"/>
      <c r="B21" s="1022"/>
      <c r="C21" s="2342"/>
      <c r="D21" s="2345" t="s">
        <v>843</v>
      </c>
      <c r="E21" s="1022">
        <f ca="1">IF(F21&lt;B2,"已过期",2011110090)</f>
        <v>2011110090</v>
      </c>
      <c r="F21" s="1030">
        <v>48302</v>
      </c>
    </row>
    <row r="22" spans="1:7" ht="24" customHeight="1">
      <c r="A22" s="1701" t="s">
        <v>844</v>
      </c>
      <c r="B22" s="1022">
        <f ca="1">IF(C22&lt;B2,"已过期",1120020033)</f>
        <v>1120020033</v>
      </c>
      <c r="C22" s="2342">
        <v>43304</v>
      </c>
      <c r="D22" s="2345" t="s">
        <v>844</v>
      </c>
      <c r="E22" s="1022">
        <f ca="1">IF(F22&lt;B2,"已过期",2000110137)</f>
        <v>2000110137</v>
      </c>
      <c r="F22" s="1030">
        <v>46387</v>
      </c>
    </row>
    <row r="23" spans="1:7" ht="24" customHeight="1">
      <c r="A23" s="1701" t="s">
        <v>845</v>
      </c>
      <c r="B23" s="1022">
        <f ca="1">IF(C23&lt;B2,"已过期",1120130048)</f>
        <v>1120130048</v>
      </c>
      <c r="C23" s="2342">
        <v>43686</v>
      </c>
      <c r="D23" s="2345"/>
      <c r="E23" s="1022"/>
      <c r="F23" s="1022"/>
    </row>
    <row r="24" spans="1:7" s="1024" customFormat="1" ht="24" customHeight="1">
      <c r="A24" s="1702" t="s">
        <v>1334</v>
      </c>
      <c r="B24" s="1702" t="s">
        <v>1334</v>
      </c>
      <c r="C24" s="2343" t="s">
        <v>1334</v>
      </c>
      <c r="D24" s="2346" t="s">
        <v>1334</v>
      </c>
      <c r="E24" s="1702" t="s">
        <v>1334</v>
      </c>
      <c r="F24" s="1702" t="s">
        <v>1334</v>
      </c>
    </row>
    <row r="25" spans="1:7" ht="24" customHeight="1">
      <c r="A25" s="3019" t="s">
        <v>846</v>
      </c>
      <c r="B25" s="3019"/>
      <c r="C25" s="3019"/>
      <c r="D25" s="3019"/>
      <c r="E25" s="3019"/>
      <c r="F25" s="3019"/>
      <c r="G25" s="3019"/>
    </row>
    <row r="26" spans="1:7" s="1025" customFormat="1" ht="24" customHeight="1">
      <c r="A26" s="3020" t="s">
        <v>847</v>
      </c>
      <c r="B26" s="3020"/>
      <c r="C26" s="3021"/>
      <c r="D26" s="3022" t="s">
        <v>848</v>
      </c>
      <c r="E26" s="3020"/>
      <c r="F26" s="3020"/>
    </row>
    <row r="27" spans="1:7" s="1027" customFormat="1" ht="24" customHeight="1">
      <c r="A27" s="1026" t="s">
        <v>849</v>
      </c>
      <c r="B27" s="1021" t="s">
        <v>850</v>
      </c>
      <c r="C27" s="2341" t="s">
        <v>851</v>
      </c>
      <c r="D27" s="2349" t="s">
        <v>849</v>
      </c>
      <c r="E27" s="1021" t="s">
        <v>850</v>
      </c>
      <c r="F27" s="1021" t="s">
        <v>851</v>
      </c>
    </row>
    <row r="28" spans="1:7" s="1027" customFormat="1" ht="24" customHeight="1">
      <c r="A28" s="1028" t="s">
        <v>852</v>
      </c>
      <c r="B28" s="1029" t="s">
        <v>853</v>
      </c>
      <c r="C28" s="2347">
        <v>43725</v>
      </c>
      <c r="D28" s="2350" t="s">
        <v>854</v>
      </c>
      <c r="E28" s="1028" t="s">
        <v>855</v>
      </c>
      <c r="F28" s="1058">
        <v>44377</v>
      </c>
    </row>
    <row r="29" spans="1:7" s="1027" customFormat="1" ht="24" customHeight="1">
      <c r="A29" s="1028"/>
      <c r="B29" s="1028"/>
      <c r="C29" s="2348"/>
      <c r="D29" s="2350"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0" priority="55">
      <formula>AND($C28-TODAY()&lt;30,TODAY()&lt;$C28)</formula>
    </cfRule>
  </conditionalFormatting>
  <conditionalFormatting sqref="C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F28">
    <cfRule type="expression" dxfId="174" priority="12">
      <formula>AND($E28-TODAY()&lt;30,TODAY()&lt;$E28)</formula>
    </cfRule>
  </conditionalFormatting>
  <conditionalFormatting sqref="F28">
    <cfRule type="cellIs" dxfId="173" priority="13" stopIfTrue="1" operator="lessThan">
      <formula>$B$2</formula>
    </cfRule>
  </conditionalFormatting>
  <conditionalFormatting sqref="F29">
    <cfRule type="expression" dxfId="172" priority="8" stopIfTrue="1">
      <formula>AND($E29-TODAY()&lt;30,TODAY()&lt;$E29)</formula>
    </cfRule>
  </conditionalFormatting>
  <conditionalFormatting sqref="F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 (底商)</vt:lpstr>
      <vt:lpstr>收益法</vt:lpstr>
      <vt:lpstr>比较法-住宅 (2)</vt:lpstr>
      <vt:lpstr>比较法-住宅</vt:lpstr>
      <vt:lpstr>成本法 (元)</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估价师及机构信息!Print_Area</vt:lpstr>
      <vt:lpstr>收益法!Print_Area</vt:lpstr>
      <vt:lpstr>'收益法 (底商)'!Print_Area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2017-03-01T09:15:43Z</cp:lastPrinted>
  <dcterms:created xsi:type="dcterms:W3CDTF">2015-07-13T07:17:23Z</dcterms:created>
  <dcterms:modified xsi:type="dcterms:W3CDTF">2017-11-21T07:51:44Z</dcterms:modified>
</cp:coreProperties>
</file>