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指标"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土地案例" sheetId="71" r:id="rId30"/>
    <sheet name="剩余法-待开发" sheetId="12" r:id="rId31"/>
    <sheet name="不动产收益法" sheetId="15"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 name="案例" sheetId="70" r:id="rId43"/>
    <sheet name="外挂费" sheetId="69" r:id="rId44"/>
  </sheets>
  <externalReferences>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29" hidden="1">土地案例!$A$1:$WVV$1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23" i="6" l="1"/>
  <c r="I7" i="39" l="1"/>
  <c r="G7" i="39"/>
  <c r="F23" i="6" l="1"/>
  <c r="I13" i="3"/>
  <c r="C6" i="69" l="1"/>
  <c r="D6" i="69"/>
  <c r="B9" i="69"/>
  <c r="C7" i="69"/>
  <c r="B7" i="69"/>
  <c r="I40" i="39" l="1"/>
  <c r="I48" i="39"/>
  <c r="G48" i="39"/>
  <c r="G40" i="39"/>
  <c r="G9" i="39"/>
  <c r="I9" i="39" s="1"/>
  <c r="E40" i="39"/>
  <c r="E48" i="39"/>
  <c r="E9" i="39"/>
  <c r="I6" i="35" l="1"/>
  <c r="I5" i="35"/>
  <c r="E15" i="35"/>
  <c r="C21" i="35"/>
  <c r="C19" i="35"/>
  <c r="C17" i="35"/>
  <c r="C15" i="35"/>
  <c r="G34" i="34"/>
  <c r="E34" i="34"/>
  <c r="K23" i="34"/>
  <c r="K21" i="34"/>
  <c r="K19" i="34"/>
  <c r="K17" i="34"/>
  <c r="C117" i="34"/>
  <c r="D115" i="34"/>
  <c r="C115" i="34"/>
  <c r="C108" i="34"/>
  <c r="C106" i="34"/>
  <c r="C11" i="34"/>
  <c r="C40" i="39" l="1"/>
  <c r="B6" i="69"/>
  <c r="F9" i="12"/>
  <c r="G22" i="6"/>
  <c r="F21" i="6"/>
  <c r="C22" i="6"/>
  <c r="C21" i="6"/>
  <c r="O13" i="3"/>
  <c r="AF13" i="3"/>
  <c r="AL13" i="3"/>
  <c r="AD13" i="3"/>
  <c r="K13" i="3"/>
  <c r="F59" i="68"/>
  <c r="F44" i="68"/>
  <c r="F66" i="68"/>
  <c r="F58" i="68"/>
  <c r="F65" i="68"/>
  <c r="F49" i="68"/>
  <c r="F50" i="68"/>
  <c r="F51" i="68"/>
  <c r="F52" i="68"/>
  <c r="F53" i="68"/>
  <c r="F54" i="68"/>
  <c r="F48" i="68"/>
  <c r="F64" i="68"/>
  <c r="F62" i="68"/>
  <c r="I63" i="68"/>
  <c r="F63" i="68"/>
  <c r="I61" i="68"/>
  <c r="F61" i="68"/>
  <c r="I60" i="68"/>
  <c r="F60" i="68"/>
  <c r="F57" i="68"/>
  <c r="F56" i="68"/>
  <c r="F55" i="68"/>
  <c r="I52" i="68"/>
  <c r="I49" i="68"/>
  <c r="F45" i="68"/>
  <c r="G27" i="68"/>
  <c r="G37" i="68"/>
  <c r="G26" i="68"/>
  <c r="G36" i="68"/>
  <c r="G35" i="68"/>
  <c r="G34" i="68"/>
  <c r="G33" i="68"/>
  <c r="G32" i="68"/>
  <c r="G28" i="68"/>
  <c r="G30" i="68"/>
  <c r="G25" i="68"/>
  <c r="G24" i="68"/>
  <c r="G23" i="68"/>
  <c r="G22" i="68"/>
  <c r="G21" i="68"/>
  <c r="G12" i="68"/>
  <c r="F12" i="68"/>
  <c r="G11" i="68"/>
  <c r="G10" i="68"/>
  <c r="G8" i="68"/>
  <c r="G9" i="68"/>
  <c r="G7" i="68"/>
  <c r="G6" i="68"/>
  <c r="J10" i="68"/>
  <c r="J7" i="68"/>
  <c r="G5" i="68"/>
  <c r="F20" i="6"/>
  <c r="F19" i="6"/>
  <c r="C20" i="6"/>
  <c r="C19" i="6"/>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B2" i="1"/>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G2" i="46"/>
  <c r="C6" i="46"/>
  <c r="G17" i="46"/>
  <c r="H17" i="46"/>
  <c r="I17" i="46"/>
  <c r="J17" i="46"/>
  <c r="C17" i="46"/>
  <c r="C16" i="46"/>
  <c r="C5" i="46"/>
  <c r="G20" i="46"/>
  <c r="J20" i="46"/>
  <c r="I20" i="46"/>
  <c r="C20" i="46" s="1"/>
  <c r="C24" i="46"/>
  <c r="F39" i="46"/>
  <c r="F38" i="46"/>
  <c r="F37" i="46"/>
  <c r="D5" i="46"/>
  <c r="F36" i="46"/>
  <c r="F35" i="46"/>
  <c r="F34" i="46"/>
  <c r="A6" i="1"/>
  <c r="A7" i="1"/>
  <c r="G1" i="15" s="1"/>
  <c r="A8" i="1"/>
  <c r="A9" i="1"/>
  <c r="D19" i="4"/>
  <c r="F6" i="1"/>
  <c r="F8" i="1"/>
  <c r="F10" i="1"/>
  <c r="AP10" i="1" s="1"/>
  <c r="J50" i="15"/>
  <c r="J51" i="15" s="1"/>
  <c r="M47" i="15"/>
  <c r="M48" i="44"/>
  <c r="J51" i="44"/>
  <c r="J52" i="44"/>
  <c r="C1" i="65"/>
  <c r="H1" i="65"/>
  <c r="C18" i="46"/>
  <c r="AD5" i="3"/>
  <c r="AH5" i="3"/>
  <c r="AL5" i="3"/>
  <c r="AP5" i="3"/>
  <c r="I5" i="3"/>
  <c r="K5" i="3"/>
  <c r="M5" i="3"/>
  <c r="F33"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8" i="46"/>
  <c r="F15" i="46"/>
  <c r="F47" i="46"/>
  <c r="F58" i="46"/>
  <c r="F69" i="46"/>
  <c r="F80" i="46"/>
  <c r="F99" i="46"/>
  <c r="F100" i="46"/>
  <c r="F108" i="46"/>
  <c r="F113" i="46"/>
  <c r="H33" i="46"/>
  <c r="D1" i="46"/>
  <c r="C9" i="46"/>
  <c r="C7" i="46"/>
  <c r="C15" i="46"/>
  <c r="D15" i="46"/>
  <c r="C12" i="46"/>
  <c r="C99" i="46"/>
  <c r="C100" i="46"/>
  <c r="C108" i="46"/>
  <c r="D99" i="46"/>
  <c r="D100" i="46"/>
  <c r="D108" i="46"/>
  <c r="H113" i="46"/>
  <c r="AH7" i="59"/>
  <c r="AG7" i="59"/>
  <c r="AE7" i="59"/>
  <c r="AF7" i="59"/>
  <c r="AD7"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s="1"/>
  <c r="E3" i="6"/>
  <c r="D16" i="12" s="1"/>
  <c r="C16" i="12" s="1"/>
  <c r="AE8" i="59"/>
  <c r="AF8" i="59"/>
  <c r="AG8" i="59"/>
  <c r="AH8" i="59"/>
  <c r="AD8" i="59"/>
  <c r="AB7" i="59"/>
  <c r="AA7" i="59"/>
  <c r="Y7" i="59"/>
  <c r="Z7" i="59"/>
  <c r="X7" i="59"/>
  <c r="L4" i="9"/>
  <c r="M4" i="9"/>
  <c r="A30" i="64"/>
  <c r="A30" i="51"/>
  <c r="K59" i="15"/>
  <c r="P62" i="15" s="1"/>
  <c r="Q74" i="44"/>
  <c r="Q61" i="44"/>
  <c r="Q60" i="44"/>
  <c r="Q53" i="44"/>
  <c r="A16" i="55"/>
  <c r="A15" i="55"/>
  <c r="A14" i="55"/>
  <c r="L24" i="4"/>
  <c r="L25" i="4"/>
  <c r="A11" i="55"/>
  <c r="A10" i="55"/>
  <c r="A9" i="55"/>
  <c r="A8" i="55"/>
  <c r="A6" i="54"/>
  <c r="A8" i="54"/>
  <c r="A7" i="54"/>
  <c r="C57" i="10"/>
  <c r="A28" i="51"/>
  <c r="A27" i="51"/>
  <c r="AB8" i="59"/>
  <c r="Y8" i="59"/>
  <c r="Z8" i="59"/>
  <c r="X8" i="59"/>
  <c r="AA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1" i="65"/>
  <c r="T8"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C18" i="35"/>
  <c r="D68" i="35"/>
  <c r="F18" i="35" s="1"/>
  <c r="AA18" i="35" s="1"/>
  <c r="Q21" i="37"/>
  <c r="Z21" i="37"/>
  <c r="F21" i="37"/>
  <c r="AA21" i="37"/>
  <c r="C21" i="37"/>
  <c r="D77" i="37"/>
  <c r="E77" i="37"/>
  <c r="F77" i="37"/>
  <c r="G77" i="37"/>
  <c r="Q21" i="34"/>
  <c r="Z21" i="34"/>
  <c r="C21" i="34"/>
  <c r="D84" i="34"/>
  <c r="F21" i="34"/>
  <c r="AA21" i="34" s="1"/>
  <c r="Q21" i="33"/>
  <c r="Z21" i="33"/>
  <c r="C21" i="33"/>
  <c r="D83" i="33"/>
  <c r="E83" i="33"/>
  <c r="F83" i="33"/>
  <c r="G83" i="33"/>
  <c r="Q21" i="21"/>
  <c r="Z21" i="21"/>
  <c r="D83" i="21"/>
  <c r="E83" i="21"/>
  <c r="F21" i="21"/>
  <c r="AA21" i="21"/>
  <c r="C21" i="21"/>
  <c r="Q27" i="40"/>
  <c r="Z27" i="40"/>
  <c r="D96" i="40"/>
  <c r="E96" i="40"/>
  <c r="F27" i="40"/>
  <c r="AA27" i="40"/>
  <c r="Q31" i="39"/>
  <c r="Z31" i="39"/>
  <c r="D105" i="39"/>
  <c r="E105" i="39" s="1"/>
  <c r="F105" i="39" s="1"/>
  <c r="G105" i="39" s="1"/>
  <c r="F31" i="39"/>
  <c r="AA31" i="39" s="1"/>
  <c r="G20" i="20"/>
  <c r="B85" i="46"/>
  <c r="C22" i="20"/>
  <c r="B65" i="46"/>
  <c r="S18" i="36"/>
  <c r="S21" i="37"/>
  <c r="S21" i="21"/>
  <c r="S27" i="40"/>
  <c r="S31" i="39"/>
  <c r="C27" i="40"/>
  <c r="C31" i="39"/>
  <c r="B54" i="46"/>
  <c r="B74" i="46"/>
  <c r="E66" i="36"/>
  <c r="H18" i="35"/>
  <c r="H21" i="37"/>
  <c r="J21" i="37"/>
  <c r="E84" i="34"/>
  <c r="F84" i="34" s="1"/>
  <c r="G84" i="34" s="1"/>
  <c r="J21" i="34"/>
  <c r="H21" i="34"/>
  <c r="F21" i="33"/>
  <c r="H21" i="33"/>
  <c r="J21" i="33"/>
  <c r="F83" i="21"/>
  <c r="H21" i="21"/>
  <c r="G83" i="21"/>
  <c r="J21" i="21"/>
  <c r="F96" i="40"/>
  <c r="H27" i="40"/>
  <c r="H31" i="39"/>
  <c r="F23" i="15"/>
  <c r="D22" i="15" s="1"/>
  <c r="G17" i="11"/>
  <c r="D23" i="15"/>
  <c r="F15" i="15"/>
  <c r="F17" i="15"/>
  <c r="F18" i="15"/>
  <c r="F20" i="15"/>
  <c r="F21" i="15"/>
  <c r="F33" i="15"/>
  <c r="F60" i="15" s="1"/>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D10" i="1"/>
  <c r="G10" i="1" s="1"/>
  <c r="C42" i="1"/>
  <c r="A12" i="1"/>
  <c r="R12" i="1"/>
  <c r="A13" i="1"/>
  <c r="B13" i="1"/>
  <c r="E13" i="1"/>
  <c r="A10" i="1"/>
  <c r="G1" i="44" s="1"/>
  <c r="A11" i="1"/>
  <c r="T4" i="1"/>
  <c r="K12" i="1"/>
  <c r="M12" i="1" s="1"/>
  <c r="O12" i="1" s="1"/>
  <c r="K13" i="1"/>
  <c r="M13" i="1" s="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A2" i="55"/>
  <c r="B55" i="63"/>
  <c r="N3" i="54"/>
  <c r="B42" i="63"/>
  <c r="A2" i="9"/>
  <c r="T16" i="4"/>
  <c r="D14" i="4"/>
  <c r="G36" i="4"/>
  <c r="K2" i="54"/>
  <c r="B23" i="63"/>
  <c r="A3" i="51"/>
  <c r="R41" i="4"/>
  <c r="Q41" i="4"/>
  <c r="P41" i="4"/>
  <c r="O41" i="4"/>
  <c r="N41" i="4"/>
  <c r="M41" i="4"/>
  <c r="L41" i="4"/>
  <c r="K40" i="4"/>
  <c r="T40" i="4"/>
  <c r="F23" i="4"/>
  <c r="I19" i="4"/>
  <c r="H19" i="4"/>
  <c r="G19" i="4"/>
  <c r="F9" i="1"/>
  <c r="F19" i="4"/>
  <c r="E19" i="4"/>
  <c r="F7" i="1"/>
  <c r="B2" i="52"/>
  <c r="E22" i="52" s="1"/>
  <c r="I2" i="46"/>
  <c r="N12" i="46"/>
  <c r="A7" i="46"/>
  <c r="F41" i="4"/>
  <c r="J52" i="40"/>
  <c r="H61" i="49"/>
  <c r="H39" i="46"/>
  <c r="H38" i="46"/>
  <c r="H37" i="46"/>
  <c r="H36" i="46"/>
  <c r="H35" i="46"/>
  <c r="H34" i="46"/>
  <c r="E19" i="6"/>
  <c r="C9" i="12" s="1"/>
  <c r="E32" i="6"/>
  <c r="L19" i="6" s="1"/>
  <c r="E20" i="6"/>
  <c r="E21" i="6"/>
  <c r="K8" i="1"/>
  <c r="M8" i="1" s="1"/>
  <c r="O8" i="1" s="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2" i="1"/>
  <c r="C2" i="65" s="1"/>
  <c r="I1" i="65" s="1"/>
  <c r="B23" i="1"/>
  <c r="BC11" i="3"/>
  <c r="BD11" i="3"/>
  <c r="C11" i="11"/>
  <c r="C10" i="11" s="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2" i="37" s="1"/>
  <c r="D3" i="34"/>
  <c r="D3" i="33"/>
  <c r="B2" i="33" s="1"/>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s="1"/>
  <c r="G55" i="34"/>
  <c r="H55" i="34" s="1"/>
  <c r="E55" i="34"/>
  <c r="F55" i="34" s="1"/>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c r="G54" i="33"/>
  <c r="E54" i="33"/>
  <c r="F54" i="33"/>
  <c r="H9" i="12"/>
  <c r="I9" i="12"/>
  <c r="J9" i="12"/>
  <c r="K9" i="12"/>
  <c r="G111" i="21"/>
  <c r="H111" i="21"/>
  <c r="B112" i="39"/>
  <c r="B114" i="39"/>
  <c r="F38" i="39"/>
  <c r="AA38" i="39"/>
  <c r="J30" i="36"/>
  <c r="H30" i="36"/>
  <c r="U30" i="36"/>
  <c r="F30" i="36"/>
  <c r="AA30" i="36"/>
  <c r="C26" i="35"/>
  <c r="C79" i="35" s="1"/>
  <c r="J31" i="35"/>
  <c r="H31" i="35"/>
  <c r="F31" i="35"/>
  <c r="D87" i="35"/>
  <c r="E87" i="35" s="1"/>
  <c r="F87" i="35" s="1"/>
  <c r="G87" i="35" s="1"/>
  <c r="H34" i="37"/>
  <c r="AB34" i="37"/>
  <c r="D101" i="37"/>
  <c r="F34" i="37"/>
  <c r="D99" i="37"/>
  <c r="E99" i="37"/>
  <c r="H42" i="34"/>
  <c r="J42" i="34"/>
  <c r="W42" i="34" s="1"/>
  <c r="F42" i="34"/>
  <c r="J38" i="34"/>
  <c r="D114" i="34"/>
  <c r="F38" i="34"/>
  <c r="D112" i="34"/>
  <c r="E112" i="34" s="1"/>
  <c r="F112" i="34" s="1"/>
  <c r="G112" i="34" s="1"/>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s="1"/>
  <c r="F109" i="39" s="1"/>
  <c r="G109" i="39" s="1"/>
  <c r="H109" i="39" s="1"/>
  <c r="I109" i="39" s="1"/>
  <c r="J109" i="39" s="1"/>
  <c r="K109" i="39" s="1"/>
  <c r="L109" i="39" s="1"/>
  <c r="M109" i="39" s="1"/>
  <c r="D107" i="39"/>
  <c r="E107" i="39" s="1"/>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D66" i="35"/>
  <c r="E66" i="35" s="1"/>
  <c r="D64" i="35"/>
  <c r="E64" i="35" s="1"/>
  <c r="F56" i="35"/>
  <c r="G56" i="35" s="1"/>
  <c r="H56" i="35" s="1"/>
  <c r="I56" i="35" s="1"/>
  <c r="C53" i="35"/>
  <c r="H9" i="35"/>
  <c r="AB9" i="35" s="1"/>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c r="F126" i="34"/>
  <c r="G126" i="34"/>
  <c r="D124" i="34"/>
  <c r="E124" i="34" s="1"/>
  <c r="F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F28" i="34"/>
  <c r="S28" i="34"/>
  <c r="B89" i="34"/>
  <c r="J27" i="34"/>
  <c r="D88" i="34"/>
  <c r="E88" i="34"/>
  <c r="F88" i="34" s="1"/>
  <c r="G88" i="34" s="1"/>
  <c r="H88" i="34" s="1"/>
  <c r="I88" i="34" s="1"/>
  <c r="J88" i="34" s="1"/>
  <c r="K88" i="34" s="1"/>
  <c r="L88" i="34" s="1"/>
  <c r="M88" i="34" s="1"/>
  <c r="D86" i="34"/>
  <c r="E86" i="34" s="1"/>
  <c r="D82" i="34"/>
  <c r="E82" i="34" s="1"/>
  <c r="F82" i="34" s="1"/>
  <c r="G82" i="34" s="1"/>
  <c r="D80" i="34"/>
  <c r="D78" i="34"/>
  <c r="D70" i="34"/>
  <c r="E70" i="34" s="1"/>
  <c r="F70" i="34" s="1"/>
  <c r="G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s="1"/>
  <c r="Q42" i="34"/>
  <c r="Z42" i="34"/>
  <c r="Q41" i="34"/>
  <c r="Z41" i="34"/>
  <c r="Q40" i="34"/>
  <c r="Z40" i="34"/>
  <c r="F40" i="34"/>
  <c r="S40" i="34" s="1"/>
  <c r="Q39" i="34"/>
  <c r="Z39" i="34"/>
  <c r="J39" i="34"/>
  <c r="AC39" i="34" s="1"/>
  <c r="H39" i="34"/>
  <c r="U39" i="34" s="1"/>
  <c r="F39" i="34"/>
  <c r="AA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s="1"/>
  <c r="Q9" i="34"/>
  <c r="Z9" i="34"/>
  <c r="J9" i="34"/>
  <c r="AC9" i="34" s="1"/>
  <c r="H9" i="34"/>
  <c r="AB9" i="34" s="1"/>
  <c r="F9" i="34"/>
  <c r="AA9" i="34" s="1"/>
  <c r="J8" i="34"/>
  <c r="AC8" i="34"/>
  <c r="H8" i="34"/>
  <c r="U8" i="34" s="1"/>
  <c r="F8" i="34"/>
  <c r="AA8" i="34" s="1"/>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s="1"/>
  <c r="G54" i="21"/>
  <c r="H54" i="21" s="1"/>
  <c r="D125" i="21"/>
  <c r="E125" i="21"/>
  <c r="D123" i="21"/>
  <c r="E123" i="21" s="1"/>
  <c r="F123" i="21" s="1"/>
  <c r="H42" i="21"/>
  <c r="AB42" i="21" s="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s="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D66" i="21"/>
  <c r="E66" i="21"/>
  <c r="F66" i="21"/>
  <c r="G66" i="21"/>
  <c r="H66" i="21"/>
  <c r="I66" i="2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s="1"/>
  <c r="Q17" i="21"/>
  <c r="Z17" i="21" s="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c r="E13" i="11"/>
  <c r="E12" i="11"/>
  <c r="BB12" i="3"/>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N5" i="3"/>
  <c r="O5" i="3"/>
  <c r="P5" i="3"/>
  <c r="Q5" i="3"/>
  <c r="I4" i="6" s="1"/>
  <c r="G3" i="46" s="1"/>
  <c r="AI11" i="46" s="1"/>
  <c r="AI13" i="46" s="1"/>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s="1"/>
  <c r="H35" i="21"/>
  <c r="AB35" i="21"/>
  <c r="J8" i="21"/>
  <c r="AC8" i="21"/>
  <c r="J9" i="21"/>
  <c r="AC9" i="21"/>
  <c r="H8" i="21"/>
  <c r="H9" i="21"/>
  <c r="AB9" i="21"/>
  <c r="H10" i="21"/>
  <c r="U10" i="21"/>
  <c r="H39" i="21"/>
  <c r="AB39" i="21"/>
  <c r="J34" i="21"/>
  <c r="W34" i="21"/>
  <c r="H36" i="21"/>
  <c r="U36" i="21"/>
  <c r="F35" i="21"/>
  <c r="AA35" i="21"/>
  <c r="J10" i="21"/>
  <c r="AC10" i="21"/>
  <c r="H26" i="21"/>
  <c r="F19" i="21"/>
  <c r="AA19" i="21" s="1"/>
  <c r="H19" i="21"/>
  <c r="AB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s="1"/>
  <c r="H39" i="33"/>
  <c r="AB39" i="33"/>
  <c r="F26" i="33"/>
  <c r="AA26" i="33"/>
  <c r="U9" i="33"/>
  <c r="U33" i="33"/>
  <c r="W38" i="33"/>
  <c r="S40" i="33"/>
  <c r="S33" i="33"/>
  <c r="W33" i="33"/>
  <c r="U38" i="33"/>
  <c r="S8" i="21"/>
  <c r="W8" i="21"/>
  <c r="H39" i="37"/>
  <c r="AB39" i="37"/>
  <c r="AB27" i="35"/>
  <c r="S10" i="40"/>
  <c r="W10" i="40"/>
  <c r="S11" i="40"/>
  <c r="U11" i="40"/>
  <c r="S36" i="40"/>
  <c r="U36" i="40"/>
  <c r="S40" i="39"/>
  <c r="S36" i="39"/>
  <c r="AA38" i="21"/>
  <c r="AB36" i="21"/>
  <c r="AC35" i="21"/>
  <c r="C29" i="39"/>
  <c r="C23" i="39"/>
  <c r="U36" i="39"/>
  <c r="H32" i="33"/>
  <c r="AB32" i="33"/>
  <c r="F100" i="40"/>
  <c r="F86" i="40"/>
  <c r="AA12" i="33"/>
  <c r="U9" i="21"/>
  <c r="J27" i="36"/>
  <c r="W27" i="36"/>
  <c r="J34" i="36"/>
  <c r="W34" i="36"/>
  <c r="J30" i="35"/>
  <c r="W30" i="35" s="1"/>
  <c r="F22" i="35"/>
  <c r="AA22" i="35"/>
  <c r="H10" i="35"/>
  <c r="U10" i="35" s="1"/>
  <c r="AC24" i="36"/>
  <c r="U29" i="36"/>
  <c r="U24" i="36"/>
  <c r="E85" i="36"/>
  <c r="F85" i="36"/>
  <c r="G85" i="36"/>
  <c r="H85" i="36"/>
  <c r="I85" i="36"/>
  <c r="J85" i="36"/>
  <c r="K85" i="36"/>
  <c r="L85" i="36"/>
  <c r="M85" i="36"/>
  <c r="J29" i="36"/>
  <c r="AC29" i="36"/>
  <c r="F12" i="36"/>
  <c r="S12" i="36"/>
  <c r="F24" i="36"/>
  <c r="AA24" i="36"/>
  <c r="F34" i="36"/>
  <c r="S34" i="36"/>
  <c r="S10" i="36"/>
  <c r="AB8" i="36"/>
  <c r="H16" i="35"/>
  <c r="U16" i="35" s="1"/>
  <c r="H33" i="35"/>
  <c r="AB33" i="35" s="1"/>
  <c r="W8" i="35"/>
  <c r="AC8" i="35"/>
  <c r="F35" i="37"/>
  <c r="E101" i="37"/>
  <c r="F101" i="37"/>
  <c r="G101" i="37"/>
  <c r="H101" i="37"/>
  <c r="I101" i="37"/>
  <c r="J101" i="37"/>
  <c r="K101" i="37"/>
  <c r="L101" i="37"/>
  <c r="M101" i="37"/>
  <c r="J34" i="37"/>
  <c r="W34" i="37"/>
  <c r="AA39" i="37"/>
  <c r="U42" i="34"/>
  <c r="E114" i="34"/>
  <c r="H36" i="34"/>
  <c r="U36" i="34" s="1"/>
  <c r="F33" i="34"/>
  <c r="S33" i="34" s="1"/>
  <c r="AA28" i="34"/>
  <c r="F19" i="34"/>
  <c r="AA19" i="34" s="1"/>
  <c r="J10" i="34"/>
  <c r="AC10" i="34" s="1"/>
  <c r="W8" i="34"/>
  <c r="J28" i="34"/>
  <c r="W28" i="34"/>
  <c r="S38" i="33"/>
  <c r="E113" i="33"/>
  <c r="F36" i="33"/>
  <c r="S36" i="33"/>
  <c r="F19" i="33"/>
  <c r="S19" i="33"/>
  <c r="J19" i="33"/>
  <c r="S10" i="21"/>
  <c r="W40" i="33"/>
  <c r="F125" i="21"/>
  <c r="G125" i="21"/>
  <c r="G86" i="40"/>
  <c r="AB30" i="36"/>
  <c r="AC34" i="36"/>
  <c r="S22" i="35"/>
  <c r="U34" i="37"/>
  <c r="S34" i="37"/>
  <c r="AA34" i="37"/>
  <c r="AC43" i="34"/>
  <c r="AB42" i="34"/>
  <c r="W36" i="34"/>
  <c r="J19" i="34"/>
  <c r="AC19" i="34" s="1"/>
  <c r="F113" i="33"/>
  <c r="G113" i="33"/>
  <c r="H113" i="33"/>
  <c r="I113" i="33"/>
  <c r="J113" i="33"/>
  <c r="K113" i="33"/>
  <c r="L113" i="33"/>
  <c r="M113" i="33"/>
  <c r="H37" i="33"/>
  <c r="AB37" i="33"/>
  <c r="S37" i="33"/>
  <c r="W43" i="34"/>
  <c r="AA42" i="34"/>
  <c r="S42" i="34"/>
  <c r="AC38" i="34"/>
  <c r="W38" i="34"/>
  <c r="AA38" i="34"/>
  <c r="S38" i="34"/>
  <c r="J37" i="33"/>
  <c r="W37" i="33"/>
  <c r="J44" i="34"/>
  <c r="AC44" i="34"/>
  <c r="F44" i="34"/>
  <c r="S44" i="34"/>
  <c r="J10" i="35"/>
  <c r="W10" i="35" s="1"/>
  <c r="J14" i="21"/>
  <c r="F14" i="21"/>
  <c r="AA14" i="21"/>
  <c r="H14" i="21"/>
  <c r="U14" i="21"/>
  <c r="H28" i="21"/>
  <c r="AB28" i="21" s="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s="1"/>
  <c r="J33" i="35"/>
  <c r="W33" i="35" s="1"/>
  <c r="F30" i="35"/>
  <c r="AA30" i="35" s="1"/>
  <c r="E89" i="35"/>
  <c r="F89" i="35"/>
  <c r="G89" i="35" s="1"/>
  <c r="H89" i="35" s="1"/>
  <c r="I89" i="35" s="1"/>
  <c r="J89" i="35" s="1"/>
  <c r="K89" i="35" s="1"/>
  <c r="L89" i="35" s="1"/>
  <c r="M89" i="35" s="1"/>
  <c r="H10" i="36"/>
  <c r="AB10" i="36"/>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s="1"/>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s="1"/>
  <c r="F41" i="34"/>
  <c r="S41" i="34" s="1"/>
  <c r="H41" i="34"/>
  <c r="U41" i="34" s="1"/>
  <c r="J41" i="34"/>
  <c r="W41" i="34" s="1"/>
  <c r="F10" i="35"/>
  <c r="AA10" i="35" s="1"/>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C37" i="33"/>
  <c r="AA13" i="33"/>
  <c r="AC45" i="33"/>
  <c r="AA36" i="21"/>
  <c r="S39" i="33"/>
  <c r="F43" i="33"/>
  <c r="AA43" i="33"/>
  <c r="AA23" i="37"/>
  <c r="AB44" i="33"/>
  <c r="G107" i="37"/>
  <c r="H107" i="37"/>
  <c r="I107" i="37"/>
  <c r="J107" i="37"/>
  <c r="K107" i="37"/>
  <c r="L107" i="37"/>
  <c r="M107" i="37"/>
  <c r="AA9" i="21"/>
  <c r="F37" i="21"/>
  <c r="S37" i="21"/>
  <c r="J37" i="21"/>
  <c r="W37" i="21"/>
  <c r="H19" i="34"/>
  <c r="AB19" i="34" s="1"/>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BT5" i="3"/>
  <c r="J57" i="39"/>
  <c r="H13" i="40"/>
  <c r="U13" i="40"/>
  <c r="H12" i="48"/>
  <c r="I4" i="4"/>
  <c r="K141" i="21"/>
  <c r="K143" i="21"/>
  <c r="K144" i="21"/>
  <c r="I59" i="40"/>
  <c r="C59" i="40"/>
  <c r="I60" i="40"/>
  <c r="C60" i="40"/>
  <c r="W9" i="33"/>
  <c r="H7" i="48"/>
  <c r="H16" i="48"/>
  <c r="H9" i="48"/>
  <c r="H8" i="48"/>
  <c r="AB15" i="37"/>
  <c r="AA43" i="21"/>
  <c r="U43" i="21"/>
  <c r="AA13" i="40"/>
  <c r="E78" i="40"/>
  <c r="F78" i="40"/>
  <c r="G78" i="40"/>
  <c r="H78" i="40"/>
  <c r="I78" i="40"/>
  <c r="J78" i="40"/>
  <c r="K78" i="40"/>
  <c r="L78" i="40"/>
  <c r="M78" i="40"/>
  <c r="BH5" i="3"/>
  <c r="R16" i="4"/>
  <c r="P16" i="4"/>
  <c r="D3" i="35"/>
  <c r="G4" i="4"/>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s="1"/>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c r="J103" i="37"/>
  <c r="K103" i="37"/>
  <c r="L103" i="37"/>
  <c r="M103" i="37"/>
  <c r="H35" i="37"/>
  <c r="AB35" i="37"/>
  <c r="S26" i="21"/>
  <c r="AB12" i="21"/>
  <c r="H32" i="21"/>
  <c r="U32" i="21"/>
  <c r="AB26" i="21"/>
  <c r="U26" i="21"/>
  <c r="U39" i="21"/>
  <c r="W9" i="21"/>
  <c r="J32" i="21"/>
  <c r="AC32" i="21" s="1"/>
  <c r="AC5" i="3"/>
  <c r="F17" i="21"/>
  <c r="S17" i="21" s="1"/>
  <c r="H17" i="21"/>
  <c r="AB17" i="21" s="1"/>
  <c r="H37" i="21"/>
  <c r="U37" i="21"/>
  <c r="F40" i="21"/>
  <c r="S40" i="21"/>
  <c r="H40" i="21"/>
  <c r="AB40" i="21" s="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E80" i="34"/>
  <c r="F80" i="34" s="1"/>
  <c r="G80" i="34" s="1"/>
  <c r="H17" i="34"/>
  <c r="AB17" i="34" s="1"/>
  <c r="AC27" i="34"/>
  <c r="W27" i="34"/>
  <c r="S12" i="35"/>
  <c r="AB28" i="35"/>
  <c r="U28" i="35"/>
  <c r="J13" i="33"/>
  <c r="W13" i="33"/>
  <c r="H13" i="33"/>
  <c r="U13" i="33"/>
  <c r="H29" i="33"/>
  <c r="AB29" i="33"/>
  <c r="F29" i="33"/>
  <c r="AA29" i="33"/>
  <c r="J12" i="34"/>
  <c r="AC12" i="34"/>
  <c r="H12" i="34"/>
  <c r="AB12" i="34" s="1"/>
  <c r="F12" i="34"/>
  <c r="S12" i="34" s="1"/>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AA43" i="39" s="1"/>
  <c r="H43" i="39"/>
  <c r="U43" i="39" s="1"/>
  <c r="J43" i="39"/>
  <c r="AC43" i="39" s="1"/>
  <c r="F99" i="37"/>
  <c r="AC27" i="37"/>
  <c r="U25" i="35"/>
  <c r="S45" i="34"/>
  <c r="U31" i="34"/>
  <c r="AC40" i="37"/>
  <c r="W40" i="37"/>
  <c r="W27" i="33"/>
  <c r="AC45" i="21"/>
  <c r="S28" i="33"/>
  <c r="S14" i="21"/>
  <c r="AA44" i="34"/>
  <c r="AC19" i="33"/>
  <c r="W19" i="33"/>
  <c r="AC34" i="37"/>
  <c r="S35" i="37"/>
  <c r="AA35" i="37"/>
  <c r="AA32" i="21"/>
  <c r="S32" i="21"/>
  <c r="U38" i="21"/>
  <c r="AB34" i="21"/>
  <c r="BE5" i="3"/>
  <c r="F42" i="21"/>
  <c r="AA42" i="21" s="1"/>
  <c r="AB40" i="33"/>
  <c r="U40" i="33"/>
  <c r="AA35" i="34"/>
  <c r="S35" i="34"/>
  <c r="E90" i="34"/>
  <c r="H27" i="34"/>
  <c r="AB27" i="34"/>
  <c r="AB8" i="35"/>
  <c r="U8" i="35"/>
  <c r="S9" i="35"/>
  <c r="F14" i="35"/>
  <c r="AA14" i="35" s="1"/>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c r="G103" i="39" s="1"/>
  <c r="H29" i="39"/>
  <c r="U29" i="39" s="1"/>
  <c r="F34" i="39"/>
  <c r="AA34" i="39" s="1"/>
  <c r="H34" i="39"/>
  <c r="AB34" i="39" s="1"/>
  <c r="J34" i="39"/>
  <c r="AC34" i="39" s="1"/>
  <c r="F39" i="39"/>
  <c r="H39" i="39"/>
  <c r="AB39" i="39"/>
  <c r="J39" i="39"/>
  <c r="W30" i="36"/>
  <c r="AC30" i="36"/>
  <c r="F37" i="39"/>
  <c r="S37" i="39" s="1"/>
  <c r="H37" i="39"/>
  <c r="U37" i="39" s="1"/>
  <c r="J37" i="39"/>
  <c r="W37" i="39" s="1"/>
  <c r="BJ5" i="3"/>
  <c r="BB5" i="3"/>
  <c r="F36" i="44"/>
  <c r="F114" i="34"/>
  <c r="G114" i="34"/>
  <c r="H114" i="34"/>
  <c r="I114" i="34"/>
  <c r="J114" i="34"/>
  <c r="K114" i="34"/>
  <c r="L114" i="34"/>
  <c r="M114" i="34"/>
  <c r="H38" i="34"/>
  <c r="U38" i="34" s="1"/>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S39" i="34"/>
  <c r="S43" i="34"/>
  <c r="E78" i="34"/>
  <c r="F15" i="34"/>
  <c r="S15" i="34" s="1"/>
  <c r="AC28" i="35"/>
  <c r="W28" i="35"/>
  <c r="E72" i="35"/>
  <c r="F72" i="35"/>
  <c r="G72" i="35"/>
  <c r="H22" i="35"/>
  <c r="AB22" i="35"/>
  <c r="H23" i="35"/>
  <c r="F23" i="35"/>
  <c r="AA23" i="35"/>
  <c r="AB36" i="35"/>
  <c r="U36" i="35"/>
  <c r="W12" i="36"/>
  <c r="AC12" i="36"/>
  <c r="U31" i="36"/>
  <c r="S8" i="37"/>
  <c r="AA8" i="37"/>
  <c r="F14" i="39"/>
  <c r="AA14" i="39" s="1"/>
  <c r="H14" i="39"/>
  <c r="AB14" i="39" s="1"/>
  <c r="J14" i="39"/>
  <c r="AC14" i="39" s="1"/>
  <c r="F16" i="39"/>
  <c r="AA16" i="39"/>
  <c r="H16" i="39"/>
  <c r="U16" i="39"/>
  <c r="J16" i="39"/>
  <c r="AC16" i="39"/>
  <c r="J27" i="39"/>
  <c r="AC27" i="39" s="1"/>
  <c r="F15" i="40"/>
  <c r="AA15" i="40"/>
  <c r="J15" i="40"/>
  <c r="H15" i="40"/>
  <c r="AB15" i="40"/>
  <c r="E92" i="40"/>
  <c r="F92" i="40"/>
  <c r="H23" i="40"/>
  <c r="U23" i="40"/>
  <c r="H41" i="40"/>
  <c r="AB41" i="40"/>
  <c r="F41" i="40"/>
  <c r="AA41" i="40"/>
  <c r="J41" i="40"/>
  <c r="H36" i="33"/>
  <c r="AB36" i="33"/>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AC41" i="40"/>
  <c r="W41" i="40"/>
  <c r="U41" i="40"/>
  <c r="J23" i="40"/>
  <c r="AC23" i="40"/>
  <c r="G92" i="40"/>
  <c r="F23" i="40"/>
  <c r="S23" i="40"/>
  <c r="AC15" i="40"/>
  <c r="W15" i="40"/>
  <c r="AB16" i="39"/>
  <c r="U23" i="35"/>
  <c r="AB23" i="35"/>
  <c r="H15" i="34"/>
  <c r="AB15" i="34" s="1"/>
  <c r="F78" i="34"/>
  <c r="G78" i="34"/>
  <c r="J15" i="34"/>
  <c r="AC15" i="34" s="1"/>
  <c r="H41" i="33"/>
  <c r="U41" i="33"/>
  <c r="F121" i="33"/>
  <c r="G121" i="33"/>
  <c r="H121" i="33"/>
  <c r="I121" i="33"/>
  <c r="J121" i="33"/>
  <c r="K121" i="33"/>
  <c r="L121" i="33"/>
  <c r="M121" i="33"/>
  <c r="F30" i="40"/>
  <c r="AA30" i="40"/>
  <c r="H100" i="40"/>
  <c r="I100" i="40"/>
  <c r="J100" i="40"/>
  <c r="K100" i="40"/>
  <c r="L100" i="40"/>
  <c r="M100" i="40"/>
  <c r="U39" i="39"/>
  <c r="J29" i="39"/>
  <c r="AC29" i="39" s="1"/>
  <c r="AB33" i="36"/>
  <c r="AA11" i="36"/>
  <c r="G99" i="37"/>
  <c r="F33" i="37"/>
  <c r="U46" i="34"/>
  <c r="AC30" i="34"/>
  <c r="AA14" i="34"/>
  <c r="W12" i="34"/>
  <c r="U29" i="33"/>
  <c r="AC13" i="33"/>
  <c r="W32" i="33"/>
  <c r="H15" i="33"/>
  <c r="U15" i="33"/>
  <c r="AA11" i="33"/>
  <c r="AA40" i="21"/>
  <c r="U16" i="40"/>
  <c r="W34" i="40"/>
  <c r="AB34" i="40"/>
  <c r="AB42" i="40"/>
  <c r="U42" i="40"/>
  <c r="AC16" i="40"/>
  <c r="W32" i="40"/>
  <c r="H25" i="40"/>
  <c r="AB25" i="40"/>
  <c r="F94" i="40"/>
  <c r="G94" i="40"/>
  <c r="U47" i="39"/>
  <c r="W15" i="39"/>
  <c r="J36" i="33"/>
  <c r="W36" i="33"/>
  <c r="S41" i="40"/>
  <c r="AB23" i="40"/>
  <c r="S16" i="39"/>
  <c r="AA41" i="33"/>
  <c r="AA34" i="33"/>
  <c r="F106" i="33"/>
  <c r="G106" i="33"/>
  <c r="H106" i="33"/>
  <c r="I106" i="33"/>
  <c r="J106" i="33"/>
  <c r="K106" i="33"/>
  <c r="L106" i="33"/>
  <c r="M106" i="33"/>
  <c r="J34" i="33"/>
  <c r="AC34" i="33"/>
  <c r="U30" i="40"/>
  <c r="AA37" i="39"/>
  <c r="AC39" i="39"/>
  <c r="W39" i="39"/>
  <c r="AA39" i="39"/>
  <c r="S39" i="39"/>
  <c r="AB46" i="39"/>
  <c r="U11" i="36"/>
  <c r="F80" i="35"/>
  <c r="G80" i="35" s="1"/>
  <c r="H80" i="35" s="1"/>
  <c r="I80" i="35" s="1"/>
  <c r="J80" i="35" s="1"/>
  <c r="K80" i="35" s="1"/>
  <c r="L80" i="35" s="1"/>
  <c r="M80" i="35" s="1"/>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F17" i="34"/>
  <c r="AA17" i="34" s="1"/>
  <c r="J17" i="34"/>
  <c r="AC17" i="34" s="1"/>
  <c r="J35" i="33"/>
  <c r="W35" i="33"/>
  <c r="S32" i="33"/>
  <c r="AC15" i="33"/>
  <c r="H11" i="33"/>
  <c r="U11" i="33"/>
  <c r="H10" i="33"/>
  <c r="U10" i="33"/>
  <c r="I66" i="33"/>
  <c r="J10" i="33"/>
  <c r="AC10" i="33"/>
  <c r="U40" i="21"/>
  <c r="U11" i="37"/>
  <c r="AC13" i="40"/>
  <c r="AC36" i="33"/>
  <c r="F25" i="40"/>
  <c r="AA25" i="40"/>
  <c r="J11" i="33"/>
  <c r="W11" i="33"/>
  <c r="H33" i="37"/>
  <c r="AB33" i="37"/>
  <c r="W23" i="40"/>
  <c r="D73" i="9"/>
  <c r="N73" i="9"/>
  <c r="AP11" i="1"/>
  <c r="B11" i="1"/>
  <c r="E11" i="1"/>
  <c r="K11" i="1"/>
  <c r="M11" i="1" s="1"/>
  <c r="O11" i="1" s="1"/>
  <c r="B9" i="1"/>
  <c r="E9" i="1"/>
  <c r="K9" i="1"/>
  <c r="M9" i="1" s="1"/>
  <c r="B7" i="1"/>
  <c r="E7" i="1" s="1"/>
  <c r="K7" i="1"/>
  <c r="M7" i="1" s="1"/>
  <c r="O7" i="1" s="1"/>
  <c r="P7" i="1" s="1"/>
  <c r="C20" i="43"/>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S23" i="35"/>
  <c r="U9" i="35"/>
  <c r="W13" i="35"/>
  <c r="U18" i="35"/>
  <c r="AB18"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U30" i="34"/>
  <c r="S32" i="34"/>
  <c r="AB33" i="34"/>
  <c r="AA12" i="34"/>
  <c r="AA30" i="34"/>
  <c r="AC32" i="34"/>
  <c r="U44" i="34"/>
  <c r="U28" i="34"/>
  <c r="AA27" i="34"/>
  <c r="J25" i="34"/>
  <c r="AC25" i="34" s="1"/>
  <c r="H25" i="34"/>
  <c r="AB25" i="34" s="1"/>
  <c r="F25" i="34"/>
  <c r="S25" i="34" s="1"/>
  <c r="J23" i="34"/>
  <c r="W23" i="34" s="1"/>
  <c r="H23" i="34"/>
  <c r="U23" i="34" s="1"/>
  <c r="U10" i="34"/>
  <c r="AC40" i="34"/>
  <c r="W44" i="34"/>
  <c r="W29" i="34"/>
  <c r="AC21" i="34"/>
  <c r="W21" i="34"/>
  <c r="AB21" i="34"/>
  <c r="U21" i="34"/>
  <c r="U27" i="34"/>
  <c r="S13"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U35" i="21"/>
  <c r="W43" i="21"/>
  <c r="AA37" i="21"/>
  <c r="AB37" i="21"/>
  <c r="AB32" i="21"/>
  <c r="W28" i="21"/>
  <c r="AC46" i="21"/>
  <c r="AC26" i="21"/>
  <c r="J23" i="21"/>
  <c r="W23" i="21" s="1"/>
  <c r="F15" i="21"/>
  <c r="S15" i="21" s="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38" i="39"/>
  <c r="AB15" i="39"/>
  <c r="U11" i="39"/>
  <c r="AB38" i="39"/>
  <c r="U31" i="39"/>
  <c r="AB31" i="39"/>
  <c r="S38" i="39"/>
  <c r="S22" i="31"/>
  <c r="B22" i="63"/>
  <c r="M20" i="15"/>
  <c r="D96" i="9"/>
  <c r="F28" i="15"/>
  <c r="C28" i="15"/>
  <c r="M18" i="15"/>
  <c r="A18" i="64"/>
  <c r="B74" i="63"/>
  <c r="C53" i="10"/>
  <c r="A25" i="64"/>
  <c r="A18" i="51"/>
  <c r="B14" i="63"/>
  <c r="K1" i="43"/>
  <c r="BK5" i="3"/>
  <c r="BO5" i="3"/>
  <c r="BP5" i="3"/>
  <c r="BN5" i="3"/>
  <c r="BC5" i="3"/>
  <c r="BD5" i="3"/>
  <c r="E8" i="6"/>
  <c r="E53" i="40" s="1"/>
  <c r="BR5" i="3"/>
  <c r="G28" i="6"/>
  <c r="BS5" i="3"/>
  <c r="BQ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S11" i="1"/>
  <c r="R11" i="1"/>
  <c r="S13" i="1"/>
  <c r="R13" i="1"/>
  <c r="B6" i="1"/>
  <c r="E6" i="1"/>
  <c r="B8" i="1"/>
  <c r="E8" i="1" s="1"/>
  <c r="B12" i="1"/>
  <c r="E12" i="1"/>
  <c r="S12" i="1"/>
  <c r="K6" i="1"/>
  <c r="M6" i="1" s="1"/>
  <c r="O9" i="1"/>
  <c r="F66" i="36"/>
  <c r="H18" i="36"/>
  <c r="U16" i="36"/>
  <c r="S25" i="36"/>
  <c r="AA34" i="36"/>
  <c r="U23" i="36"/>
  <c r="AC27" i="36"/>
  <c r="W28" i="36"/>
  <c r="AA32" i="36"/>
  <c r="U13" i="36"/>
  <c r="AA22" i="36"/>
  <c r="U10"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J31" i="39"/>
  <c r="AC31" i="39" s="1"/>
  <c r="S45" i="39"/>
  <c r="AC46" i="39"/>
  <c r="S34" i="39"/>
  <c r="W42" i="39"/>
  <c r="W36" i="39"/>
  <c r="U14" i="39"/>
  <c r="W16" i="39"/>
  <c r="S15" i="39"/>
  <c r="W25" i="39"/>
  <c r="W45" i="39"/>
  <c r="AA44" i="39"/>
  <c r="AA46" i="39"/>
  <c r="W10" i="39"/>
  <c r="W11" i="39"/>
  <c r="U42" i="39"/>
  <c r="S32" i="40"/>
  <c r="C27" i="39"/>
  <c r="C17" i="40"/>
  <c r="C19" i="40"/>
  <c r="C17" i="39"/>
  <c r="C19" i="39"/>
  <c r="C21" i="39"/>
  <c r="C23" i="40"/>
  <c r="B48" i="46"/>
  <c r="B51" i="46"/>
  <c r="B55" i="46"/>
  <c r="B59" i="46"/>
  <c r="B62" i="46"/>
  <c r="B66" i="46"/>
  <c r="B53" i="46"/>
  <c r="B64" i="46"/>
  <c r="D24" i="15"/>
  <c r="AG6" i="1"/>
  <c r="G6" i="1"/>
  <c r="E86" i="3"/>
  <c r="F29" i="6"/>
  <c r="F28" i="6"/>
  <c r="E297" i="3"/>
  <c r="E561" i="3"/>
  <c r="L101" i="46"/>
  <c r="L106" i="46" s="1"/>
  <c r="S14" i="36"/>
  <c r="AB20" i="36"/>
  <c r="AA20" i="36"/>
  <c r="AC14" i="36"/>
  <c r="W14" i="36"/>
  <c r="U14" i="36"/>
  <c r="AB14" i="36"/>
  <c r="U18" i="36"/>
  <c r="AB18" i="36"/>
  <c r="S19" i="37"/>
  <c r="W19" i="37"/>
  <c r="AB19" i="37"/>
  <c r="U19" i="37"/>
  <c r="AC17" i="37"/>
  <c r="W17" i="37"/>
  <c r="U25" i="34"/>
  <c r="AA25" i="34"/>
  <c r="W25" i="34"/>
  <c r="AC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B20" i="31"/>
  <c r="R22" i="31"/>
  <c r="B21" i="31"/>
  <c r="M6" i="3"/>
  <c r="E68" i="3"/>
  <c r="E475" i="3"/>
  <c r="E192" i="3"/>
  <c r="E241" i="3"/>
  <c r="E135" i="3"/>
  <c r="A17" i="51"/>
  <c r="B13" i="6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E58" i="39"/>
  <c r="F27" i="6"/>
  <c r="F31" i="6" s="1"/>
  <c r="E5" i="6"/>
  <c r="D21" i="12" s="1"/>
  <c r="C21" i="12" s="1"/>
  <c r="X6" i="3"/>
  <c r="E349" i="3"/>
  <c r="E321" i="3"/>
  <c r="E36" i="3"/>
  <c r="E376" i="3"/>
  <c r="E149" i="3"/>
  <c r="E187" i="3"/>
  <c r="E131" i="3"/>
  <c r="E387" i="3"/>
  <c r="E295" i="3"/>
  <c r="E253" i="3"/>
  <c r="E237" i="3"/>
  <c r="E294" i="3"/>
  <c r="E249" i="3"/>
  <c r="E225" i="3"/>
  <c r="E304" i="3"/>
  <c r="R6" i="3"/>
  <c r="E89" i="3"/>
  <c r="E537" i="3"/>
  <c r="E428" i="3"/>
  <c r="E21"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G29" i="6"/>
  <c r="G30" i="6"/>
  <c r="G31" i="6"/>
  <c r="E14" i="6"/>
  <c r="E66" i="39" s="1"/>
  <c r="E10" i="6"/>
  <c r="E15" i="6"/>
  <c r="E62" i="40" s="1"/>
  <c r="F30" i="6"/>
  <c r="E28" i="6"/>
  <c r="E13" i="6"/>
  <c r="E65" i="39" s="1"/>
  <c r="E11" i="6"/>
  <c r="H70" i="46"/>
  <c r="H72" i="46"/>
  <c r="A9" i="64"/>
  <c r="A9" i="51"/>
  <c r="B9" i="63"/>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W7" i="34" s="1"/>
  <c r="F7" i="34"/>
  <c r="AA7" i="34" s="1"/>
  <c r="H7" i="34"/>
  <c r="AB7" i="34" s="1"/>
  <c r="E48" i="35"/>
  <c r="F48" i="35"/>
  <c r="G48" i="35"/>
  <c r="H48" i="35"/>
  <c r="I48" i="35"/>
  <c r="J48" i="35"/>
  <c r="K48" i="35"/>
  <c r="L48" i="35"/>
  <c r="M48" i="35"/>
  <c r="N48" i="35"/>
  <c r="O48" i="35"/>
  <c r="F7" i="35"/>
  <c r="S7" i="35" s="1"/>
  <c r="J7" i="35"/>
  <c r="AC7" i="35" s="1"/>
  <c r="H7" i="35"/>
  <c r="AB7" i="35" s="1"/>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E4" i="4"/>
  <c r="C4" i="4"/>
  <c r="G66" i="36"/>
  <c r="J18" i="36"/>
  <c r="AE7" i="1"/>
  <c r="AE6" i="1"/>
  <c r="F33" i="44"/>
  <c r="F31" i="15"/>
  <c r="F58" i="15"/>
  <c r="M17" i="15"/>
  <c r="M19" i="44"/>
  <c r="H7" i="37"/>
  <c r="J7" i="37"/>
  <c r="F7" i="37"/>
  <c r="AA7" i="37"/>
  <c r="R42" i="37"/>
  <c r="E42" i="37"/>
  <c r="L102" i="46"/>
  <c r="L104" i="46"/>
  <c r="AC7" i="36"/>
  <c r="V36" i="36"/>
  <c r="I36" i="36"/>
  <c r="I40" i="36"/>
  <c r="J40" i="36"/>
  <c r="W18" i="36"/>
  <c r="AC18" i="36"/>
  <c r="U7" i="36"/>
  <c r="G41" i="36"/>
  <c r="H41" i="36"/>
  <c r="S7" i="37"/>
  <c r="E48" i="33"/>
  <c r="E52" i="33"/>
  <c r="F52" i="33"/>
  <c r="D12" i="11"/>
  <c r="C12" i="11" s="1"/>
  <c r="E59" i="40"/>
  <c r="E29" i="6"/>
  <c r="L20" i="6"/>
  <c r="E58" i="40"/>
  <c r="E63" i="39"/>
  <c r="K14" i="1"/>
  <c r="M14" i="1" s="1"/>
  <c r="E30" i="6"/>
  <c r="K15" i="1"/>
  <c r="E67" i="39"/>
  <c r="E61" i="40"/>
  <c r="B21" i="55"/>
  <c r="B72" i="63"/>
  <c r="B20" i="55"/>
  <c r="B70" i="63"/>
  <c r="S7" i="36"/>
  <c r="AA7" i="36"/>
  <c r="R36" i="36"/>
  <c r="E36" i="36"/>
  <c r="E40" i="36"/>
  <c r="F40" i="36"/>
  <c r="AC7" i="34"/>
  <c r="AC7" i="37"/>
  <c r="V42" i="37"/>
  <c r="I42" i="37"/>
  <c r="I46" i="37"/>
  <c r="J46" i="37"/>
  <c r="W7" i="37"/>
  <c r="F7" i="21"/>
  <c r="J7" i="21"/>
  <c r="H7" i="21"/>
  <c r="G52" i="33"/>
  <c r="H52" i="33"/>
  <c r="G53" i="33"/>
  <c r="H53" i="33"/>
  <c r="E67" i="40"/>
  <c r="F65" i="40"/>
  <c r="E72" i="39"/>
  <c r="F70" i="39"/>
  <c r="E46" i="37"/>
  <c r="F46" i="37"/>
  <c r="C48" i="33"/>
  <c r="C49" i="33"/>
  <c r="B3" i="33"/>
  <c r="U7" i="37"/>
  <c r="AB7" i="37"/>
  <c r="T42" i="37"/>
  <c r="G42" i="37"/>
  <c r="J22" i="46"/>
  <c r="E41" i="36"/>
  <c r="F41" i="36"/>
  <c r="I47" i="37"/>
  <c r="J47" i="37"/>
  <c r="G47" i="37"/>
  <c r="H47" i="37"/>
  <c r="E53" i="33"/>
  <c r="F53" i="33"/>
  <c r="I53" i="33"/>
  <c r="J53" i="33"/>
  <c r="I41" i="36"/>
  <c r="J41" i="36"/>
  <c r="R37" i="36"/>
  <c r="R43" i="37"/>
  <c r="AC7" i="21"/>
  <c r="W7" i="21"/>
  <c r="U7" i="21"/>
  <c r="AB7" i="21"/>
  <c r="S7" i="21"/>
  <c r="AA7" i="21"/>
  <c r="F72" i="39"/>
  <c r="G70" i="39"/>
  <c r="F67" i="40"/>
  <c r="G65" i="40"/>
  <c r="G46" i="37"/>
  <c r="H46" i="37"/>
  <c r="E47" i="37"/>
  <c r="F47" i="37"/>
  <c r="C37" i="36"/>
  <c r="B3" i="36"/>
  <c r="B2" i="36"/>
  <c r="C36" i="36"/>
  <c r="D16" i="43"/>
  <c r="C16" i="43" s="1"/>
  <c r="C21" i="4"/>
  <c r="O5" i="54"/>
  <c r="B45" i="63" s="1"/>
  <c r="E6" i="6"/>
  <c r="D22" i="12" s="1"/>
  <c r="C22" i="12" s="1"/>
  <c r="D10" i="11"/>
  <c r="C43" i="37"/>
  <c r="B3" i="37"/>
  <c r="C42" i="37"/>
  <c r="G67" i="40"/>
  <c r="H65" i="40"/>
  <c r="G72" i="39"/>
  <c r="H70" i="39"/>
  <c r="I70" i="39"/>
  <c r="H72" i="39"/>
  <c r="I65" i="40"/>
  <c r="H67" i="40"/>
  <c r="J65" i="40"/>
  <c r="I67" i="40"/>
  <c r="J70" i="39"/>
  <c r="I72" i="39"/>
  <c r="K70" i="39"/>
  <c r="J72" i="39"/>
  <c r="K65" i="40"/>
  <c r="J67" i="40"/>
  <c r="K67" i="40"/>
  <c r="L65" i="40"/>
  <c r="K72" i="39"/>
  <c r="L70" i="39"/>
  <c r="L72" i="39"/>
  <c r="M70" i="39"/>
  <c r="M65" i="40"/>
  <c r="L67" i="40"/>
  <c r="N70" i="39"/>
  <c r="N72" i="39"/>
  <c r="M72" i="39"/>
  <c r="N65" i="40"/>
  <c r="N67" i="40"/>
  <c r="M67" i="40"/>
  <c r="J9" i="40"/>
  <c r="F9" i="40"/>
  <c r="H9" i="40"/>
  <c r="J9" i="39"/>
  <c r="W9" i="39" s="1"/>
  <c r="H9" i="39"/>
  <c r="U9" i="39" s="1"/>
  <c r="F9" i="39"/>
  <c r="S9" i="39" s="1"/>
  <c r="AA9" i="40"/>
  <c r="R44" i="40"/>
  <c r="R45" i="40" s="1"/>
  <c r="C45" i="40" s="1"/>
  <c r="S9" i="40"/>
  <c r="AB9" i="40"/>
  <c r="T44" i="40"/>
  <c r="G44" i="40" s="1"/>
  <c r="U9" i="40"/>
  <c r="AC9" i="40"/>
  <c r="V44" i="40"/>
  <c r="I44" i="40" s="1"/>
  <c r="W9" i="40"/>
  <c r="E44" i="40"/>
  <c r="E48" i="40" s="1"/>
  <c r="F48" i="40" s="1"/>
  <c r="C45" i="9"/>
  <c r="H14" i="66"/>
  <c r="B7" i="66"/>
  <c r="D45" i="9"/>
  <c r="O40" i="9"/>
  <c r="K31" i="9"/>
  <c r="K32" i="9"/>
  <c r="R7" i="54"/>
  <c r="B52" i="63"/>
  <c r="N76" i="9"/>
  <c r="C46" i="9"/>
  <c r="K33" i="9"/>
  <c r="O41" i="9"/>
  <c r="I14" i="66"/>
  <c r="B8" i="66"/>
  <c r="D46" i="9"/>
  <c r="K34" i="9"/>
  <c r="R8" i="54"/>
  <c r="B54" i="63"/>
  <c r="B8" i="67"/>
  <c r="B11" i="67"/>
  <c r="M26" i="15"/>
  <c r="M8" i="44"/>
  <c r="M27" i="15"/>
  <c r="M24" i="44"/>
  <c r="F28" i="44"/>
  <c r="N3" i="65"/>
  <c r="B10" i="67"/>
  <c r="F43" i="15"/>
  <c r="I7" i="65"/>
  <c r="F11" i="44"/>
  <c r="C19" i="44"/>
  <c r="E14" i="67"/>
  <c r="B12" i="67"/>
  <c r="F6" i="15"/>
  <c r="E9" i="67"/>
  <c r="F10" i="44"/>
  <c r="F38" i="44"/>
  <c r="M24" i="15"/>
  <c r="F14" i="67"/>
  <c r="F9" i="67"/>
  <c r="M23" i="44"/>
  <c r="F37" i="44"/>
  <c r="J3" i="65"/>
  <c r="F43" i="44"/>
  <c r="B9" i="67"/>
  <c r="J7" i="65"/>
  <c r="L48" i="44"/>
  <c r="F45" i="44"/>
  <c r="J15" i="15"/>
  <c r="M26" i="44"/>
  <c r="F13" i="15"/>
  <c r="M8" i="15"/>
  <c r="F8" i="15"/>
  <c r="M31" i="44"/>
  <c r="N7" i="65"/>
  <c r="M30" i="44"/>
  <c r="J5" i="65"/>
  <c r="F15" i="44"/>
  <c r="E13" i="67"/>
  <c r="M29" i="44"/>
  <c r="M10" i="44"/>
  <c r="F9" i="15"/>
  <c r="F8" i="44"/>
  <c r="I6" i="65"/>
  <c r="N5" i="65"/>
  <c r="E12" i="67"/>
  <c r="J6" i="65"/>
  <c r="F13" i="67"/>
  <c r="F16" i="15"/>
  <c r="M28" i="15"/>
  <c r="E11" i="67"/>
  <c r="J17" i="44"/>
  <c r="F9" i="44"/>
  <c r="F26" i="15"/>
  <c r="I5" i="65"/>
  <c r="B14" i="67"/>
  <c r="M25" i="44"/>
  <c r="F42" i="15"/>
  <c r="F10" i="67"/>
  <c r="F12" i="67"/>
  <c r="J4" i="65"/>
  <c r="F18" i="44"/>
  <c r="M22" i="15"/>
  <c r="F8" i="67"/>
  <c r="M23" i="15"/>
  <c r="L49" i="44"/>
  <c r="E8" i="67"/>
  <c r="F7" i="15"/>
  <c r="E10" i="67"/>
  <c r="J36" i="15"/>
  <c r="L48" i="15"/>
  <c r="M28" i="44"/>
  <c r="M29" i="15"/>
  <c r="F39" i="44"/>
  <c r="I4" i="65"/>
  <c r="L47" i="15"/>
  <c r="F46" i="44"/>
  <c r="F36" i="15"/>
  <c r="I3" i="65"/>
  <c r="B13" i="67"/>
  <c r="M9" i="15"/>
  <c r="M11" i="44"/>
  <c r="F38" i="15"/>
  <c r="F40" i="44"/>
  <c r="F11" i="67"/>
  <c r="N4" i="65"/>
  <c r="N6" i="65"/>
  <c r="F40" i="15"/>
  <c r="M6" i="15"/>
  <c r="F37" i="15"/>
  <c r="AC37" i="39" l="1"/>
  <c r="AB37" i="39"/>
  <c r="H69" i="21"/>
  <c r="J42" i="21"/>
  <c r="AC42" i="21" s="1"/>
  <c r="G123" i="21"/>
  <c r="H123" i="21" s="1"/>
  <c r="I123" i="21" s="1"/>
  <c r="J123" i="21" s="1"/>
  <c r="K123" i="21" s="1"/>
  <c r="L123" i="21" s="1"/>
  <c r="M123" i="21" s="1"/>
  <c r="W14" i="39"/>
  <c r="H27" i="39"/>
  <c r="AB27" i="39" s="1"/>
  <c r="C18" i="9"/>
  <c r="M43" i="9" s="1"/>
  <c r="W34" i="39"/>
  <c r="C38" i="46"/>
  <c r="C35" i="46"/>
  <c r="C33" i="46"/>
  <c r="T8" i="46"/>
  <c r="V8" i="46" s="1"/>
  <c r="T10" i="46"/>
  <c r="V10" i="46" s="1"/>
  <c r="T12" i="46"/>
  <c r="V12" i="46" s="1"/>
  <c r="T14" i="46"/>
  <c r="V14" i="46" s="1"/>
  <c r="T16" i="46"/>
  <c r="V16" i="46" s="1"/>
  <c r="T9" i="46"/>
  <c r="V9" i="46" s="1"/>
  <c r="T11" i="46"/>
  <c r="V11" i="46" s="1"/>
  <c r="T13" i="46"/>
  <c r="V13" i="46" s="1"/>
  <c r="T15" i="46"/>
  <c r="V15" i="46" s="1"/>
  <c r="C39" i="46"/>
  <c r="C37" i="46"/>
  <c r="C36" i="46"/>
  <c r="C34" i="46"/>
  <c r="L27" i="6"/>
  <c r="L105" i="46"/>
  <c r="AD11" i="46"/>
  <c r="AD13" i="46" s="1"/>
  <c r="B10" i="1"/>
  <c r="E10" i="1" s="1"/>
  <c r="K10" i="1"/>
  <c r="Q16" i="1" s="1"/>
  <c r="K1" i="12"/>
  <c r="F3" i="35"/>
  <c r="E60" i="40"/>
  <c r="L103" i="46"/>
  <c r="L109" i="46"/>
  <c r="L107" i="46"/>
  <c r="E27" i="6"/>
  <c r="K20" i="6" s="1"/>
  <c r="O6" i="1"/>
  <c r="P6" i="1" s="1"/>
  <c r="G101" i="46"/>
  <c r="G109" i="46" s="1"/>
  <c r="S4" i="46"/>
  <c r="T4" i="46" s="1"/>
  <c r="V4" i="46" s="1"/>
  <c r="S3" i="46"/>
  <c r="T3" i="46" s="1"/>
  <c r="V3" i="46" s="1"/>
  <c r="K19" i="6"/>
  <c r="M19" i="6" s="1"/>
  <c r="I19" i="6" s="1"/>
  <c r="S19" i="6" s="1"/>
  <c r="AY6"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AC6" i="3" s="1"/>
  <c r="E311" i="3"/>
  <c r="E266" i="3"/>
  <c r="E222" i="3"/>
  <c r="E299" i="3"/>
  <c r="E263" i="3"/>
  <c r="E215" i="3"/>
  <c r="E388" i="3"/>
  <c r="E327" i="3"/>
  <c r="E424" i="3"/>
  <c r="I6" i="3"/>
  <c r="H6" i="3" s="1"/>
  <c r="E6" i="3" s="1"/>
  <c r="E430" i="3"/>
  <c r="E103" i="3"/>
  <c r="E82" i="3"/>
  <c r="C33" i="21"/>
  <c r="E16" i="6"/>
  <c r="S5" i="46"/>
  <c r="T5" i="46" s="1"/>
  <c r="V5" i="46" s="1"/>
  <c r="AA11" i="46"/>
  <c r="AA13" i="46" s="1"/>
  <c r="AH11" i="46"/>
  <c r="AH13" i="46" s="1"/>
  <c r="Z11" i="46"/>
  <c r="Z13" i="46" s="1"/>
  <c r="H101" i="46"/>
  <c r="N104" i="45"/>
  <c r="L38" i="9"/>
  <c r="B14" i="66" s="1"/>
  <c r="B1" i="66" s="1"/>
  <c r="E68" i="39"/>
  <c r="D13" i="11"/>
  <c r="C13" i="11" s="1"/>
  <c r="B55" i="40"/>
  <c r="F55" i="40" s="1"/>
  <c r="B61" i="40"/>
  <c r="F61" i="40" s="1"/>
  <c r="B57" i="40"/>
  <c r="F57" i="40" s="1"/>
  <c r="B54" i="40"/>
  <c r="F54" i="40" s="1"/>
  <c r="B60" i="40"/>
  <c r="F60" i="40" s="1"/>
  <c r="B53" i="40"/>
  <c r="F53" i="40" s="1"/>
  <c r="B59" i="40"/>
  <c r="F59" i="40" s="1"/>
  <c r="B56" i="40"/>
  <c r="F56" i="40" s="1"/>
  <c r="B62" i="40"/>
  <c r="F62" i="40" s="1"/>
  <c r="B58" i="40"/>
  <c r="F58" i="40" s="1"/>
  <c r="G48" i="40"/>
  <c r="H48" i="40" s="1"/>
  <c r="G49" i="40"/>
  <c r="H49" i="40" s="1"/>
  <c r="E49" i="40"/>
  <c r="F49" i="40" s="1"/>
  <c r="I48" i="40"/>
  <c r="J48" i="40" s="1"/>
  <c r="I49" i="40"/>
  <c r="J49" i="40" s="1"/>
  <c r="O14" i="1"/>
  <c r="P14" i="1" s="1"/>
  <c r="C44" i="40"/>
  <c r="S6" i="1"/>
  <c r="K25" i="6"/>
  <c r="M25" i="6" s="1"/>
  <c r="I25" i="6" s="1"/>
  <c r="K22" i="6"/>
  <c r="G105" i="46"/>
  <c r="G103" i="46"/>
  <c r="P11" i="1"/>
  <c r="O13" i="1"/>
  <c r="P13" i="1" s="1"/>
  <c r="C23" i="46"/>
  <c r="C21" i="46" s="1"/>
  <c r="B113" i="46"/>
  <c r="F22" i="46"/>
  <c r="C101" i="46"/>
  <c r="H22" i="46"/>
  <c r="D101" i="46"/>
  <c r="E22" i="46"/>
  <c r="E101" i="46"/>
  <c r="F101" i="46"/>
  <c r="G22" i="46"/>
  <c r="AB11" i="46"/>
  <c r="AB13" i="46" s="1"/>
  <c r="AE11" i="46"/>
  <c r="AE13" i="46" s="1"/>
  <c r="AJ11" i="46"/>
  <c r="AJ13" i="46" s="1"/>
  <c r="S6" i="46"/>
  <c r="T6" i="46" s="1"/>
  <c r="V6" i="46" s="1"/>
  <c r="AF11" i="46"/>
  <c r="AF13" i="46" s="1"/>
  <c r="S2" i="46"/>
  <c r="T2" i="46" s="1"/>
  <c r="V2" i="46" s="1"/>
  <c r="S7" i="46"/>
  <c r="T7" i="46" s="1"/>
  <c r="V7" i="46" s="1"/>
  <c r="Y11" i="46"/>
  <c r="Y13" i="46" s="1"/>
  <c r="AG11" i="46"/>
  <c r="AG13" i="46" s="1"/>
  <c r="AC11" i="46"/>
  <c r="AC13" i="46" s="1"/>
  <c r="N101" i="46"/>
  <c r="K101" i="46"/>
  <c r="Z7" i="46"/>
  <c r="M101" i="46"/>
  <c r="I101" i="46"/>
  <c r="J101" i="46"/>
  <c r="P9" i="1"/>
  <c r="P12" i="1"/>
  <c r="W40" i="39"/>
  <c r="U40" i="39"/>
  <c r="AB44" i="39"/>
  <c r="F23" i="39"/>
  <c r="AA23" i="39" s="1"/>
  <c r="F97" i="39"/>
  <c r="G97" i="39" s="1"/>
  <c r="H23" i="39"/>
  <c r="AB23" i="39" s="1"/>
  <c r="F95" i="39"/>
  <c r="J21" i="39"/>
  <c r="S29" i="39"/>
  <c r="S14" i="39"/>
  <c r="F42" i="39"/>
  <c r="S41" i="39"/>
  <c r="U34" i="39"/>
  <c r="F107" i="39"/>
  <c r="G107" i="39" s="1"/>
  <c r="H107" i="39" s="1"/>
  <c r="I107" i="39" s="1"/>
  <c r="J107" i="39" s="1"/>
  <c r="K107" i="39" s="1"/>
  <c r="L107" i="39" s="1"/>
  <c r="M107" i="39" s="1"/>
  <c r="F33" i="39"/>
  <c r="J33" i="39"/>
  <c r="H33" i="39"/>
  <c r="W29" i="39"/>
  <c r="AB29" i="39"/>
  <c r="F101" i="39"/>
  <c r="G101" i="39" s="1"/>
  <c r="F27" i="39"/>
  <c r="AA27" i="39" s="1"/>
  <c r="S25" i="39"/>
  <c r="G95" i="39"/>
  <c r="F21" i="39"/>
  <c r="S21" i="39" s="1"/>
  <c r="J23" i="39"/>
  <c r="H21" i="39"/>
  <c r="F93" i="39"/>
  <c r="J19" i="39" s="1"/>
  <c r="H17" i="39"/>
  <c r="F91" i="39"/>
  <c r="G91" i="39" s="1"/>
  <c r="F17" i="39"/>
  <c r="J17" i="39"/>
  <c r="S23" i="39"/>
  <c r="F83" i="39"/>
  <c r="G83" i="39" s="1"/>
  <c r="H83" i="39" s="1"/>
  <c r="I83" i="39" s="1"/>
  <c r="AB43" i="39"/>
  <c r="W43" i="39"/>
  <c r="W41" i="39"/>
  <c r="AC44" i="39"/>
  <c r="U41" i="39"/>
  <c r="B10" i="52"/>
  <c r="W27" i="39"/>
  <c r="AC9" i="39"/>
  <c r="AB9" i="39"/>
  <c r="AA9" i="39"/>
  <c r="P8" i="1"/>
  <c r="P75" i="15"/>
  <c r="F29" i="35"/>
  <c r="S29" i="35" s="1"/>
  <c r="H87" i="35"/>
  <c r="I87" i="35" s="1"/>
  <c r="J87" i="35" s="1"/>
  <c r="K87" i="35" s="1"/>
  <c r="L87" i="35" s="1"/>
  <c r="M87" i="35" s="1"/>
  <c r="H29" i="35"/>
  <c r="AB29" i="35" s="1"/>
  <c r="J29" i="35"/>
  <c r="J20" i="35"/>
  <c r="AC20" i="35" s="1"/>
  <c r="H20" i="35"/>
  <c r="F70" i="35"/>
  <c r="G70" i="35" s="1"/>
  <c r="F20" i="35"/>
  <c r="J18" i="35"/>
  <c r="E68" i="35"/>
  <c r="F68" i="35" s="1"/>
  <c r="G68" i="35" s="1"/>
  <c r="F66" i="35"/>
  <c r="G66" i="35" s="1"/>
  <c r="J16" i="35"/>
  <c r="W16" i="35" s="1"/>
  <c r="AB16" i="35"/>
  <c r="F64" i="35"/>
  <c r="G64" i="35" s="1"/>
  <c r="J14" i="35"/>
  <c r="AC10" i="35"/>
  <c r="AB10" i="35"/>
  <c r="W7" i="35"/>
  <c r="W20" i="35"/>
  <c r="AC16" i="35"/>
  <c r="AB14" i="35"/>
  <c r="U7" i="35"/>
  <c r="S18" i="35"/>
  <c r="S16" i="35"/>
  <c r="S14" i="35"/>
  <c r="AA7" i="35"/>
  <c r="S30" i="35"/>
  <c r="AA33" i="35"/>
  <c r="U33" i="35"/>
  <c r="U29" i="35"/>
  <c r="S10" i="35"/>
  <c r="F26" i="35"/>
  <c r="J26" i="35"/>
  <c r="H26" i="35"/>
  <c r="H70" i="34"/>
  <c r="I70" i="34" s="1"/>
  <c r="F11" i="34"/>
  <c r="S11" i="34" s="1"/>
  <c r="W10" i="34"/>
  <c r="H37" i="34"/>
  <c r="H112" i="34"/>
  <c r="I112" i="34" s="1"/>
  <c r="J112" i="34" s="1"/>
  <c r="K112" i="34" s="1"/>
  <c r="L112" i="34" s="1"/>
  <c r="M112" i="34" s="1"/>
  <c r="F37" i="34"/>
  <c r="J37" i="34"/>
  <c r="G124" i="34"/>
  <c r="H124" i="34" s="1"/>
  <c r="I124" i="34" s="1"/>
  <c r="J124" i="34" s="1"/>
  <c r="K124" i="34" s="1"/>
  <c r="L124" i="34" s="1"/>
  <c r="M124" i="34" s="1"/>
  <c r="H43" i="34"/>
  <c r="F86" i="34"/>
  <c r="G86" i="34" s="1"/>
  <c r="F23" i="34"/>
  <c r="AB23" i="34"/>
  <c r="W19" i="34"/>
  <c r="U15" i="34"/>
  <c r="AA15" i="34"/>
  <c r="AC35" i="34"/>
  <c r="AC42" i="34"/>
  <c r="AB40" i="34"/>
  <c r="W39" i="34"/>
  <c r="AB38" i="34"/>
  <c r="AB36" i="34"/>
  <c r="AA33" i="34"/>
  <c r="W33" i="34"/>
  <c r="S21" i="34"/>
  <c r="U19" i="34"/>
  <c r="S17" i="34"/>
  <c r="U17" i="34"/>
  <c r="W17" i="34"/>
  <c r="W15" i="34"/>
  <c r="U7" i="34"/>
  <c r="AB8" i="34"/>
  <c r="S7" i="34"/>
  <c r="F23" i="21"/>
  <c r="S23" i="21" s="1"/>
  <c r="F85" i="21"/>
  <c r="G85" i="21" s="1"/>
  <c r="H23" i="21"/>
  <c r="AC23" i="21"/>
  <c r="AA23" i="21"/>
  <c r="F77" i="21"/>
  <c r="G77" i="21" s="1"/>
  <c r="J15" i="21"/>
  <c r="AA15" i="21"/>
  <c r="H15" i="21"/>
  <c r="U17" i="21"/>
  <c r="J17" i="21"/>
  <c r="J19" i="21"/>
  <c r="W19" i="21" s="1"/>
  <c r="AA17" i="21"/>
  <c r="B6" i="52"/>
  <c r="D19" i="12"/>
  <c r="C19" i="12" s="1"/>
  <c r="E9" i="52"/>
  <c r="AA41" i="34"/>
  <c r="AB41" i="34"/>
  <c r="AC41" i="34"/>
  <c r="B23" i="52"/>
  <c r="B4" i="52"/>
  <c r="E11" i="52"/>
  <c r="S9" i="34"/>
  <c r="U9" i="34"/>
  <c r="W9" i="34"/>
  <c r="U42" i="21"/>
  <c r="S42" i="21"/>
  <c r="W32" i="21"/>
  <c r="AC40" i="21"/>
  <c r="E5" i="52"/>
  <c r="B16" i="52"/>
  <c r="E10" i="52"/>
  <c r="B8" i="52"/>
  <c r="B9" i="52"/>
  <c r="B7" i="52"/>
  <c r="W42" i="21"/>
  <c r="S19" i="21"/>
  <c r="U19" i="21"/>
  <c r="E4" i="52"/>
  <c r="E16" i="52"/>
  <c r="B11" i="52"/>
  <c r="E8" i="52"/>
  <c r="B5" i="52"/>
  <c r="B13" i="52"/>
  <c r="B22" i="52"/>
  <c r="E21" i="52"/>
  <c r="B14" i="52"/>
  <c r="E6" i="52"/>
  <c r="E7" i="52"/>
  <c r="C20" i="12"/>
  <c r="J22" i="44"/>
  <c r="C36" i="44"/>
  <c r="F65" i="15"/>
  <c r="F50" i="15"/>
  <c r="L58" i="15"/>
  <c r="L59" i="15"/>
  <c r="C8" i="44"/>
  <c r="M7" i="15"/>
  <c r="J6" i="15" s="1"/>
  <c r="F49" i="15"/>
  <c r="C29" i="44"/>
  <c r="F63" i="15"/>
  <c r="Q72" i="15"/>
  <c r="C4" i="65"/>
  <c r="B39" i="1" s="1"/>
  <c r="E20" i="46"/>
  <c r="Q73" i="44"/>
  <c r="F70" i="15"/>
  <c r="F64" i="15"/>
  <c r="M9" i="44"/>
  <c r="J8" i="44" s="1"/>
  <c r="F67" i="15"/>
  <c r="C6" i="15"/>
  <c r="L60" i="44"/>
  <c r="L59" i="44"/>
  <c r="C27" i="15"/>
  <c r="J1" i="65"/>
  <c r="J54" i="44"/>
  <c r="I55" i="44"/>
  <c r="J60" i="44"/>
  <c r="L57" i="44"/>
  <c r="J58" i="44"/>
  <c r="J56" i="44" s="1"/>
  <c r="J59" i="44" s="1"/>
  <c r="Q52" i="44" s="1"/>
  <c r="J61" i="44"/>
  <c r="Q50" i="44" s="1"/>
  <c r="J53" i="15"/>
  <c r="L56" i="15"/>
  <c r="I54" i="15"/>
  <c r="J57" i="15"/>
  <c r="J55" i="15" s="1"/>
  <c r="J58" i="15" s="1"/>
  <c r="Q51" i="15" s="1"/>
  <c r="C18" i="44"/>
  <c r="E3" i="65"/>
  <c r="E2" i="65"/>
  <c r="C16" i="15"/>
  <c r="AA11" i="34" l="1"/>
  <c r="I69" i="21"/>
  <c r="J11" i="21" s="1"/>
  <c r="AP16" i="1"/>
  <c r="F22" i="11" s="1"/>
  <c r="U27" i="39"/>
  <c r="H19" i="39"/>
  <c r="D18" i="9"/>
  <c r="M44" i="9" s="1"/>
  <c r="G34" i="46"/>
  <c r="I34" i="46" s="1"/>
  <c r="E34" i="46"/>
  <c r="G37" i="46"/>
  <c r="I37" i="46" s="1"/>
  <c r="E37" i="46"/>
  <c r="G35" i="46"/>
  <c r="I35" i="46" s="1"/>
  <c r="E35" i="46"/>
  <c r="G36" i="46"/>
  <c r="I36" i="46" s="1"/>
  <c r="E36" i="46"/>
  <c r="G39" i="46"/>
  <c r="I39" i="46" s="1"/>
  <c r="E39" i="46"/>
  <c r="E33" i="46"/>
  <c r="G33" i="46"/>
  <c r="I33" i="46" s="1"/>
  <c r="E38" i="46"/>
  <c r="G38" i="46"/>
  <c r="I38" i="46" s="1"/>
  <c r="F33" i="12"/>
  <c r="C34" i="12" s="1"/>
  <c r="D33" i="12" s="1"/>
  <c r="F24" i="43"/>
  <c r="C26" i="43" s="1"/>
  <c r="D24" i="43" s="1"/>
  <c r="K24" i="6"/>
  <c r="M24" i="6" s="1"/>
  <c r="I24" i="6" s="1"/>
  <c r="K23" i="6"/>
  <c r="K21" i="6"/>
  <c r="E31" i="6"/>
  <c r="K26" i="6"/>
  <c r="M26" i="6" s="1"/>
  <c r="I26" i="6" s="1"/>
  <c r="S26" i="6" s="1"/>
  <c r="G16" i="1"/>
  <c r="J12" i="40" s="1"/>
  <c r="K16" i="1"/>
  <c r="F18" i="11"/>
  <c r="C18" i="11" s="1"/>
  <c r="M10" i="1"/>
  <c r="C15" i="43" s="1"/>
  <c r="H16" i="1"/>
  <c r="G104" i="46"/>
  <c r="G102" i="46"/>
  <c r="G107" i="46"/>
  <c r="G106" i="46"/>
  <c r="M20" i="6"/>
  <c r="I20" i="6" s="1"/>
  <c r="S20" i="6" s="1"/>
  <c r="S7" i="1"/>
  <c r="D3" i="6"/>
  <c r="H25" i="6"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504" i="3"/>
  <c r="AY537" i="3"/>
  <c r="AY100" i="3"/>
  <c r="AY53" i="3"/>
  <c r="AY83" i="3"/>
  <c r="AY73" i="3"/>
  <c r="AY47" i="3"/>
  <c r="AY74" i="3"/>
  <c r="AY182" i="3"/>
  <c r="AY144" i="3"/>
  <c r="AY126" i="3"/>
  <c r="AY98" i="3"/>
  <c r="AY45" i="3"/>
  <c r="AY57" i="3"/>
  <c r="AY106" i="3"/>
  <c r="AY136" i="3"/>
  <c r="AY217"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262" i="3"/>
  <c r="AY232" i="3"/>
  <c r="AY349" i="3"/>
  <c r="AY448" i="3"/>
  <c r="AY397" i="3"/>
  <c r="AY49" i="3"/>
  <c r="AY149" i="3"/>
  <c r="AY381" i="3"/>
  <c r="AY379" i="3"/>
  <c r="AY326"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291" i="3"/>
  <c r="AY383" i="3"/>
  <c r="AY361" i="3"/>
  <c r="AY427" i="3"/>
  <c r="AY422" i="3"/>
  <c r="AY170" i="3"/>
  <c r="AY146" i="3"/>
  <c r="AY214" i="3"/>
  <c r="AY324"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C8" i="66"/>
  <c r="C7" i="66"/>
  <c r="H102" i="46"/>
  <c r="H107" i="46"/>
  <c r="H103" i="46"/>
  <c r="H105" i="46"/>
  <c r="H109" i="46"/>
  <c r="H104" i="46"/>
  <c r="H106" i="46"/>
  <c r="C34" i="34"/>
  <c r="J33" i="21"/>
  <c r="H33" i="21"/>
  <c r="F33" i="21"/>
  <c r="J103" i="46"/>
  <c r="J105" i="46"/>
  <c r="J102" i="46"/>
  <c r="J104" i="46"/>
  <c r="J107" i="46"/>
  <c r="J109" i="46"/>
  <c r="J106" i="46"/>
  <c r="M104" i="46"/>
  <c r="M103" i="46"/>
  <c r="M105" i="46"/>
  <c r="M107" i="46"/>
  <c r="M102" i="46"/>
  <c r="M109" i="46"/>
  <c r="M106" i="46"/>
  <c r="K104" i="46"/>
  <c r="K105" i="46"/>
  <c r="K103" i="46"/>
  <c r="K109" i="46"/>
  <c r="K107" i="46"/>
  <c r="K102" i="46"/>
  <c r="K106" i="46"/>
  <c r="E102" i="46"/>
  <c r="E104" i="46"/>
  <c r="E106" i="46"/>
  <c r="E103" i="46"/>
  <c r="E105" i="46"/>
  <c r="E107" i="46"/>
  <c r="E109" i="46"/>
  <c r="D103" i="46"/>
  <c r="D105" i="46"/>
  <c r="D107" i="46"/>
  <c r="D109" i="46"/>
  <c r="D102" i="46"/>
  <c r="D104" i="46"/>
  <c r="D106" i="46"/>
  <c r="C103" i="46"/>
  <c r="C105" i="46"/>
  <c r="C107" i="46"/>
  <c r="C109" i="46"/>
  <c r="C102" i="46"/>
  <c r="C104" i="46"/>
  <c r="C106" i="46"/>
  <c r="I115" i="46"/>
  <c r="J115" i="46" s="1"/>
  <c r="K115" i="46" s="1"/>
  <c r="L115" i="46" s="1"/>
  <c r="M115" i="46" s="1"/>
  <c r="I117" i="46"/>
  <c r="J117" i="46" s="1"/>
  <c r="K117" i="46" s="1"/>
  <c r="L117" i="46" s="1"/>
  <c r="M117" i="46" s="1"/>
  <c r="D115" i="46"/>
  <c r="E115" i="46" s="1"/>
  <c r="F115" i="46" s="1"/>
  <c r="G115" i="46" s="1"/>
  <c r="H115" i="46" s="1"/>
  <c r="D116" i="46"/>
  <c r="E116" i="46" s="1"/>
  <c r="F116" i="46" s="1"/>
  <c r="G116" i="46" s="1"/>
  <c r="H116" i="46" s="1"/>
  <c r="D117" i="46"/>
  <c r="E117" i="46" s="1"/>
  <c r="F117" i="46" s="1"/>
  <c r="G117" i="46" s="1"/>
  <c r="H117" i="46" s="1"/>
  <c r="D118" i="46"/>
  <c r="E118" i="46" s="1"/>
  <c r="F118" i="46" s="1"/>
  <c r="B115" i="46"/>
  <c r="B116" i="46"/>
  <c r="C116" i="46" s="1"/>
  <c r="B117" i="46"/>
  <c r="C117" i="46" s="1"/>
  <c r="B118" i="46"/>
  <c r="C118" i="46" s="1"/>
  <c r="I116" i="46"/>
  <c r="J116" i="46" s="1"/>
  <c r="K116" i="46" s="1"/>
  <c r="L116" i="46" s="1"/>
  <c r="M116" i="46" s="1"/>
  <c r="G118" i="46"/>
  <c r="H118" i="46" s="1"/>
  <c r="I118" i="46"/>
  <c r="J118" i="46" s="1"/>
  <c r="K118" i="46" s="1"/>
  <c r="L118" i="46" s="1"/>
  <c r="M118" i="46" s="1"/>
  <c r="S9" i="1"/>
  <c r="M22" i="6"/>
  <c r="I22" i="6" s="1"/>
  <c r="S25" i="6"/>
  <c r="H20" i="6"/>
  <c r="I105" i="46"/>
  <c r="I104" i="46"/>
  <c r="I103" i="46"/>
  <c r="I106" i="46"/>
  <c r="I102" i="46"/>
  <c r="I109" i="46"/>
  <c r="I107" i="46"/>
  <c r="N109" i="46"/>
  <c r="N105" i="46"/>
  <c r="N102" i="46"/>
  <c r="N107" i="46"/>
  <c r="N103" i="46"/>
  <c r="N104" i="46"/>
  <c r="N106" i="46"/>
  <c r="F102" i="46"/>
  <c r="F104" i="46"/>
  <c r="F106" i="46"/>
  <c r="F103" i="46"/>
  <c r="F105" i="46"/>
  <c r="F107" i="46"/>
  <c r="F109" i="46"/>
  <c r="D22" i="46"/>
  <c r="C29" i="46"/>
  <c r="S24" i="6"/>
  <c r="S8" i="1"/>
  <c r="M21" i="6"/>
  <c r="S27" i="39"/>
  <c r="U23" i="39"/>
  <c r="W21" i="39"/>
  <c r="AC21" i="39"/>
  <c r="AA42" i="39"/>
  <c r="S42" i="39"/>
  <c r="U33" i="39"/>
  <c r="AB33" i="39"/>
  <c r="S33" i="39"/>
  <c r="AA33" i="39"/>
  <c r="W33" i="39"/>
  <c r="AC33" i="39"/>
  <c r="U21" i="39"/>
  <c r="AB21" i="39"/>
  <c r="AA21" i="39"/>
  <c r="AC23" i="39"/>
  <c r="W23" i="39"/>
  <c r="G93" i="39"/>
  <c r="F19" i="39"/>
  <c r="U19" i="39"/>
  <c r="AB19" i="39"/>
  <c r="W19" i="39"/>
  <c r="AC19" i="39"/>
  <c r="W17" i="39"/>
  <c r="AC17" i="39"/>
  <c r="AA17" i="39"/>
  <c r="S17" i="39"/>
  <c r="U17" i="39"/>
  <c r="AB17" i="39"/>
  <c r="H13" i="39"/>
  <c r="J83" i="39"/>
  <c r="K83" i="39" s="1"/>
  <c r="L83" i="39" s="1"/>
  <c r="M83" i="39" s="1"/>
  <c r="J13" i="39"/>
  <c r="F13" i="39"/>
  <c r="AA29" i="35"/>
  <c r="AC29" i="35"/>
  <c r="W29" i="35"/>
  <c r="S20" i="35"/>
  <c r="AA20" i="35"/>
  <c r="AB20" i="35"/>
  <c r="U20" i="35"/>
  <c r="W18" i="35"/>
  <c r="AC18" i="35"/>
  <c r="AC14" i="35"/>
  <c r="V38" i="35" s="1"/>
  <c r="I38" i="35" s="1"/>
  <c r="I42" i="35" s="1"/>
  <c r="J42" i="35" s="1"/>
  <c r="W14" i="35"/>
  <c r="W26" i="35"/>
  <c r="AC26" i="35"/>
  <c r="U26" i="35"/>
  <c r="AB26" i="35"/>
  <c r="AA26" i="35"/>
  <c r="S26" i="35"/>
  <c r="J70" i="34"/>
  <c r="K70" i="34" s="1"/>
  <c r="L70" i="34" s="1"/>
  <c r="M70" i="34" s="1"/>
  <c r="J11" i="34"/>
  <c r="H11" i="34"/>
  <c r="AC37" i="34"/>
  <c r="W37" i="34"/>
  <c r="AA37" i="34"/>
  <c r="S37" i="34"/>
  <c r="U37" i="34"/>
  <c r="AB37" i="34"/>
  <c r="AB43" i="34"/>
  <c r="U43" i="34"/>
  <c r="AA23" i="34"/>
  <c r="S23" i="34"/>
  <c r="AB23" i="21"/>
  <c r="U23" i="21"/>
  <c r="U15" i="21"/>
  <c r="AB15" i="21"/>
  <c r="AC15" i="21"/>
  <c r="W15" i="21"/>
  <c r="AC19" i="21"/>
  <c r="AC17" i="21"/>
  <c r="W17" i="21"/>
  <c r="B40" i="1"/>
  <c r="F26" i="12" s="1"/>
  <c r="L47" i="44"/>
  <c r="F17" i="11"/>
  <c r="C17" i="11" s="1"/>
  <c r="C19" i="11" s="1"/>
  <c r="F1" i="15"/>
  <c r="Q53" i="15"/>
  <c r="Q75" i="44"/>
  <c r="Q62" i="44"/>
  <c r="P17" i="46"/>
  <c r="N17" i="46"/>
  <c r="O17" i="46"/>
  <c r="M17" i="46"/>
  <c r="M13" i="44"/>
  <c r="J12" i="44" s="1"/>
  <c r="J7" i="44" s="1"/>
  <c r="F11" i="15"/>
  <c r="F13" i="44"/>
  <c r="C12" i="44" s="1"/>
  <c r="C7" i="44" s="1"/>
  <c r="M11" i="15"/>
  <c r="J10" i="15" s="1"/>
  <c r="J5" i="15" s="1"/>
  <c r="Q75" i="15"/>
  <c r="Q62" i="15"/>
  <c r="C48" i="15"/>
  <c r="Q54" i="44"/>
  <c r="F1" i="44"/>
  <c r="Q63" i="44"/>
  <c r="Q76" i="44"/>
  <c r="Q74" i="15"/>
  <c r="Q61" i="15"/>
  <c r="AE8" i="1"/>
  <c r="C17" i="15"/>
  <c r="W11" i="21" l="1"/>
  <c r="AC11" i="21"/>
  <c r="J69" i="21"/>
  <c r="K69" i="21" s="1"/>
  <c r="L69" i="21" s="1"/>
  <c r="M69" i="21" s="1"/>
  <c r="H11" i="21"/>
  <c r="F11" i="21"/>
  <c r="F12" i="40"/>
  <c r="S12" i="40" s="1"/>
  <c r="J12" i="39"/>
  <c r="W12" i="39" s="1"/>
  <c r="H12" i="39"/>
  <c r="F12" i="39"/>
  <c r="H12" i="40"/>
  <c r="M23" i="6"/>
  <c r="I23" i="6" s="1"/>
  <c r="S23" i="6" s="1"/>
  <c r="S10" i="1"/>
  <c r="S16" i="1" s="1"/>
  <c r="T9" i="1" s="1"/>
  <c r="K27" i="6"/>
  <c r="O10" i="1"/>
  <c r="M16" i="1"/>
  <c r="AA12" i="40"/>
  <c r="H23" i="6"/>
  <c r="H24" i="6"/>
  <c r="AC12" i="39"/>
  <c r="AC12" i="40"/>
  <c r="W12" i="40"/>
  <c r="S33" i="21"/>
  <c r="AA33" i="21"/>
  <c r="W33" i="21"/>
  <c r="AC33" i="21"/>
  <c r="K38" i="9"/>
  <c r="C14" i="66" s="1"/>
  <c r="B2" i="66" s="1"/>
  <c r="C22" i="4"/>
  <c r="D24" i="6"/>
  <c r="D26" i="6"/>
  <c r="D22" i="6"/>
  <c r="D11" i="6"/>
  <c r="D12" i="6"/>
  <c r="E63" i="40"/>
  <c r="F63" i="40" s="1"/>
  <c r="B2" i="40" s="1"/>
  <c r="D19" i="6"/>
  <c r="D21" i="6"/>
  <c r="D25" i="6"/>
  <c r="R25" i="6" s="1"/>
  <c r="D10" i="6"/>
  <c r="D13" i="6"/>
  <c r="D9" i="6"/>
  <c r="D5" i="6"/>
  <c r="D29" i="6"/>
  <c r="D20" i="6"/>
  <c r="D8" i="6"/>
  <c r="D14" i="6"/>
  <c r="D15" i="6"/>
  <c r="D23" i="6"/>
  <c r="R23" i="6" s="1"/>
  <c r="R10" i="1" s="1"/>
  <c r="D28" i="6"/>
  <c r="D30" i="6" s="1"/>
  <c r="E45" i="9"/>
  <c r="F45" i="9"/>
  <c r="F46" i="9"/>
  <c r="E46" i="9"/>
  <c r="D6" i="6"/>
  <c r="H26" i="6"/>
  <c r="R26" i="6" s="1"/>
  <c r="H19" i="6"/>
  <c r="R20" i="6"/>
  <c r="R7" i="1" s="1"/>
  <c r="U33" i="21"/>
  <c r="AB33" i="21"/>
  <c r="J34" i="34"/>
  <c r="H34" i="34"/>
  <c r="F34" i="34"/>
  <c r="I21" i="6"/>
  <c r="M27" i="6"/>
  <c r="C30" i="46"/>
  <c r="E30" i="46" s="1"/>
  <c r="C27" i="46" s="1"/>
  <c r="E29" i="46"/>
  <c r="S22" i="6"/>
  <c r="H22" i="6"/>
  <c r="C115" i="46"/>
  <c r="D113" i="46" s="1"/>
  <c r="S19" i="39"/>
  <c r="AA19" i="39"/>
  <c r="S13" i="39"/>
  <c r="AA13" i="39"/>
  <c r="AC13" i="39"/>
  <c r="W13" i="39"/>
  <c r="AB13" i="39"/>
  <c r="U13" i="39"/>
  <c r="R38" i="35"/>
  <c r="E38" i="35" s="1"/>
  <c r="T38" i="35"/>
  <c r="G38" i="35" s="1"/>
  <c r="G42" i="35" s="1"/>
  <c r="H42" i="35" s="1"/>
  <c r="W11" i="34"/>
  <c r="AC11" i="34"/>
  <c r="AB11" i="34"/>
  <c r="U11" i="34"/>
  <c r="V48" i="21"/>
  <c r="I48" i="21" s="1"/>
  <c r="I52" i="21" s="1"/>
  <c r="J52" i="21" s="1"/>
  <c r="F21" i="43"/>
  <c r="F24" i="15"/>
  <c r="C24" i="15" s="1"/>
  <c r="F26" i="44"/>
  <c r="C26" i="44" s="1"/>
  <c r="C40" i="44"/>
  <c r="C34" i="44"/>
  <c r="J26" i="44"/>
  <c r="J20" i="44"/>
  <c r="J28" i="44"/>
  <c r="J31" i="44" s="1"/>
  <c r="C20" i="11"/>
  <c r="C21" i="11" s="1"/>
  <c r="C22" i="11" s="1"/>
  <c r="C23" i="11" s="1"/>
  <c r="B2" i="11" s="1"/>
  <c r="C27" i="12"/>
  <c r="D26" i="12" s="1"/>
  <c r="C32" i="12" s="1"/>
  <c r="D30" i="12" s="1"/>
  <c r="C52" i="15"/>
  <c r="C47" i="15" s="1"/>
  <c r="C10" i="15"/>
  <c r="C5" i="15" s="1"/>
  <c r="J18" i="15"/>
  <c r="J24" i="15"/>
  <c r="J26" i="15"/>
  <c r="F7" i="67"/>
  <c r="F41" i="15"/>
  <c r="L52" i="44"/>
  <c r="S11" i="21" l="1"/>
  <c r="AA11" i="21"/>
  <c r="T48" i="21"/>
  <c r="G48" i="21" s="1"/>
  <c r="G52" i="21" s="1"/>
  <c r="H52" i="21" s="1"/>
  <c r="R48" i="21"/>
  <c r="E48" i="21" s="1"/>
  <c r="E52" i="21" s="1"/>
  <c r="F52" i="21" s="1"/>
  <c r="U11" i="21"/>
  <c r="AB11" i="21"/>
  <c r="R24" i="6"/>
  <c r="V49" i="39"/>
  <c r="I49" i="39" s="1"/>
  <c r="I53" i="39" s="1"/>
  <c r="J53" i="39" s="1"/>
  <c r="S12" i="39"/>
  <c r="AA12" i="39"/>
  <c r="R49" i="39" s="1"/>
  <c r="U12" i="40"/>
  <c r="AB12" i="40"/>
  <c r="U12" i="39"/>
  <c r="AB12" i="39"/>
  <c r="T49" i="39" s="1"/>
  <c r="G49" i="39" s="1"/>
  <c r="P10" i="1"/>
  <c r="O16" i="1"/>
  <c r="C13" i="43"/>
  <c r="L16" i="1"/>
  <c r="N16" i="1"/>
  <c r="C29" i="43" s="1"/>
  <c r="R22" i="6"/>
  <c r="R9" i="1" s="1"/>
  <c r="AA34" i="34"/>
  <c r="R49" i="34" s="1"/>
  <c r="E49" i="34" s="1"/>
  <c r="S34" i="34"/>
  <c r="W34" i="34"/>
  <c r="AC34" i="34"/>
  <c r="V49" i="34" s="1"/>
  <c r="I49" i="34" s="1"/>
  <c r="D16" i="6"/>
  <c r="B4" i="40"/>
  <c r="B5" i="40"/>
  <c r="B3" i="40"/>
  <c r="A6" i="64"/>
  <c r="A6" i="51"/>
  <c r="B7" i="63" s="1"/>
  <c r="A20" i="51"/>
  <c r="B15" i="63" s="1"/>
  <c r="A20" i="64"/>
  <c r="N5" i="54"/>
  <c r="B43" i="63" s="1"/>
  <c r="AB34" i="34"/>
  <c r="T49" i="34" s="1"/>
  <c r="G49" i="34" s="1"/>
  <c r="G53" i="34" s="1"/>
  <c r="H53" i="34" s="1"/>
  <c r="U34" i="34"/>
  <c r="D27" i="6"/>
  <c r="D31" i="6" s="1"/>
  <c r="R19" i="6"/>
  <c r="R6" i="1" s="1"/>
  <c r="D7" i="66"/>
  <c r="D8" i="66"/>
  <c r="E4" i="67"/>
  <c r="C26" i="46"/>
  <c r="T8" i="1"/>
  <c r="H21" i="6"/>
  <c r="S21" i="6"/>
  <c r="S27" i="6" s="1"/>
  <c r="I27" i="6"/>
  <c r="T13" i="1"/>
  <c r="T12" i="1"/>
  <c r="T7" i="1"/>
  <c r="T6" i="1"/>
  <c r="T11" i="1"/>
  <c r="T10" i="1"/>
  <c r="F68" i="15"/>
  <c r="J29" i="15"/>
  <c r="R39" i="35"/>
  <c r="C38" i="35" s="1"/>
  <c r="G43" i="35"/>
  <c r="H43" i="35" s="1"/>
  <c r="E43" i="35"/>
  <c r="F43" i="35" s="1"/>
  <c r="I43" i="35"/>
  <c r="J43" i="35" s="1"/>
  <c r="E42" i="35"/>
  <c r="F42" i="35" s="1"/>
  <c r="C23" i="43"/>
  <c r="D21" i="43" s="1"/>
  <c r="I53" i="21"/>
  <c r="J53" i="21" s="1"/>
  <c r="G53" i="21"/>
  <c r="H53" i="21" s="1"/>
  <c r="Q69" i="44"/>
  <c r="L58" i="44"/>
  <c r="L61" i="44" s="1"/>
  <c r="C59" i="15"/>
  <c r="C65" i="15"/>
  <c r="B4" i="11"/>
  <c r="B3" i="11"/>
  <c r="B5" i="11"/>
  <c r="Q67" i="44"/>
  <c r="Q49" i="44"/>
  <c r="Q55" i="44" s="1"/>
  <c r="Q58" i="44"/>
  <c r="C38" i="15"/>
  <c r="C32" i="15"/>
  <c r="C16" i="44"/>
  <c r="C14" i="15"/>
  <c r="E7" i="67"/>
  <c r="R49" i="21" l="1"/>
  <c r="C49" i="21" s="1"/>
  <c r="B3" i="21" s="1"/>
  <c r="B2" i="21" s="1"/>
  <c r="C10" i="12" s="1"/>
  <c r="E53" i="21"/>
  <c r="F53" i="21" s="1"/>
  <c r="P16" i="1"/>
  <c r="C13" i="12" s="1"/>
  <c r="C14" i="12" s="1"/>
  <c r="C15" i="12"/>
  <c r="G54" i="39"/>
  <c r="H54" i="39" s="1"/>
  <c r="G53" i="39"/>
  <c r="H53" i="39" s="1"/>
  <c r="E49" i="39"/>
  <c r="I54" i="39" s="1"/>
  <c r="J54" i="39" s="1"/>
  <c r="R50" i="39"/>
  <c r="C50" i="39" s="1"/>
  <c r="C17" i="43"/>
  <c r="C14" i="43"/>
  <c r="R50" i="34"/>
  <c r="C50" i="34" s="1"/>
  <c r="B3" i="34" s="1"/>
  <c r="T16" i="1"/>
  <c r="I6" i="6"/>
  <c r="I5" i="6"/>
  <c r="E54" i="34"/>
  <c r="F54" i="34" s="1"/>
  <c r="E53" i="34"/>
  <c r="F53" i="34" s="1"/>
  <c r="E3" i="67"/>
  <c r="C18" i="15"/>
  <c r="C15" i="15"/>
  <c r="C17" i="44"/>
  <c r="C20" i="44"/>
  <c r="R21" i="6"/>
  <c r="H27" i="6"/>
  <c r="B2" i="46"/>
  <c r="I53" i="34"/>
  <c r="J53" i="34" s="1"/>
  <c r="G54" i="34"/>
  <c r="H54" i="34" s="1"/>
  <c r="I54" i="34"/>
  <c r="J54" i="34" s="1"/>
  <c r="C39" i="35"/>
  <c r="Q68" i="44"/>
  <c r="Q77" i="44" s="1"/>
  <c r="Q59" i="44"/>
  <c r="Q64" i="44" s="1"/>
  <c r="B7" i="67"/>
  <c r="C8" i="12" l="1"/>
  <c r="C17" i="12"/>
  <c r="C48" i="21"/>
  <c r="E53" i="39"/>
  <c r="F53" i="39" s="1"/>
  <c r="C49" i="39"/>
  <c r="E54" i="39"/>
  <c r="F54" i="39" s="1"/>
  <c r="C49" i="34"/>
  <c r="C18" i="12"/>
  <c r="C23" i="12" s="1"/>
  <c r="C19" i="15"/>
  <c r="C18" i="43"/>
  <c r="C21" i="44"/>
  <c r="C22" i="44" s="1"/>
  <c r="C25" i="44" s="1"/>
  <c r="B2" i="34"/>
  <c r="D10" i="12" s="1"/>
  <c r="D8" i="12"/>
  <c r="B2" i="67"/>
  <c r="C20" i="15"/>
  <c r="C23" i="15" s="1"/>
  <c r="D4" i="46"/>
  <c r="B3" i="46"/>
  <c r="B4" i="46"/>
  <c r="R8" i="1"/>
  <c r="R27" i="6"/>
  <c r="B66" i="39"/>
  <c r="F66" i="39" s="1"/>
  <c r="B59" i="39"/>
  <c r="F59" i="39" s="1"/>
  <c r="B60" i="39"/>
  <c r="F60" i="39" s="1"/>
  <c r="B65" i="39"/>
  <c r="F65" i="39" s="1"/>
  <c r="B62" i="39"/>
  <c r="F62" i="39" s="1"/>
  <c r="B61" i="39"/>
  <c r="F61" i="39" s="1"/>
  <c r="B63" i="39"/>
  <c r="F63" i="39" s="1"/>
  <c r="B64" i="39"/>
  <c r="F64" i="39" s="1"/>
  <c r="B58" i="39"/>
  <c r="F58" i="39" s="1"/>
  <c r="B67" i="39"/>
  <c r="F67" i="39" s="1"/>
  <c r="C33" i="15"/>
  <c r="F35" i="15"/>
  <c r="M21" i="15"/>
  <c r="C19" i="43" l="1"/>
  <c r="C25" i="43" s="1"/>
  <c r="C24" i="43" s="1"/>
  <c r="C26" i="15"/>
  <c r="C29" i="15" s="1"/>
  <c r="C28" i="44"/>
  <c r="C31" i="44" s="1"/>
  <c r="F62" i="15"/>
  <c r="C61" i="15" s="1"/>
  <c r="C34" i="15"/>
  <c r="J20" i="15"/>
  <c r="C31" i="15"/>
  <c r="R16" i="1"/>
  <c r="B3" i="67"/>
  <c r="B4" i="67"/>
  <c r="F68" i="39"/>
  <c r="B2" i="39" s="1"/>
  <c r="B4" i="39" s="1"/>
  <c r="C60" i="15"/>
  <c r="C21" i="9"/>
  <c r="C19" i="9"/>
  <c r="J14" i="15" l="1"/>
  <c r="J22" i="15" s="1"/>
  <c r="C13" i="15"/>
  <c r="J35" i="15" s="1"/>
  <c r="C36" i="15"/>
  <c r="C22" i="43"/>
  <c r="C21" i="43" s="1"/>
  <c r="C28" i="43" s="1"/>
  <c r="C30" i="43" s="1"/>
  <c r="C32" i="43" s="1"/>
  <c r="B2" i="43" s="1"/>
  <c r="B5" i="43" s="1"/>
  <c r="Q50" i="15"/>
  <c r="J59" i="15"/>
  <c r="J60" i="15" s="1"/>
  <c r="J19" i="15"/>
  <c r="J17" i="15" s="1"/>
  <c r="C56" i="15"/>
  <c r="C63" i="15" s="1"/>
  <c r="C58" i="15"/>
  <c r="B3" i="39"/>
  <c r="C15" i="44"/>
  <c r="J21" i="44"/>
  <c r="J19" i="44" s="1"/>
  <c r="J16" i="44"/>
  <c r="C35" i="44"/>
  <c r="C33" i="44" s="1"/>
  <c r="C38" i="44"/>
  <c r="Q51" i="44"/>
  <c r="J20" i="9"/>
  <c r="L43" i="9"/>
  <c r="B5" i="39"/>
  <c r="L57" i="15"/>
  <c r="L60" i="15" s="1"/>
  <c r="C20" i="9"/>
  <c r="C55" i="15" l="1"/>
  <c r="C64" i="15" s="1"/>
  <c r="C57" i="15" s="1"/>
  <c r="C66" i="15" s="1"/>
  <c r="C67" i="15" s="1"/>
  <c r="C70" i="15" s="1"/>
  <c r="C37" i="15"/>
  <c r="C30" i="15" s="1"/>
  <c r="C39" i="15" s="1"/>
  <c r="Q70" i="15" s="1"/>
  <c r="J13" i="15"/>
  <c r="J23" i="15" s="1"/>
  <c r="Q71" i="15"/>
  <c r="B3" i="43"/>
  <c r="B4" i="43"/>
  <c r="J16" i="15"/>
  <c r="J25" i="15" s="1"/>
  <c r="L46" i="15"/>
  <c r="Q49" i="15"/>
  <c r="J24" i="44"/>
  <c r="J15" i="44"/>
  <c r="J25" i="44" s="1"/>
  <c r="C39" i="44"/>
  <c r="C32" i="44" s="1"/>
  <c r="C42" i="44" s="1"/>
  <c r="C43" i="44"/>
  <c r="Q72" i="44"/>
  <c r="Q67" i="15"/>
  <c r="Q58" i="15"/>
  <c r="L51" i="15"/>
  <c r="Q69" i="15" l="1"/>
  <c r="Q68" i="15"/>
  <c r="J39" i="15"/>
  <c r="J40" i="15" s="1"/>
  <c r="C40" i="15"/>
  <c r="J42" i="15" s="1"/>
  <c r="J43" i="15" s="1"/>
  <c r="J18" i="44"/>
  <c r="J27" i="44" s="1"/>
  <c r="Q71" i="44"/>
  <c r="Q70" i="44" s="1"/>
  <c r="C44" i="44"/>
  <c r="C45" i="44" s="1"/>
  <c r="B2" i="44" s="1"/>
  <c r="Q57" i="15" l="1"/>
  <c r="Q63" i="15" s="1"/>
  <c r="B2" i="15"/>
  <c r="C43" i="15"/>
  <c r="Q66" i="15"/>
  <c r="Q76" i="15" s="1"/>
  <c r="Q48" i="15"/>
  <c r="Q54" i="15" s="1"/>
  <c r="C46" i="15"/>
  <c r="B3" i="44"/>
  <c r="B4" i="44"/>
  <c r="B5" i="44"/>
  <c r="E10" i="12" l="1"/>
  <c r="B3" i="15"/>
  <c r="E8" i="12" s="1"/>
  <c r="B2" i="35"/>
  <c r="B3" i="35" l="1"/>
  <c r="F10" i="12"/>
  <c r="C6" i="12" s="1"/>
  <c r="C29" i="12" l="1"/>
  <c r="C24" i="12"/>
  <c r="C35" i="12" l="1"/>
  <c r="C33" i="12" s="1"/>
  <c r="C28" i="12"/>
  <c r="C26" i="12" s="1"/>
  <c r="C31" i="12" s="1"/>
  <c r="C30" i="12" s="1"/>
  <c r="C36" i="12" l="1"/>
  <c r="B2" i="12" s="1"/>
  <c r="D19" i="9"/>
  <c r="G19" i="9" l="1"/>
  <c r="D22" i="9"/>
  <c r="J21" i="9"/>
  <c r="L44" i="9"/>
  <c r="B5" i="12"/>
  <c r="B3" i="12"/>
  <c r="B4" i="12"/>
  <c r="D20" i="9"/>
  <c r="D21" i="9"/>
  <c r="K19" i="9" l="1"/>
  <c r="J19" i="9"/>
  <c r="G20" i="9"/>
  <c r="G21" i="9"/>
  <c r="C32" i="9"/>
  <c r="G22" i="9"/>
  <c r="N43" i="9"/>
  <c r="C34" i="9" l="1"/>
  <c r="O43" i="9"/>
  <c r="C33" i="9"/>
  <c r="C35" i="9"/>
  <c r="F42" i="9" s="1"/>
  <c r="C42" i="9"/>
  <c r="O38" i="9"/>
  <c r="K25" i="9" l="1"/>
  <c r="K26" i="9"/>
  <c r="D63" i="9"/>
  <c r="D14" i="66"/>
  <c r="R5" i="54"/>
  <c r="B48" i="63" s="1"/>
  <c r="C44" i="9"/>
  <c r="N68" i="9"/>
  <c r="D42" i="9"/>
  <c r="Q5" i="54" s="1"/>
  <c r="B47" i="63" s="1"/>
  <c r="N38" i="9"/>
  <c r="K28" i="9" s="1"/>
  <c r="E42" i="9"/>
  <c r="P5" i="54" s="1"/>
  <c r="B46" i="63" s="1"/>
  <c r="M38" i="9"/>
  <c r="K27" i="9" s="1"/>
  <c r="N69" i="9" l="1"/>
  <c r="D44" i="9"/>
  <c r="E44" i="9"/>
  <c r="F44" i="9"/>
  <c r="O39" i="9"/>
  <c r="G14" i="66"/>
  <c r="B6" i="66" s="1"/>
  <c r="B5" i="66"/>
  <c r="F14" i="66"/>
  <c r="E14" i="66"/>
  <c r="D70" i="9"/>
  <c r="C82" i="9"/>
  <c r="C81" i="9" s="1"/>
  <c r="C85" i="9" s="1"/>
  <c r="C86" i="9" s="1"/>
  <c r="D72" i="9" s="1"/>
  <c r="C103" i="9"/>
  <c r="C90" i="9"/>
  <c r="D77" i="9"/>
  <c r="N75" i="9" s="1"/>
  <c r="D71" i="9"/>
  <c r="D66" i="9" s="1"/>
  <c r="N72" i="9" s="1"/>
  <c r="C96" i="9"/>
  <c r="C91" i="9" s="1"/>
  <c r="C111" i="9"/>
  <c r="C104" i="9" s="1"/>
  <c r="C97" i="9" l="1"/>
  <c r="C98" i="9" s="1"/>
  <c r="E98" i="9" s="1"/>
  <c r="E99" i="9" s="1"/>
  <c r="C113" i="9"/>
  <c r="C6" i="66"/>
  <c r="D6" i="66"/>
  <c r="C5" i="66"/>
  <c r="D5" i="66"/>
  <c r="R6" i="54"/>
  <c r="B50" i="63" s="1"/>
  <c r="K29" i="9"/>
  <c r="K30" i="9" s="1"/>
  <c r="M86" i="9"/>
  <c r="N86" i="9" s="1"/>
  <c r="M87" i="9"/>
  <c r="N87" i="9" s="1"/>
  <c r="M84" i="9"/>
  <c r="N84" i="9" s="1"/>
  <c r="M85" i="9"/>
  <c r="N85" i="9" s="1"/>
  <c r="M88" i="9"/>
  <c r="N88" i="9" s="1"/>
  <c r="M83" i="9"/>
  <c r="N83" i="9" s="1"/>
  <c r="N89" i="9" l="1"/>
  <c r="O89" i="9" s="1"/>
  <c r="C99" i="9"/>
  <c r="C114" i="9"/>
  <c r="E114" i="9" s="1"/>
  <c r="E115" i="9" s="1"/>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<sst xmlns="http://schemas.openxmlformats.org/spreadsheetml/2006/main" count="7780" uniqueCount="3333">
  <si>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</si>
  <si>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</si>
  <si>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</si>
  <si>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</si>
  <si>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</si>
  <si>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</si>
  <si>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</si>
  <si>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</si>
  <si>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</si>
  <si>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</si>
  <si>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</si>
  <si>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</si>
  <si>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</si>
  <si>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</si>
  <si>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</si>
  <si>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</si>
  <si>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</si>
  <si>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</si>
  <si>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</si>
  <si>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</si>
  <si>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</si>
  <si>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</si>
  <si>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</si>
  <si>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</si>
  <si>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</si>
  <si>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</si>
  <si>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</si>
  <si>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</si>
  <si>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</si>
  <si>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</si>
  <si>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</si>
  <si>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</si>
  <si>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</si>
  <si>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</si>
  <si>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</si>
  <si>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</si>
  <si>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</si>
  <si>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</si>
  <si>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</si>
  <si>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</si>
  <si>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</si>
  <si>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</si>
  <si>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</si>
  <si>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</si>
  <si>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</si>
  <si>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</si>
  <si>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</si>
  <si>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</si>
  <si>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</si>
  <si>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</si>
  <si>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</si>
  <si>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</si>
  <si>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</si>
  <si>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</si>
  <si>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</si>
  <si>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</si>
  <si>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</si>
  <si>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</si>
  <si>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</si>
  <si>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</si>
  <si>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</si>
  <si>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</si>
  <si>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</si>
  <si>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</si>
  <si>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</si>
  <si>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</si>
  <si>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</si>
  <si>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</si>
  <si>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</si>
  <si>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</si>
  <si>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</si>
  <si>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</si>
  <si>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</si>
  <si>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</si>
  <si>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</si>
  <si>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</si>
  <si>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</si>
  <si>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</si>
  <si>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</si>
  <si>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</si>
  <si>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</si>
  <si>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</si>
  <si>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</si>
  <si>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</si>
  <si>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</si>
  <si>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</si>
  <si>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</si>
  <si>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</si>
  <si>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</si>
  <si>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</si>
  <si>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</si>
  <si>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</si>
  <si>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</si>
  <si>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</si>
  <si>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</si>
  <si>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</si>
  <si>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</si>
  <si>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</si>
  <si>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</si>
  <si>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</si>
  <si>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</si>
  <si>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</si>
  <si>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</si>
  <si>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</si>
  <si>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</si>
  <si>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</si>
  <si>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</si>
  <si>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</si>
  <si>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</si>
  <si>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</si>
  <si>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</si>
  <si>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</si>
  <si>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</si>
  <si>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</si>
  <si>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</si>
  <si>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</si>
  <si>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</si>
  <si>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</si>
  <si>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</si>
  <si>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</si>
  <si>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</si>
  <si>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</si>
  <si>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</si>
  <si>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</si>
  <si>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</si>
  <si>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</si>
  <si>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</si>
  <si>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</si>
  <si>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</si>
  <si>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</si>
  <si>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</si>
  <si>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</si>
  <si>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</si>
  <si>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</si>
  <si>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</si>
  <si>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</si>
  <si>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</si>
  <si>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</si>
  <si>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</si>
  <si>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</si>
  <si>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</si>
  <si>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</si>
  <si>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</si>
  <si>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</si>
  <si>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</si>
  <si>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</si>
  <si>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</si>
  <si>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</si>
  <si>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</si>
  <si>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</si>
  <si>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</si>
  <si>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</si>
  <si>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</si>
  <si>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</si>
  <si>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</si>
  <si>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</si>
  <si>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</si>
  <si>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</si>
  <si>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</si>
  <si>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</si>
  <si>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</si>
  <si>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</si>
  <si>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</si>
  <si>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</si>
  <si>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</si>
  <si>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</si>
  <si>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</si>
  <si>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</si>
  <si>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</si>
  <si>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</si>
  <si>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</si>
  <si>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</si>
  <si>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</si>
  <si>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</si>
  <si>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</si>
  <si>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</si>
  <si>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</si>
  <si>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</si>
  <si>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</si>
  <si>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</si>
  <si>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</si>
  <si>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</si>
  <si>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</si>
  <si>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</si>
  <si>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</si>
  <si>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</si>
  <si>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</si>
  <si>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</si>
  <si>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</si>
  <si>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</si>
  <si>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</si>
  <si>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</si>
  <si>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</si>
  <si>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</si>
  <si>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</si>
  <si>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</si>
  <si>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</si>
  <si>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</si>
  <si>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</si>
  <si>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</si>
  <si>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</si>
  <si>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</si>
  <si>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</si>
  <si>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</si>
  <si>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</si>
  <si>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</si>
  <si>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</si>
  <si>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</si>
  <si>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</si>
  <si>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</si>
  <si>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</si>
  <si>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</si>
  <si>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</si>
  <si>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</si>
  <si>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</si>
  <si>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</si>
  <si>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</si>
  <si>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</si>
  <si>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</si>
  <si>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</si>
  <si>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</si>
  <si>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</si>
  <si>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</si>
  <si>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</si>
  <si>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</si>
  <si>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</si>
  <si>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</si>
  <si>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</si>
  <si>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</si>
  <si>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</si>
  <si>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</si>
  <si>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</si>
  <si>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</si>
  <si>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</si>
  <si>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</si>
  <si>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</si>
  <si>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</si>
  <si>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</si>
  <si>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</si>
  <si>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</si>
  <si>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</si>
  <si>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</si>
  <si>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</si>
  <si>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</si>
  <si>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</si>
  <si>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</si>
  <si>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</si>
  <si>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</si>
  <si>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</si>
  <si>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</si>
  <si>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</si>
  <si>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</si>
  <si>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</si>
  <si>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</si>
  <si>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</si>
  <si>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</si>
  <si>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</si>
  <si>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</si>
  <si>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</si>
  <si>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</si>
  <si>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</si>
  <si>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</si>
  <si>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</si>
  <si>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</si>
  <si>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</si>
  <si>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</si>
  <si>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</si>
  <si>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</si>
  <si>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</si>
  <si>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</si>
  <si>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</si>
  <si>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</si>
  <si>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</si>
  <si>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</si>
  <si>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</si>
  <si>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</si>
  <si>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</si>
  <si>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</si>
  <si>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</si>
  <si>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</si>
  <si>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</si>
  <si>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</si>
  <si>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</si>
  <si>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</si>
  <si>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</si>
  <si>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</si>
  <si>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</si>
  <si>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</si>
  <si>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</si>
  <si>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</si>
  <si>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</si>
  <si>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</si>
  <si>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</si>
  <si>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</si>
  <si>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</si>
  <si>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</si>
  <si>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</si>
  <si>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</si>
  <si>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</si>
  <si>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</si>
  <si>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</si>
  <si>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</si>
  <si>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</si>
  <si>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</si>
  <si>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</si>
  <si>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</si>
  <si>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</si>
  <si>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</si>
  <si>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</si>
  <si>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</si>
  <si>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</si>
  <si>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</si>
  <si>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</si>
  <si>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</si>
  <si>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</si>
  <si>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</si>
  <si>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</si>
  <si>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</si>
  <si>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</si>
  <si>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</si>
  <si>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</si>
  <si>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</si>
  <si>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</si>
  <si>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</si>
  <si>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</si>
  <si>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</si>
  <si>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</si>
  <si>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</si>
  <si>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</si>
  <si>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</si>
  <si>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</si>
  <si>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</si>
  <si>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</si>
  <si>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</si>
  <si>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</si>
  <si>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</si>
  <si>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</si>
  <si>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</si>
  <si>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</si>
  <si>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</si>
  <si>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</si>
  <si>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</si>
  <si>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</si>
  <si>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</si>
  <si>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</si>
  <si>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</si>
  <si>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</si>
  <si>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</si>
  <si>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</si>
  <si>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</si>
  <si>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</si>
  <si>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</si>
  <si>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</si>
  <si>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</si>
  <si>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</si>
  <si>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</si>
  <si>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</si>
  <si>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</si>
  <si>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</si>
  <si>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</si>
  <si>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</si>
  <si>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</si>
  <si>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</si>
  <si>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</si>
  <si>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</si>
  <si>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</si>
  <si>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</si>
  <si>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</si>
  <si>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</si>
  <si>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</si>
  <si>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</si>
  <si>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</si>
  <si>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</si>
  <si>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</si>
  <si>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</si>
  <si>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</si>
  <si>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</si>
  <si>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</si>
  <si>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</si>
  <si>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</si>
  <si>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</si>
  <si>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</si>
  <si>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</si>
  <si>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</si>
  <si>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</si>
  <si>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</si>
  <si>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</si>
  <si>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</si>
  <si>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</si>
  <si>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</si>
  <si>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</si>
  <si>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</si>
  <si>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</si>
  <si>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</si>
  <si>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</si>
  <si>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</si>
  <si>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</si>
  <si>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</si>
  <si>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</si>
  <si>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</si>
  <si>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</si>
  <si>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</si>
  <si>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</si>
  <si>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</si>
  <si>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</si>
  <si>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</si>
  <si>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</si>
  <si>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</si>
  <si>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</si>
  <si>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</si>
  <si>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</si>
  <si>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</si>
  <si>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</si>
  <si>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</si>
  <si>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</si>
  <si>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</si>
  <si>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</si>
  <si>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</si>
  <si>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</si>
  <si>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</si>
  <si>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</si>
  <si>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</si>
  <si>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</si>
  <si>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</si>
  <si>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</si>
  <si>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</si>
  <si>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</si>
  <si>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</si>
  <si>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</si>
  <si>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</si>
  <si>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</si>
  <si>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</si>
  <si>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</si>
  <si>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</si>
  <si>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</si>
  <si>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</si>
  <si>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</si>
  <si>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</si>
  <si>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</si>
  <si>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</si>
  <si>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</si>
  <si>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</si>
  <si>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</si>
  <si>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</si>
  <si>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</si>
  <si>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</si>
  <si>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</si>
  <si>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</si>
  <si>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</si>
  <si>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</si>
  <si>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</si>
  <si>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</si>
  <si>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</si>
  <si>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</si>
  <si>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</si>
  <si>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</si>
  <si>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</si>
  <si>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</si>
  <si>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</si>
  <si>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</si>
  <si>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</si>
  <si>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</si>
  <si>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</si>
  <si>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</si>
  <si>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</si>
  <si>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</si>
  <si>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</si>
  <si>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</si>
  <si>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</si>
  <si>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</si>
  <si>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</si>
  <si>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</si>
  <si>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</si>
  <si>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</si>
  <si>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</si>
  <si>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</si>
  <si>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</si>
  <si>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</si>
  <si>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</si>
  <si>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</si>
  <si>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</si>
  <si>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</si>
  <si>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</si>
  <si>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</si>
  <si>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</si>
  <si>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</si>
  <si>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</si>
  <si>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</si>
  <si>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</si>
  <si>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</si>
  <si>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</si>
  <si>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</si>
  <si>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</si>
  <si>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</si>
  <si>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</si>
  <si>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</si>
  <si>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</si>
  <si>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</si>
  <si>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</si>
  <si>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</si>
  <si>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</si>
  <si>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</si>
  <si>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</si>
  <si>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</si>
  <si>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</si>
  <si>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</si>
  <si>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</si>
  <si>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</si>
  <si>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</si>
  <si>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</si>
  <si>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</si>
  <si>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</si>
  <si>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</si>
  <si>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</si>
  <si>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</si>
  <si>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</si>
  <si>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</si>
  <si>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</si>
  <si>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</si>
  <si>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</si>
  <si>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</si>
  <si>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</si>
  <si>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</si>
  <si>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</si>
  <si>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</si>
  <si>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</si>
  <si>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</si>
  <si>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</si>
  <si>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</si>
  <si>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</si>
  <si>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</si>
  <si>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</si>
  <si>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</si>
  <si>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</si>
  <si>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</si>
  <si>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</si>
  <si>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</si>
  <si>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</si>
  <si>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</si>
  <si>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</si>
  <si>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</si>
  <si>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</si>
  <si>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</si>
  <si>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</si>
  <si>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</si>
  <si>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</si>
  <si>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</si>
  <si>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</si>
  <si>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</si>
  <si>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</si>
  <si>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</si>
  <si>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</si>
  <si>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</si>
  <si>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</si>
  <si>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</si>
  <si>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</si>
  <si>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</si>
  <si>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</si>
  <si>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</si>
  <si>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</si>
  <si>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</si>
  <si>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</si>
  <si>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</si>
  <si>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</si>
  <si>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</si>
  <si>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</si>
  <si>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</si>
  <si>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</si>
  <si>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</si>
  <si>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</si>
  <si>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</si>
  <si>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</si>
  <si>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</si>
  <si>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</si>
  <si>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</si>
  <si>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</si>
  <si>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</si>
  <si>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</si>
  <si>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</si>
  <si>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</si>
  <si>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</si>
  <si>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</si>
  <si>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</si>
  <si>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</si>
  <si>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</si>
  <si>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</si>
  <si>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</si>
  <si>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</si>
  <si>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</si>
  <si>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</si>
  <si>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</si>
  <si>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</si>
  <si>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</si>
  <si>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</si>
  <si>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</si>
  <si>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</si>
  <si>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</si>
  <si>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</si>
  <si>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</si>
  <si>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</si>
  <si>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</si>
  <si>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</si>
  <si>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</si>
  <si>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</si>
  <si>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</si>
  <si>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</si>
  <si>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</si>
  <si>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</si>
  <si>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</si>
  <si>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</si>
  <si>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</si>
  <si>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</si>
  <si>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</si>
  <si>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</si>
  <si>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</si>
  <si>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</si>
  <si>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</si>
  <si>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</si>
  <si>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</si>
  <si>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</si>
  <si>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</si>
  <si>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</si>
  <si>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</si>
  <si>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</si>
  <si>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</si>
  <si>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</si>
  <si>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</si>
  <si>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</si>
  <si>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</si>
  <si>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</si>
  <si>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</si>
  <si>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</si>
  <si>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</si>
  <si>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</si>
  <si>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</si>
  <si>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</si>
  <si>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</si>
  <si>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</si>
  <si>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</si>
  <si>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</si>
  <si>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</si>
  <si>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</si>
  <si>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</si>
  <si>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</si>
  <si>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</si>
  <si>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</si>
  <si>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</si>
  <si>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</si>
  <si>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</si>
  <si>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</si>
  <si>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</si>
  <si>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</si>
  <si>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</si>
  <si>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</si>
  <si>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</si>
  <si>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</si>
  <si>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</si>
  <si>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</si>
  <si>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</si>
  <si>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</si>
  <si>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</si>
  <si>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</si>
  <si>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</si>
  <si>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</si>
  <si>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</si>
  <si>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</si>
  <si>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</si>
  <si>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</si>
  <si>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</si>
  <si>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</si>
  <si>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</si>
  <si>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</si>
  <si>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</si>
  <si>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</si>
  <si>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</si>
  <si>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</si>
  <si>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</si>
  <si>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</si>
  <si>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</si>
  <si>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</si>
  <si>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</si>
  <si>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</si>
  <si>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</si>
  <si>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</si>
  <si>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</si>
  <si>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</si>
  <si>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</si>
  <si>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</si>
  <si>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</si>
  <si>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</si>
  <si>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</si>
  <si>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</si>
  <si>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</si>
  <si>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</si>
  <si>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</si>
  <si>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</si>
  <si>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</si>
  <si>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</si>
  <si>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</si>
  <si>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</si>
  <si>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</si>
  <si>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</si>
  <si>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</si>
  <si>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</si>
  <si>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</si>
  <si>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</si>
  <si>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</si>
  <si>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</si>
  <si>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</si>
  <si>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</si>
  <si>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</si>
  <si>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</si>
  <si>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</si>
  <si>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</si>
  <si>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</si>
  <si>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</si>
  <si>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</si>
  <si>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</si>
  <si>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</si>
  <si>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</si>
  <si>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</si>
  <si>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</si>
  <si>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</si>
  <si>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</si>
  <si>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</si>
  <si>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</si>
  <si>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</si>
  <si>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</si>
  <si>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</si>
  <si>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</si>
  <si>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</si>
  <si>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</si>
  <si>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</si>
  <si>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</si>
  <si>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</si>
  <si>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</si>
  <si>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</si>
  <si>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</si>
  <si>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</si>
  <si>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</si>
  <si>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</si>
  <si>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</si>
  <si>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</si>
  <si>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</si>
  <si>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</si>
  <si>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</si>
  <si>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</si>
  <si>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</si>
  <si>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</si>
  <si>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</si>
  <si>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</si>
  <si>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</si>
  <si>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</si>
  <si>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</si>
  <si>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</si>
  <si>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</si>
  <si>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</si>
  <si>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</si>
  <si>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</si>
  <si>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</si>
  <si>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</si>
  <si>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</si>
  <si>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</si>
  <si>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</si>
  <si>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</si>
  <si>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</si>
  <si>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</si>
  <si>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</si>
  <si>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</si>
  <si>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</si>
  <si>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</si>
  <si>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</si>
  <si>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</si>
  <si>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</si>
  <si>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</si>
  <si>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</si>
  <si>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</si>
  <si>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</si>
  <si>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</si>
  <si>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</si>
  <si>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</si>
  <si>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</si>
  <si>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</si>
  <si>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</si>
  <si>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</si>
  <si>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</si>
  <si>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</si>
  <si>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</si>
  <si>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</si>
  <si>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</si>
  <si>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</si>
  <si>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</si>
  <si>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</si>
  <si>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</si>
  <si>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</si>
  <si>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</si>
  <si>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</si>
  <si>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</si>
  <si>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</si>
  <si>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</si>
  <si>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</si>
  <si>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</si>
  <si>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</si>
  <si>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</si>
  <si>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</si>
  <si>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</si>
  <si>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</si>
  <si>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</si>
  <si>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</si>
  <si>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</si>
  <si>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</si>
  <si>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</si>
  <si>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</si>
  <si>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</si>
  <si>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</si>
  <si>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</si>
  <si>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</si>
  <si>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</si>
  <si>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</si>
  <si>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</si>
  <si>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</si>
  <si>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</si>
  <si>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</si>
  <si>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</si>
  <si>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</si>
  <si>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</si>
  <si>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</si>
  <si>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</si>
  <si>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</si>
  <si>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</si>
  <si>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</si>
  <si>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</si>
  <si>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</si>
  <si>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</si>
  <si>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</si>
  <si>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</si>
  <si>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</si>
  <si>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</si>
  <si>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</si>
  <si>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</si>
  <si>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</si>
  <si>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</si>
  <si>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</si>
  <si>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</si>
  <si>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</si>
  <si>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</si>
  <si>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</si>
  <si>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</si>
  <si>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</si>
  <si>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</si>
  <si>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</si>
  <si>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</si>
  <si>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</si>
  <si>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</si>
  <si>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</si>
  <si>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</si>
  <si>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</si>
  <si>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</si>
  <si>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</si>
  <si>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</si>
  <si>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</si>
  <si>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</si>
  <si>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</si>
  <si>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</si>
  <si>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</si>
  <si>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</si>
  <si>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</si>
  <si>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</si>
  <si>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</si>
  <si>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</si>
  <si>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</si>
  <si>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</si>
  <si>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</si>
  <si>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</si>
  <si>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</si>
  <si>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</si>
  <si>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</si>
  <si>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</si>
  <si>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</si>
  <si>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</si>
  <si>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</si>
  <si>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</si>
  <si>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</si>
  <si>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</si>
  <si>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</si>
  <si>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</si>
  <si>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</si>
  <si>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</si>
  <si>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</si>
  <si>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</si>
  <si>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</si>
  <si>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</si>
  <si>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</si>
  <si>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</si>
  <si>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</si>
  <si>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</si>
  <si>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</si>
  <si>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</si>
  <si>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</si>
  <si>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</si>
  <si>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</si>
  <si>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</si>
  <si>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</si>
  <si>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</si>
  <si>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</si>
  <si>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</si>
  <si>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</si>
  <si>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</si>
  <si>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</si>
  <si>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</si>
  <si>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</si>
  <si>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</si>
  <si>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</si>
  <si>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</si>
  <si>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</si>
  <si>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</si>
  <si>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</si>
  <si>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</si>
  <si>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</si>
  <si>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</si>
  <si>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</si>
  <si>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</si>
  <si>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</si>
  <si>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</si>
  <si>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</si>
  <si>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</si>
  <si>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</si>
  <si>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</si>
  <si>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</si>
  <si>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</si>
  <si>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</si>
  <si>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</si>
  <si>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</si>
  <si>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</si>
  <si>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</si>
  <si>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</si>
  <si>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</si>
  <si>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</si>
  <si>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</si>
  <si>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</si>
  <si>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</si>
  <si>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</si>
  <si>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</si>
  <si>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</si>
  <si>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</si>
  <si>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</si>
  <si>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</si>
  <si>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</si>
  <si>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</si>
  <si>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</si>
  <si>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</si>
  <si>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</si>
  <si>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</si>
  <si>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</si>
  <si>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</si>
  <si>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</si>
  <si>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</si>
  <si>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</si>
  <si>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</si>
  <si>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</si>
  <si>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</si>
  <si>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</si>
  <si>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</si>
  <si>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</si>
  <si>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</si>
  <si>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</si>
  <si>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</si>
  <si>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</si>
  <si>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</si>
  <si>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</si>
  <si>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</si>
  <si>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</si>
  <si>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</si>
  <si>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</si>
  <si>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</si>
  <si>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</si>
  <si>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</si>
  <si>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</si>
  <si>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</si>
  <si>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</si>
  <si>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</si>
  <si>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</si>
  <si>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</si>
  <si>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</si>
  <si>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</si>
  <si>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</si>
  <si>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</si>
  <si>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</si>
  <si>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</si>
  <si>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</si>
  <si>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</si>
  <si>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</si>
  <si>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</si>
  <si>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</si>
  <si>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</si>
  <si>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</si>
  <si>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</si>
  <si>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</si>
  <si>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</si>
  <si>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</si>
  <si>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</si>
  <si>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</si>
  <si>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</si>
  <si>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</si>
  <si>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</si>
  <si>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</si>
  <si>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</si>
  <si>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</si>
  <si>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</si>
  <si>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</si>
  <si>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</si>
  <si>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</si>
  <si>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</si>
  <si>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</si>
  <si>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</si>
  <si>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</si>
  <si>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</si>
  <si>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</si>
  <si>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</si>
  <si>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</si>
  <si>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</si>
  <si>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</si>
  <si>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</si>
  <si>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</si>
  <si>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</si>
  <si>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</si>
  <si>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</si>
  <si>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</si>
  <si>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</si>
  <si>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</si>
  <si>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</si>
  <si>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</si>
  <si>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</si>
  <si>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</si>
  <si>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</si>
  <si>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</si>
  <si>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</si>
  <si>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</si>
  <si>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</si>
  <si>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</si>
  <si>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</si>
  <si>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</si>
  <si>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</si>
  <si>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</si>
  <si>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</si>
  <si>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</si>
  <si>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</si>
  <si>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</si>
  <si>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</si>
  <si>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</si>
  <si>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</si>
  <si>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</si>
  <si>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</si>
  <si>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</si>
  <si>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</si>
  <si>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</si>
  <si>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</si>
  <si>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</si>
  <si>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</si>
  <si>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</si>
  <si>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</si>
  <si>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</si>
  <si>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</si>
  <si>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</si>
  <si>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</si>
  <si>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</si>
  <si>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</si>
  <si>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</si>
  <si>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</si>
  <si>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</si>
  <si>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</si>
  <si>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</si>
  <si>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</si>
  <si>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</si>
  <si>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</si>
  <si>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</si>
  <si>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</si>
  <si>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</si>
  <si>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</si>
  <si>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</si>
  <si>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</si>
  <si>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</si>
  <si>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</si>
  <si>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</si>
  <si>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</si>
  <si>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</si>
  <si>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</si>
  <si>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</si>
  <si>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</si>
  <si>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</si>
  <si>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</si>
  <si>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</si>
  <si>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</si>
  <si>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</si>
  <si>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</si>
  <si>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</si>
  <si>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</si>
  <si>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</si>
  <si>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</si>
  <si>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</si>
  <si>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</si>
  <si>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</si>
  <si>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</si>
  <si>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</si>
  <si>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</si>
  <si>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</si>
  <si>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</si>
  <si>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</si>
  <si>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</si>
  <si>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</si>
  <si>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</si>
  <si>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</si>
  <si>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</si>
  <si>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</si>
  <si>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</si>
  <si>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</si>
  <si>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</si>
  <si>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</si>
  <si>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</si>
  <si>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</si>
  <si>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</si>
  <si>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</si>
  <si>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</si>
  <si>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</si>
  <si>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</si>
  <si>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</si>
  <si>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</si>
  <si>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</si>
  <si>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</si>
  <si>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</si>
  <si>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</si>
  <si>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</si>
  <si>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</si>
  <si>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</si>
  <si>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</si>
  <si>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</si>
  <si>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</si>
  <si>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</si>
  <si>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</si>
  <si>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</si>
  <si>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</si>
  <si>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</si>
  <si>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</si>
  <si>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</si>
  <si>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</si>
  <si>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</si>
  <si>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</si>
  <si>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</si>
  <si>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</si>
  <si>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</si>
  <si>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</si>
  <si>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</si>
  <si>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</si>
  <si>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</si>
  <si>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</si>
  <si>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</si>
  <si>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</si>
  <si>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</si>
  <si>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</si>
  <si>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</si>
  <si>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</si>
  <si>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</si>
  <si>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</si>
  <si>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</si>
  <si>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</si>
  <si>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</si>
  <si>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</si>
  <si>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</si>
  <si>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</si>
  <si>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</si>
  <si>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</si>
  <si>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</si>
  <si>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</si>
  <si>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</si>
  <si>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</si>
  <si>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</si>
  <si>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</si>
  <si>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</si>
  <si>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</si>
  <si>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</si>
  <si>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</si>
  <si>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</si>
  <si>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</si>
  <si>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</si>
  <si>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</si>
  <si>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</si>
  <si>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</si>
  <si>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</si>
  <si>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</si>
  <si>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</si>
  <si>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</si>
  <si>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</si>
  <si>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</si>
  <si>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</si>
  <si>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</si>
  <si>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</si>
  <si>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</si>
  <si>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</si>
  <si>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</si>
  <si>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</si>
  <si>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</si>
  <si>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</si>
  <si>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</si>
  <si>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</si>
  <si>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</si>
  <si>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</si>
  <si>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</si>
  <si>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</si>
  <si>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</si>
  <si>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</si>
  <si>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</si>
  <si>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</si>
  <si>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</si>
  <si>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</si>
  <si>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</si>
  <si>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</si>
  <si>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</si>
  <si>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</si>
  <si>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</si>
  <si>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</si>
  <si>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</si>
  <si>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</si>
  <si>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</si>
  <si>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</si>
  <si>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</si>
  <si>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</si>
  <si>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</si>
  <si>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</si>
  <si>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</si>
  <si>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</si>
  <si>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</si>
  <si>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</si>
  <si>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</si>
  <si>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</si>
  <si>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</si>
  <si>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</si>
  <si>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</si>
  <si>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</si>
  <si>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</si>
  <si>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</si>
  <si>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</si>
  <si>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</si>
  <si>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</si>
  <si>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</si>
  <si>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</si>
  <si>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</si>
  <si>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</si>
  <si>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</si>
  <si>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</si>
  <si>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</si>
  <si>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</si>
  <si>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</si>
  <si>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</si>
  <si>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</si>
  <si>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</si>
  <si>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</si>
  <si>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</si>
  <si>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</si>
  <si>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</si>
  <si>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</si>
  <si>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</si>
  <si>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</si>
  <si>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</si>
  <si>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</si>
  <si>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</si>
  <si>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</si>
  <si>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</si>
  <si>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</si>
  <si>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</si>
  <si>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</si>
  <si>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</si>
  <si>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</si>
  <si>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</si>
  <si>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</si>
  <si>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</si>
  <si>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</si>
  <si>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</si>
  <si>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</si>
  <si>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</si>
  <si>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</si>
  <si>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</si>
  <si>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</si>
  <si>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</si>
  <si>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</si>
  <si>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</si>
  <si>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</si>
  <si>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</si>
  <si>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</si>
  <si>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</si>
  <si>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</si>
  <si>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</si>
  <si>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</si>
  <si>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</si>
  <si>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</si>
  <si>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</si>
  <si>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</si>
  <si>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</si>
  <si>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</si>
  <si>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</si>
  <si>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</si>
  <si>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</si>
  <si>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</si>
  <si>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</si>
  <si>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</si>
  <si>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</si>
  <si>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</si>
  <si>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</si>
  <si>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</si>
  <si>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</si>
  <si>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</si>
  <si>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</si>
  <si>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</si>
  <si>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</si>
  <si>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</si>
  <si>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</si>
  <si>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</si>
  <si>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</si>
  <si>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</si>
  <si>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</si>
  <si>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</si>
  <si>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</si>
  <si>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</si>
  <si>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</si>
  <si>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</si>
  <si>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</si>
  <si>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</si>
  <si>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</si>
  <si>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</si>
  <si>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</si>
  <si>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</si>
  <si>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</si>
  <si>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</si>
  <si>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</si>
  <si>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</si>
  <si>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</si>
  <si>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</si>
  <si>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</si>
  <si>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</si>
  <si>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</si>
  <si>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</si>
  <si>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</si>
  <si>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</si>
  <si>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</si>
  <si>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</si>
  <si>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</si>
  <si>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</si>
  <si>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</si>
  <si>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</si>
  <si>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</si>
  <si>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</si>
  <si>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</si>
  <si>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</si>
  <si>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</si>
  <si>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</si>
  <si>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</si>
  <si>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</si>
  <si>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</si>
  <si>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</si>
  <si>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</si>
  <si>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</si>
  <si>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</si>
  <si>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</si>
  <si>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</si>
  <si>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</si>
  <si>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</si>
  <si>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</si>
  <si>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</si>
  <si>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</si>
  <si>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</si>
  <si>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</si>
  <si>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</si>
  <si>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</si>
  <si>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</si>
  <si>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</si>
  <si>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</si>
  <si>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</si>
  <si>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</si>
  <si>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</si>
  <si>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</si>
  <si>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</si>
  <si>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</si>
  <si>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</si>
  <si>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</si>
  <si>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</si>
  <si>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</si>
  <si>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</si>
  <si>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</si>
  <si>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</si>
  <si>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</si>
  <si>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</si>
  <si>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</si>
  <si>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</si>
  <si>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</si>
  <si>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</si>
  <si>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</si>
  <si>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</si>
  <si>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</si>
  <si>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</si>
  <si>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</si>
  <si>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</si>
  <si>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</si>
  <si>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</si>
  <si>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</si>
  <si>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</si>
  <si>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</si>
  <si>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</si>
  <si>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</si>
  <si>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</si>
  <si>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</si>
  <si>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</si>
  <si>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</si>
  <si>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</si>
  <si>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</si>
  <si>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</si>
  <si>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</si>
  <si>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</si>
  <si>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</si>
  <si>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</si>
  <si>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</si>
  <si>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</si>
  <si>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</si>
  <si>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</si>
  <si>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</si>
  <si>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</si>
  <si>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</si>
  <si>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</si>
  <si>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</si>
  <si>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</si>
  <si>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</si>
  <si>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</si>
  <si>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</si>
  <si>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</si>
  <si>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</si>
  <si>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</si>
  <si>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</si>
  <si>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</si>
  <si>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</si>
  <si>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</si>
  <si>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</si>
  <si>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</si>
  <si>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</si>
  <si>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</si>
  <si>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</si>
  <si>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</si>
  <si>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</si>
  <si>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</si>
  <si>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</si>
  <si>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</si>
  <si>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</si>
  <si>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</si>
  <si>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</si>
  <si>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</si>
  <si>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</si>
  <si>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</si>
  <si>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</si>
  <si>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</si>
  <si>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</si>
  <si>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</si>
  <si>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</si>
  <si>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</si>
  <si>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</si>
  <si>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</si>
  <si>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</si>
  <si>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</si>
  <si>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</si>
  <si>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</si>
  <si>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</si>
  <si>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</si>
  <si>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</si>
  <si>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</si>
  <si>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</si>
  <si>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</si>
  <si>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</si>
  <si>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</si>
  <si>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</si>
  <si>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</si>
  <si>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</si>
  <si>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</si>
  <si>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</si>
  <si>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</si>
  <si>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</si>
  <si>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</si>
  <si>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</si>
  <si>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</si>
  <si>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</si>
  <si>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</si>
  <si>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</si>
  <si>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</si>
  <si>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</si>
  <si>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</si>
  <si>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</si>
  <si>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</si>
  <si>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</si>
  <si>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</si>
  <si>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</si>
  <si>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</si>
  <si>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</si>
  <si>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</si>
  <si>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</si>
  <si>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</si>
  <si>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</si>
  <si>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</si>
  <si>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</si>
  <si>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</si>
  <si>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</si>
  <si>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</si>
  <si>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</si>
  <si>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</si>
  <si>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</si>
  <si>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</si>
  <si>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</si>
  <si>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</si>
  <si>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</si>
  <si>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</si>
  <si>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</si>
  <si>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</si>
  <si>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</si>
  <si>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</si>
  <si>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</si>
  <si>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</si>
  <si>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</si>
  <si>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</si>
  <si>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</si>
  <si>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</si>
  <si>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</si>
  <si>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</si>
  <si>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</si>
  <si>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</si>
  <si>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</si>
  <si>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</si>
  <si>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</si>
  <si>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</si>
  <si>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</si>
  <si>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</si>
  <si>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</si>
  <si>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</si>
  <si>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</si>
  <si>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</si>
  <si>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</si>
  <si>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</si>
  <si>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</si>
  <si>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</si>
  <si>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</si>
  <si>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</si>
  <si>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</si>
  <si>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</si>
  <si>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</si>
  <si>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</si>
  <si>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</si>
  <si>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</si>
  <si>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</si>
  <si>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</si>
  <si>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</si>
  <si>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</si>
  <si>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</si>
  <si>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</si>
  <si>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</si>
  <si>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</si>
  <si>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</si>
  <si>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</si>
  <si>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</si>
  <si>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</si>
  <si>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</si>
  <si>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</si>
  <si>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</si>
  <si>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</si>
  <si>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</si>
  <si>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</si>
  <si>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</si>
  <si>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</si>
  <si>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</si>
  <si>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</si>
  <si>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</si>
  <si>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</si>
  <si>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</si>
  <si>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</si>
  <si>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</si>
  <si>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</si>
  <si>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</si>
  <si>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</si>
  <si>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</si>
  <si>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</si>
  <si>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</si>
  <si>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</si>
  <si>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</si>
  <si>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</si>
  <si>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</si>
  <si>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</si>
  <si>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</si>
  <si>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</si>
  <si>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</si>
  <si>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</si>
  <si>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</si>
  <si>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</si>
  <si>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</si>
  <si>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</si>
  <si>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</si>
  <si>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</si>
  <si>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</si>
  <si>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</si>
  <si>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</si>
  <si>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</si>
  <si>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</si>
  <si>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</si>
  <si>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</si>
  <si>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</si>
  <si>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</si>
  <si>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</si>
  <si>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</si>
  <si>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</si>
  <si>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</si>
  <si>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</si>
  <si>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</si>
  <si>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</si>
  <si>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</si>
  <si>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</si>
  <si>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</si>
  <si>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</si>
  <si>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</si>
  <si>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</si>
  <si>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</si>
  <si>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</si>
  <si>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</si>
  <si>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</si>
  <si>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</si>
  <si>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</si>
  <si>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</si>
  <si>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</si>
  <si>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</si>
  <si>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</si>
  <si>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</si>
  <si>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</si>
  <si>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</si>
  <si>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</si>
  <si>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</si>
  <si>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</si>
  <si>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</si>
  <si>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</si>
  <si>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</si>
  <si>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</si>
  <si>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</si>
  <si>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</si>
  <si>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</si>
  <si>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</si>
  <si>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</si>
  <si>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</si>
  <si>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</si>
  <si>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</si>
  <si>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</si>
  <si>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</si>
  <si>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</si>
  <si>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</si>
  <si>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</si>
  <si>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</si>
  <si>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</si>
  <si>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</si>
  <si>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</si>
  <si>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</si>
  <si>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</si>
  <si>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</si>
  <si>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</si>
  <si>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</si>
  <si>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</si>
  <si>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</si>
  <si>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</si>
  <si>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</si>
  <si>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</si>
  <si>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</si>
  <si>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</si>
  <si>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</si>
  <si>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</si>
  <si>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</si>
  <si>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</si>
  <si>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</si>
  <si>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</si>
  <si>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</si>
  <si>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</si>
  <si>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</si>
  <si>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</si>
  <si>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</si>
  <si>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</si>
  <si>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</si>
  <si>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</si>
  <si>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</si>
  <si>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</si>
  <si>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</si>
  <si>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</si>
  <si>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</si>
  <si>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</si>
  <si>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</si>
  <si>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</si>
  <si>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</si>
  <si>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</si>
  <si>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</si>
  <si>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</si>
  <si>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</si>
  <si>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</si>
  <si>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</si>
  <si>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</si>
  <si>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</si>
  <si>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</si>
  <si>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</si>
  <si>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</si>
  <si>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</si>
  <si>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</si>
  <si>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</si>
  <si>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</si>
  <si>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</si>
  <si>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</si>
  <si>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</si>
  <si>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</si>
  <si>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</si>
  <si>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</si>
  <si>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</si>
  <si>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</si>
  <si>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</si>
  <si>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</si>
  <si>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</si>
  <si>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</si>
  <si>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</si>
  <si>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</si>
  <si>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</si>
  <si>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</si>
  <si>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</si>
  <si>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</si>
  <si>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</si>
  <si>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</si>
  <si>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</si>
  <si>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</si>
  <si>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</si>
  <si>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</si>
  <si>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</si>
  <si>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</si>
  <si>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</si>
  <si>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</si>
  <si>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</si>
  <si>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</si>
  <si>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</si>
  <si>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</si>
  <si>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</si>
  <si>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</si>
  <si>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</si>
  <si>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</si>
  <si>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</si>
  <si>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</si>
  <si>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</si>
  <si>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</si>
  <si>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</si>
  <si>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</si>
  <si>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</si>
  <si>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</si>
  <si>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</si>
  <si>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</si>
  <si>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</si>
  <si>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</si>
  <si>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</si>
  <si>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</si>
  <si>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</si>
  <si>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</si>
  <si>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</si>
  <si>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</si>
  <si>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</si>
  <si>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</si>
  <si>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</si>
  <si>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</si>
  <si>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</si>
  <si>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</si>
  <si>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</si>
  <si>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</si>
  <si>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</si>
  <si>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</si>
  <si>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</si>
  <si>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</si>
  <si>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</si>
  <si>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</si>
  <si>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</si>
  <si>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</si>
  <si>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</si>
  <si>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</si>
  <si>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</si>
  <si>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</si>
  <si>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</si>
  <si>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</si>
  <si>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</si>
  <si>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</si>
  <si>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</si>
  <si>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</si>
  <si>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</si>
  <si>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</si>
  <si>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</si>
  <si>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</si>
  <si>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</si>
  <si>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</si>
  <si>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</si>
  <si>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</si>
  <si>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</si>
  <si>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</si>
  <si>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</si>
  <si>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</si>
  <si>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</si>
  <si>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</si>
  <si>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</si>
  <si>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</si>
  <si>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</si>
  <si>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</si>
  <si>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</si>
  <si>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</si>
  <si>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</si>
  <si>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</si>
  <si>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</si>
  <si>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</si>
  <si>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</si>
  <si>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</si>
  <si>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</si>
  <si>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</si>
  <si>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</si>
  <si>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</si>
  <si>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</si>
  <si>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</si>
  <si>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</si>
  <si>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</si>
  <si>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</si>
  <si>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</si>
  <si>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</si>
  <si>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</si>
  <si>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</si>
  <si>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</si>
  <si>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</si>
  <si>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</si>
  <si>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</si>
  <si>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</si>
  <si>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</si>
  <si>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</si>
  <si>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</si>
  <si>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</si>
  <si>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</si>
  <si>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</si>
  <si>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</si>
  <si>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</si>
  <si>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</si>
  <si>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</si>
  <si>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</si>
  <si>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</si>
  <si>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</si>
  <si>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</si>
  <si>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</si>
  <si>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</si>
  <si>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</si>
  <si>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</si>
  <si>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</si>
  <si>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</si>
  <si>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</si>
  <si>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</si>
  <si>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</si>
  <si>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</si>
  <si>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</si>
  <si>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</si>
  <si>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</si>
  <si>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</si>
  <si>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</si>
  <si>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</si>
  <si>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</si>
  <si>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</si>
  <si>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</si>
  <si>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</si>
  <si>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</si>
  <si>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</si>
  <si>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</si>
  <si>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</si>
  <si>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</si>
  <si>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</si>
  <si>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</si>
  <si>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</si>
  <si>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</si>
  <si>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</si>
  <si>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</si>
  <si>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</si>
  <si>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</si>
  <si>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</si>
  <si>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</si>
  <si>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</si>
  <si>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</si>
  <si>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</si>
  <si>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</si>
  <si>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</si>
  <si>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</si>
  <si>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</si>
  <si>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</si>
  <si>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</si>
  <si>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</si>
  <si>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</si>
  <si>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</si>
  <si>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</si>
  <si>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</si>
  <si>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</si>
  <si>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</si>
  <si>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</si>
  <si>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</si>
  <si>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</si>
  <si>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</si>
  <si>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</si>
  <si>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</si>
  <si>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</si>
  <si>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</si>
  <si>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</si>
  <si>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</si>
  <si>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</si>
  <si>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</si>
  <si>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</si>
  <si>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</si>
  <si>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</si>
  <si>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</si>
  <si>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</si>
  <si>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</si>
  <si>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</si>
  <si>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</si>
  <si>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</si>
  <si>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</si>
  <si>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</si>
  <si>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</si>
  <si>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</si>
  <si>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</si>
  <si>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</si>
  <si>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</si>
  <si>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</si>
  <si>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</si>
  <si>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</si>
  <si>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</si>
  <si>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</si>
  <si>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</si>
  <si>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</si>
  <si>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</si>
  <si>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</si>
  <si>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</si>
  <si>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</si>
  <si>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</si>
  <si>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</si>
  <si>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</si>
  <si>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</si>
  <si>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</si>
  <si>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</si>
  <si>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</si>
  <si>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</si>
  <si>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</si>
  <si>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</si>
  <si>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</si>
  <si>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</si>
  <si>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</si>
  <si>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</si>
  <si>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</si>
  <si>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</si>
  <si>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</si>
  <si>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</si>
  <si>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</si>
  <si>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</si>
  <si>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</si>
  <si>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</si>
  <si>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</si>
  <si>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</si>
  <si>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</si>
  <si>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</si>
  <si>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</si>
  <si>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</si>
  <si>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</si>
  <si>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</si>
  <si>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</si>
  <si>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</si>
  <si>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</si>
  <si>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</si>
  <si>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</si>
  <si>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</si>
  <si>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</si>
  <si>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</si>
  <si>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</si>
  <si>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</si>
  <si>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</si>
  <si>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</si>
  <si>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</si>
  <si>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</si>
  <si>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</si>
  <si>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</si>
  <si>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</si>
  <si>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</si>
  <si>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</si>
  <si>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</si>
  <si>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</si>
  <si>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</si>
  <si>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</si>
  <si>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</si>
  <si>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</si>
  <si>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</si>
  <si>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</si>
  <si>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</si>
  <si>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</si>
  <si>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</si>
  <si>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</si>
  <si>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</si>
  <si>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</si>
  <si>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</si>
  <si>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</si>
  <si>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</si>
  <si>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</si>
  <si>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</si>
  <si>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</si>
  <si>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</si>
  <si>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</si>
  <si>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</si>
  <si>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</si>
  <si>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</si>
  <si>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</si>
  <si>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</si>
  <si>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</si>
  <si>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</si>
  <si>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</si>
  <si>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</si>
  <si>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</si>
  <si>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</si>
  <si>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</si>
  <si>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</si>
  <si>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</si>
  <si>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</si>
  <si>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</si>
  <si>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</si>
  <si>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</si>
  <si>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</si>
  <si>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</si>
  <si>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</si>
  <si>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</si>
  <si>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</si>
  <si>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</si>
  <si>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</si>
  <si>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</si>
  <si>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</si>
  <si>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</si>
  <si>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</si>
  <si>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</si>
  <si>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</si>
  <si>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</si>
  <si>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</si>
  <si>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</si>
  <si>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</si>
  <si>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</si>
  <si>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</si>
  <si>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</si>
  <si>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</si>
  <si>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</si>
  <si>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</si>
  <si>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</si>
  <si>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</si>
  <si>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</si>
  <si>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</si>
  <si>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</si>
  <si>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</si>
  <si>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</si>
  <si>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</si>
  <si>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</si>
  <si>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</si>
  <si>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</si>
  <si>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</si>
  <si>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</si>
  <si>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</si>
  <si>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</si>
  <si>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</si>
  <si>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</si>
  <si>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</si>
  <si>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</si>
  <si>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</si>
  <si>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</si>
  <si>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</si>
  <si>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</si>
  <si>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</si>
  <si>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</si>
  <si>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</si>
  <si>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</si>
  <si>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</si>
  <si>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</si>
  <si>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</si>
  <si>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</si>
  <si>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</si>
  <si>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</si>
  <si>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</si>
  <si>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</si>
  <si>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</si>
  <si>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</si>
  <si>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</si>
  <si>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</si>
  <si>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</si>
  <si>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</si>
  <si>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</si>
  <si>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</si>
  <si>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</si>
  <si>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</si>
  <si>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</si>
  <si>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</si>
  <si>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</si>
  <si>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</si>
  <si>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</si>
  <si>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</si>
  <si>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</si>
  <si>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</si>
  <si>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</si>
  <si>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</si>
  <si>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</si>
  <si>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</si>
  <si>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</si>
  <si>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</si>
  <si>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</si>
  <si>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</si>
  <si>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</si>
  <si>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</si>
  <si>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</si>
  <si>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</si>
  <si>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</si>
  <si>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</si>
  <si>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</si>
  <si>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</si>
  <si>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</si>
  <si>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</si>
  <si>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</si>
  <si>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</si>
  <si>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</si>
  <si>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</si>
  <si>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</si>
  <si>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</si>
  <si>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</si>
  <si>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</si>
  <si>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</si>
  <si>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</si>
  <si>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</si>
  <si>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</si>
  <si>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</si>
  <si>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</si>
  <si>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</si>
  <si>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</si>
  <si>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</si>
  <si>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</si>
  <si>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</si>
  <si>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</si>
  <si>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</si>
  <si>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</si>
  <si>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</si>
  <si>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</si>
  <si>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</si>
  <si>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</si>
  <si>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</si>
  <si>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</si>
  <si>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</si>
  <si>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</si>
  <si>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</si>
  <si>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</si>
  <si>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</si>
  <si>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</si>
  <si>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</si>
  <si>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</si>
  <si>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</si>
  <si>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</si>
  <si>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</si>
  <si>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</si>
  <si>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</si>
  <si>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</si>
  <si>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</si>
  <si>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</si>
  <si>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</si>
  <si>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</si>
  <si>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</si>
  <si>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</si>
  <si>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</si>
  <si>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</si>
  <si>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</si>
  <si>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</si>
  <si>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</si>
  <si>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</si>
  <si>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</si>
  <si>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</si>
  <si>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</si>
  <si>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</si>
  <si>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</si>
  <si>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</si>
  <si>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</si>
  <si>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</si>
  <si>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</si>
  <si>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</si>
  <si>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</si>
  <si>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</si>
  <si>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</si>
  <si>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</si>
  <si>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</si>
  <si>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</si>
  <si>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</si>
  <si>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</si>
  <si>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</si>
  <si>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</si>
  <si>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</si>
  <si>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</si>
  <si>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</si>
  <si>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</si>
  <si>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</si>
  <si>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</si>
  <si>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</si>
  <si>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</si>
  <si>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</si>
  <si>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</si>
  <si>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</si>
  <si>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</si>
  <si>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</si>
  <si>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</si>
  <si>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</si>
  <si>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</si>
  <si>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</si>
  <si>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</si>
  <si>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</si>
  <si>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</si>
  <si>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</si>
  <si>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</si>
  <si>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</si>
  <si>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</si>
  <si>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</si>
  <si>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</si>
  <si>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</si>
  <si>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</si>
  <si>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</si>
  <si>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</si>
  <si>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</si>
  <si>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</si>
  <si>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</si>
  <si>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</si>
  <si>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</si>
  <si>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</si>
  <si>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</si>
  <si>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</si>
  <si>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</si>
  <si>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</si>
  <si>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</si>
  <si>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</si>
  <si>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</si>
  <si>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</si>
  <si>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</si>
  <si>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</si>
  <si>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</si>
  <si>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</si>
  <si>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</si>
  <si>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</si>
  <si>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</si>
  <si>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</si>
  <si>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</si>
  <si>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</si>
  <si>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</si>
  <si>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</si>
  <si>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</si>
  <si>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</si>
  <si>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</si>
  <si>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</si>
  <si>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</si>
  <si>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</si>
  <si>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</si>
  <si>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</si>
  <si>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</si>
  <si>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</si>
  <si>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</si>
  <si>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</si>
  <si>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</si>
  <si>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</si>
  <si>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</si>
  <si>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</si>
  <si>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</si>
  <si>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</si>
  <si>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</si>
  <si>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</si>
  <si>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</si>
  <si>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</si>
  <si>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</si>
  <si>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</si>
  <si>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</si>
  <si>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</si>
  <si>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</si>
  <si>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</si>
  <si>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</si>
  <si>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</si>
  <si>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</si>
  <si>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</si>
  <si>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</si>
  <si>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</si>
  <si>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</si>
  <si>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</si>
  <si>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</si>
  <si>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</si>
  <si>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</si>
  <si>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</si>
  <si>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</si>
  <si>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</si>
  <si>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</si>
  <si>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</si>
  <si>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</si>
  <si>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</si>
  <si>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</si>
  <si>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</si>
  <si>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</si>
  <si>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</si>
  <si>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</si>
  <si>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</si>
  <si>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</si>
  <si>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</si>
  <si>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</si>
  <si>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</si>
  <si>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</si>
  <si>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</si>
  <si>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</si>
  <si>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</si>
  <si>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</si>
  <si>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</si>
  <si>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</si>
  <si>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</si>
  <si>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</si>
  <si>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</si>
  <si>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</si>
  <si>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</si>
  <si>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</si>
  <si>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</si>
  <si>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</si>
  <si>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</si>
  <si>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</si>
  <si>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</si>
  <si>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</si>
  <si>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</si>
  <si>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</si>
  <si>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</si>
  <si>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</si>
  <si>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</si>
  <si>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</si>
  <si>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</si>
  <si>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</si>
  <si>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</si>
  <si>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</si>
  <si>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</si>
  <si>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</si>
  <si>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</si>
  <si>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</si>
  <si>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</si>
  <si>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</si>
  <si>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</si>
  <si>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</si>
  <si>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</si>
  <si>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</si>
  <si>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</si>
  <si>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</si>
  <si>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</si>
  <si>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</si>
  <si>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</si>
  <si>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</si>
  <si>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</si>
  <si>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</si>
  <si>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</si>
  <si>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</si>
  <si>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</si>
  <si>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</si>
  <si>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</si>
  <si>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</si>
  <si>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</si>
  <si>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</si>
  <si>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</si>
  <si>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</si>
  <si>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</si>
  <si>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</si>
  <si>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</si>
  <si>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</si>
  <si>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</si>
  <si>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</si>
  <si>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</si>
  <si>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</si>
  <si>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</si>
  <si>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</si>
  <si>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</si>
  <si>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</si>
  <si>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</si>
  <si>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</si>
  <si>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</si>
  <si>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</si>
  <si>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</si>
  <si>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</si>
  <si>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</si>
  <si>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</si>
  <si>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</si>
  <si>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</si>
  <si>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</si>
  <si>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</si>
  <si>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</si>
  <si>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</si>
  <si>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</si>
  <si>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</si>
  <si>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</si>
  <si>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</si>
  <si>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</si>
  <si>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</si>
  <si>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</si>
  <si>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</si>
  <si>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</si>
  <si>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</si>
  <si>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</si>
  <si>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</si>
  <si>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</si>
  <si>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</si>
  <si>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</si>
  <si>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</si>
  <si>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</si>
  <si>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</si>
  <si>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</si>
  <si>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</si>
  <si>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</si>
  <si>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</si>
  <si>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</si>
  <si>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</si>
  <si>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</si>
  <si>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</si>
  <si>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</si>
  <si>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</si>
  <si>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</si>
  <si>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</si>
  <si>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</si>
  <si>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</si>
  <si>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</si>
  <si>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</si>
  <si>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</si>
  <si>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</si>
  <si>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</si>
  <si>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</si>
  <si>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</si>
  <si>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</si>
  <si>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</si>
  <si>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</si>
  <si>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</si>
  <si>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</si>
  <si>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</si>
  <si>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</si>
  <si>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</si>
  <si>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</si>
  <si>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</si>
  <si>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</si>
  <si>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</si>
  <si>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</si>
  <si>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</si>
  <si>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</si>
  <si>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</si>
  <si>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</si>
  <si>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</si>
  <si>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</si>
  <si>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</si>
  <si>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</si>
  <si>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</si>
  <si>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</si>
  <si>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</si>
  <si>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</si>
  <si>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</si>
  <si>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</si>
  <si>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</si>
  <si>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</si>
  <si>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</si>
  <si>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</si>
  <si>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</si>
  <si>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</si>
  <si>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</si>
  <si>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</si>
  <si>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</si>
  <si>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</si>
  <si>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</si>
  <si>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</si>
  <si>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</si>
  <si>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</si>
  <si>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</si>
  <si>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</si>
  <si>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</si>
  <si>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</si>
  <si>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</si>
  <si>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</si>
  <si>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</si>
  <si>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</si>
  <si>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</si>
  <si>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</si>
  <si>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</si>
  <si>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</si>
  <si>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</si>
  <si>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</si>
  <si>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</si>
  <si>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</si>
  <si>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</si>
  <si>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</si>
  <si>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</si>
  <si>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</si>
  <si>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</si>
  <si>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</si>
  <si>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</si>
  <si>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</si>
  <si>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</si>
  <si>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</si>
  <si>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</si>
  <si>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</si>
  <si>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</si>
  <si>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</si>
  <si>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</si>
  <si>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</si>
  <si>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</si>
  <si>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</si>
  <si>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</si>
  <si>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</si>
  <si>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</si>
  <si>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</si>
  <si>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</si>
  <si>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</si>
  <si>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</si>
  <si>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</si>
  <si>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</si>
  <si>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</si>
  <si>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</si>
  <si>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</si>
  <si>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</si>
  <si>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</si>
  <si>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</si>
  <si>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</si>
  <si>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</si>
  <si>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</si>
  <si>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</si>
  <si>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</si>
  <si>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</si>
  <si>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</si>
  <si>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</si>
  <si>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</si>
  <si>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</si>
  <si>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</si>
  <si>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</si>
  <si>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</si>
  <si>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</si>
  <si>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</si>
  <si>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</si>
  <si>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</si>
  <si>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</si>
  <si>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</si>
  <si>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</si>
  <si>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</si>
  <si>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</si>
  <si>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</si>
  <si>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</si>
  <si>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</si>
  <si>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</si>
  <si>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</si>
  <si>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</si>
  <si>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</si>
  <si>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</si>
  <si>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</si>
  <si>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</si>
  <si>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</si>
  <si>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</si>
  <si>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</si>
  <si>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</si>
  <si>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</si>
  <si>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</si>
  <si>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</si>
  <si>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</si>
  <si>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</si>
  <si>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</si>
  <si>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</si>
  <si>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</si>
  <si>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</si>
  <si>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</si>
  <si>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</si>
  <si>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</si>
  <si>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</si>
  <si>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</si>
  <si>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</si>
  <si>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</si>
  <si>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</si>
  <si>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</si>
  <si>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</si>
  <si>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</si>
  <si>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</si>
  <si>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</si>
  <si>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</si>
  <si>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</si>
  <si>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</si>
  <si>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</si>
  <si>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</si>
  <si>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</si>
  <si>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</si>
  <si>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</si>
  <si>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</si>
  <si>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</si>
  <si>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</si>
  <si>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</si>
  <si>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</si>
  <si>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</si>
  <si>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</si>
  <si>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</si>
  <si>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</si>
  <si>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</si>
  <si>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</si>
  <si>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</si>
  <si>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</si>
  <si>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</si>
  <si>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</si>
  <si>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</si>
  <si>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</si>
  <si>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</si>
  <si>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</si>
  <si>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</si>
  <si>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</si>
  <si>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</si>
  <si>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</si>
  <si>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</si>
  <si>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</si>
  <si>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</si>
  <si>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</si>
  <si>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</si>
  <si>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</si>
  <si>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</si>
  <si>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</si>
  <si>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</si>
  <si>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</si>
  <si>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</si>
  <si>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</si>
  <si>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</si>
  <si>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</si>
  <si>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</si>
  <si>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</si>
  <si>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</si>
  <si>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</si>
  <si>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</si>
  <si>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</si>
  <si>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</si>
  <si>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</si>
  <si>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</si>
  <si>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</si>
  <si>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</si>
  <si>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</si>
  <si>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</si>
  <si>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</si>
  <si>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</si>
  <si>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</si>
  <si>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</si>
  <si>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</si>
  <si>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</si>
  <si>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</si>
  <si>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</si>
  <si>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</si>
  <si>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</si>
  <si>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</si>
  <si>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</si>
  <si>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</si>
  <si>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</si>
  <si>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</si>
  <si>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</si>
  <si>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</si>
  <si>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</si>
  <si>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</si>
  <si>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</si>
  <si>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</si>
  <si>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</si>
  <si>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</si>
  <si>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</si>
  <si>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</si>
  <si>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</si>
  <si>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</si>
  <si>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</si>
  <si>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</si>
  <si>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</si>
  <si>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</si>
  <si>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</si>
  <si>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</si>
  <si>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</si>
  <si>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</si>
  <si>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</si>
  <si>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</si>
  <si>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</si>
  <si>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</si>
  <si>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</si>
  <si>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</si>
  <si>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</si>
  <si>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</si>
  <si>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</si>
  <si>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</si>
  <si>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</si>
  <si>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</si>
  <si>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</si>
  <si>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</si>
  <si>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</si>
  <si>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</si>
  <si>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</si>
  <si>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</si>
  <si>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</si>
  <si>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</si>
  <si>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</si>
  <si>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</si>
  <si>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</si>
  <si>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</si>
  <si>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</si>
  <si>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</si>
  <si>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</si>
  <si>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</si>
  <si>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</si>
  <si>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</si>
  <si>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</si>
  <si>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</si>
  <si>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</si>
  <si>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</si>
  <si>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</si>
  <si>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</si>
  <si>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</si>
  <si>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</si>
  <si>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</si>
  <si>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</si>
  <si>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</si>
  <si>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</si>
  <si>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</si>
  <si>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</si>
  <si>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</si>
  <si>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</si>
  <si>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</si>
  <si>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</si>
  <si>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</si>
  <si>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</si>
  <si>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</si>
  <si>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</si>
  <si>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</si>
  <si>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</si>
  <si>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</si>
  <si>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</si>
  <si>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</si>
  <si>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</si>
  <si>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</si>
  <si>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</si>
  <si>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</si>
  <si>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</si>
  <si>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</si>
  <si>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</si>
  <si>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</si>
  <si>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</si>
  <si>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</si>
  <si>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</si>
  <si>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</si>
  <si>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</si>
  <si>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</si>
  <si>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</si>
  <si>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</si>
  <si>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</si>
  <si>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</si>
  <si>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</si>
  <si>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</si>
  <si>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</si>
  <si>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</si>
  <si>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</si>
  <si>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</si>
  <si>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</si>
  <si>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</si>
  <si>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</si>
  <si>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</si>
  <si>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</si>
  <si>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</si>
  <si>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</si>
  <si>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</si>
  <si>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</si>
  <si>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</si>
  <si>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</si>
  <si>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</si>
  <si>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</si>
  <si>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</si>
  <si>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</si>
  <si>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</si>
  <si>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</si>
  <si>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</si>
  <si>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</si>
  <si>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</si>
  <si>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</si>
  <si>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</si>
  <si>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</si>
  <si>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</si>
  <si>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</si>
  <si>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</si>
  <si>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</si>
  <si>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</si>
  <si>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</si>
  <si>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</si>
  <si>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</si>
  <si>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</si>
  <si>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</si>
  <si>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</si>
  <si>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</si>
  <si>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</si>
  <si>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</si>
  <si>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</si>
  <si>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</si>
  <si>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</si>
  <si>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</si>
  <si>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</si>
  <si>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</si>
  <si>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</si>
  <si>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</si>
  <si>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</si>
  <si>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</si>
  <si>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</si>
  <si>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</si>
  <si>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</si>
  <si>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</si>
  <si>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</si>
  <si>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</si>
  <si>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</si>
  <si>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</si>
  <si>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</si>
  <si>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</si>
  <si>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</si>
  <si>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</si>
  <si>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</si>
  <si>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</si>
  <si>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</si>
  <si>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</si>
  <si>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</si>
  <si>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</si>
  <si>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</si>
  <si>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</si>
  <si>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</si>
  <si>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</si>
  <si>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</si>
  <si>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</si>
  <si>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</si>
  <si>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</si>
  <si>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</si>
  <si>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</si>
  <si>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</si>
  <si>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</si>
  <si>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</si>
  <si>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</si>
  <si>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</si>
  <si>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</si>
  <si>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</si>
  <si>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</si>
  <si>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</si>
  <si>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</si>
  <si>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</si>
  <si>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</si>
  <si>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</si>
  <si>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</si>
  <si>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</si>
  <si>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</si>
  <si>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</si>
  <si>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</si>
  <si>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</si>
  <si>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</si>
  <si>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</si>
  <si>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</si>
  <si>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</si>
  <si>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</si>
  <si>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</si>
  <si>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</si>
  <si>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</si>
  <si>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</si>
  <si>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</si>
  <si>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</si>
  <si>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</si>
  <si>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</si>
  <si>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</si>
  <si>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</si>
  <si>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</si>
  <si>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</si>
  <si>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</si>
  <si>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</si>
  <si>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</si>
  <si>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</si>
  <si>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</si>
  <si>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</si>
  <si>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</si>
  <si>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</si>
  <si>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</si>
  <si>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</si>
  <si>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</si>
  <si>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</si>
  <si>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</si>
  <si>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</si>
  <si>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</si>
  <si>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</si>
  <si>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</si>
  <si>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</si>
  <si>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</si>
  <si>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</si>
  <si>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</si>
  <si>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</si>
  <si>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</si>
  <si>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</si>
  <si>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</si>
  <si>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</si>
  <si>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</si>
  <si>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</si>
  <si>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</si>
  <si>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</si>
  <si>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</si>
  <si>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</si>
  <si>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</si>
  <si>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</si>
  <si>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</si>
  <si>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</si>
  <si>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</si>
  <si>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</si>
  <si>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</si>
  <si>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</si>
  <si>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</si>
  <si>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</si>
  <si>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</si>
  <si>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</si>
  <si>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</si>
  <si>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</si>
  <si>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</si>
  <si>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</si>
  <si>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</si>
  <si>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</si>
  <si>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</si>
  <si>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</si>
  <si>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</si>
  <si>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</si>
  <si>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</si>
  <si>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</si>
  <si>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</si>
  <si>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</si>
  <si>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</si>
  <si>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</si>
  <si>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</si>
  <si>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</si>
  <si>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</si>
  <si>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</si>
  <si>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</si>
  <si>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</si>
  <si>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</si>
  <si>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</si>
  <si>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</si>
  <si>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</si>
  <si>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</si>
  <si>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</si>
  <si>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</si>
  <si>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</si>
  <si>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</si>
  <si>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</si>
  <si>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</si>
  <si>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</si>
  <si>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</si>
  <si>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</si>
  <si>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</si>
  <si>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</si>
  <si>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</si>
  <si>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</si>
  <si>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</si>
  <si>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</si>
  <si>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</si>
  <si>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</si>
  <si>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</si>
  <si>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</si>
  <si>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</si>
  <si>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</si>
  <si>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</si>
  <si>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</si>
  <si>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</si>
  <si>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</si>
  <si>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</si>
  <si>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</si>
  <si>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</si>
  <si>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</si>
  <si>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</si>
  <si>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</si>
  <si>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</si>
  <si>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</si>
  <si>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</si>
  <si>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</si>
  <si>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</si>
  <si>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</si>
  <si>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</si>
  <si>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</si>
  <si>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</si>
  <si>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</si>
  <si>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</si>
  <si>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</si>
  <si>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</si>
  <si>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</si>
  <si>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</si>
  <si>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</si>
  <si>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</si>
  <si>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</si>
  <si>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</si>
  <si>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</si>
  <si>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</si>
  <si>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</si>
  <si>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</si>
  <si>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</si>
  <si>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</si>
  <si>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</si>
  <si>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</si>
  <si>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</si>
  <si>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</si>
  <si>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抵押</t>
  </si>
  <si>
    <t>抵押价格</t>
  </si>
  <si>
    <t>其他：</t>
  </si>
  <si>
    <t>企业</t>
  </si>
  <si>
    <t>地上</t>
  </si>
  <si>
    <t>平层住宅</t>
  </si>
  <si>
    <t>商业</t>
  </si>
  <si>
    <t>公寓</t>
  </si>
  <si>
    <t>一致</t>
  </si>
  <si>
    <t>出让</t>
  </si>
  <si>
    <t>符合</t>
  </si>
  <si>
    <t>否</t>
  </si>
  <si>
    <t>底商</t>
  </si>
  <si>
    <t>总表</t>
    <phoneticPr fontId="3" type="noConversion"/>
  </si>
  <si>
    <t>A1经济技术指标表</t>
    <phoneticPr fontId="3" type="noConversion"/>
  </si>
  <si>
    <t>项目</t>
    <phoneticPr fontId="3" type="noConversion"/>
  </si>
  <si>
    <t>规划要求</t>
    <phoneticPr fontId="3" type="noConversion"/>
  </si>
  <si>
    <t>数值</t>
    <phoneticPr fontId="3" type="noConversion"/>
  </si>
  <si>
    <t>单位</t>
    <phoneticPr fontId="3" type="noConversion"/>
  </si>
  <si>
    <t>备注</t>
  </si>
  <si>
    <t>净用地面积</t>
    <phoneticPr fontId="3" type="noConversion"/>
  </si>
  <si>
    <t>（㎡)</t>
  </si>
  <si>
    <t>总建筑面积</t>
    <phoneticPr fontId="3" type="noConversion"/>
  </si>
  <si>
    <t>地上总建筑面积</t>
    <phoneticPr fontId="3" type="noConversion"/>
  </si>
  <si>
    <t>其中</t>
    <phoneticPr fontId="3" type="noConversion"/>
  </si>
  <si>
    <t>商业总面积</t>
    <phoneticPr fontId="3" type="noConversion"/>
  </si>
  <si>
    <t>商业占地上建筑面积39%</t>
    <phoneticPr fontId="3" type="noConversion"/>
  </si>
  <si>
    <t>商业</t>
    <phoneticPr fontId="3" type="noConversion"/>
  </si>
  <si>
    <t>办公</t>
    <phoneticPr fontId="3" type="noConversion"/>
  </si>
  <si>
    <t>住宅总面积</t>
    <phoneticPr fontId="3" type="noConversion"/>
  </si>
  <si>
    <t>住宅占地上建筑面积61%</t>
    <phoneticPr fontId="3" type="noConversion"/>
  </si>
  <si>
    <t>其中</t>
    <phoneticPr fontId="3" type="noConversion"/>
  </si>
  <si>
    <t>住宅</t>
    <phoneticPr fontId="3" type="noConversion"/>
  </si>
  <si>
    <t>公共服务设施</t>
    <phoneticPr fontId="3" type="noConversion"/>
  </si>
  <si>
    <t>其中</t>
    <phoneticPr fontId="3" type="noConversion"/>
  </si>
  <si>
    <t>生鲜超市</t>
    <phoneticPr fontId="3" type="noConversion"/>
  </si>
  <si>
    <t xml:space="preserve">设置在A1地块3#楼首层 </t>
    <phoneticPr fontId="3" type="noConversion"/>
  </si>
  <si>
    <t>物业管理</t>
    <phoneticPr fontId="3" type="noConversion"/>
  </si>
  <si>
    <t xml:space="preserve">设置在A1地块3#楼首、二层(108)、2#楼地下一层(106) </t>
    <phoneticPr fontId="3" type="noConversion"/>
  </si>
  <si>
    <t>社区用房</t>
    <phoneticPr fontId="3" type="noConversion"/>
  </si>
  <si>
    <t>设置在A1地块3#楼首、二层</t>
    <phoneticPr fontId="3" type="noConversion"/>
  </si>
  <si>
    <t>社区卫生服务</t>
    <phoneticPr fontId="3" type="noConversion"/>
  </si>
  <si>
    <t xml:space="preserve">设置在A1地块3#楼首、二层 </t>
    <phoneticPr fontId="3" type="noConversion"/>
  </si>
  <si>
    <t>公共卫生间</t>
    <phoneticPr fontId="3" type="noConversion"/>
  </si>
  <si>
    <t xml:space="preserve">设置在A1地块3#楼首层  </t>
    <phoneticPr fontId="3" type="noConversion"/>
  </si>
  <si>
    <t>老年服务站</t>
    <phoneticPr fontId="3" type="noConversion"/>
  </si>
  <si>
    <t xml:space="preserve">设置在A1地块3#楼首、二层 </t>
    <phoneticPr fontId="3" type="noConversion"/>
  </si>
  <si>
    <t>社区文化活动场所</t>
    <phoneticPr fontId="3" type="noConversion"/>
  </si>
  <si>
    <t>社区体育活动场所</t>
    <phoneticPr fontId="3" type="noConversion"/>
  </si>
  <si>
    <t>设置在A1地块3#楼首、二层</t>
    <phoneticPr fontId="3" type="noConversion"/>
  </si>
  <si>
    <t>消防控制室</t>
    <phoneticPr fontId="3" type="noConversion"/>
  </si>
  <si>
    <t xml:space="preserve">设置在A1地块3#楼首层 </t>
    <phoneticPr fontId="3" type="noConversion"/>
  </si>
  <si>
    <t>人防出入口</t>
    <phoneticPr fontId="3" type="noConversion"/>
  </si>
  <si>
    <t>地下建筑面积</t>
    <phoneticPr fontId="3" type="noConversion"/>
  </si>
  <si>
    <t>地下共四层</t>
    <phoneticPr fontId="3" type="noConversion"/>
  </si>
  <si>
    <t>其中</t>
  </si>
  <si>
    <t>车库及设备用房</t>
    <phoneticPr fontId="3" type="noConversion"/>
  </si>
  <si>
    <t>建筑基底建筑面积</t>
    <phoneticPr fontId="3" type="noConversion"/>
  </si>
  <si>
    <t>总绿地面积</t>
    <phoneticPr fontId="3" type="noConversion"/>
  </si>
  <si>
    <t>机动车停车位</t>
    <phoneticPr fontId="3" type="noConversion"/>
  </si>
  <si>
    <t>（辆）</t>
  </si>
  <si>
    <t>含乐佳苑地块215辆车</t>
    <phoneticPr fontId="3" type="noConversion"/>
  </si>
  <si>
    <t>机动停车位</t>
  </si>
  <si>
    <t>普通停车位</t>
    <phoneticPr fontId="3" type="noConversion"/>
  </si>
  <si>
    <t>机械停车位</t>
    <phoneticPr fontId="3" type="noConversion"/>
  </si>
  <si>
    <t>非机动车停车位</t>
    <phoneticPr fontId="3" type="noConversion"/>
  </si>
  <si>
    <t>（辆）</t>
    <phoneticPr fontId="3" type="noConversion"/>
  </si>
  <si>
    <t>居住户数</t>
    <phoneticPr fontId="3" type="noConversion"/>
  </si>
  <si>
    <t>（户）</t>
    <phoneticPr fontId="3" type="noConversion"/>
  </si>
  <si>
    <t>居住人口</t>
    <phoneticPr fontId="3" type="noConversion"/>
  </si>
  <si>
    <t>3.2人/户</t>
  </si>
  <si>
    <t>人</t>
    <phoneticPr fontId="3" type="noConversion"/>
  </si>
  <si>
    <t>容积率</t>
    <phoneticPr fontId="3" type="noConversion"/>
  </si>
  <si>
    <r>
      <t>≤6</t>
    </r>
    <r>
      <rPr>
        <b/>
        <sz val="11"/>
        <color indexed="8"/>
        <rFont val="宋体"/>
        <family val="3"/>
        <charset val="134"/>
      </rPr>
      <t>.9</t>
    </r>
    <phoneticPr fontId="3" type="noConversion"/>
  </si>
  <si>
    <t>-</t>
    <phoneticPr fontId="3" type="noConversion"/>
  </si>
  <si>
    <t>建筑密度</t>
    <phoneticPr fontId="3" type="noConversion"/>
  </si>
  <si>
    <t>≤22%</t>
    <phoneticPr fontId="3" type="noConversion"/>
  </si>
  <si>
    <t>%</t>
    <phoneticPr fontId="3" type="noConversion"/>
  </si>
  <si>
    <t>绿地率</t>
    <phoneticPr fontId="3" type="noConversion"/>
  </si>
  <si>
    <t>≥40%</t>
    <phoneticPr fontId="3" type="noConversion"/>
  </si>
  <si>
    <t>A1经济技术指标表</t>
    <phoneticPr fontId="3" type="noConversion"/>
  </si>
  <si>
    <t>项目</t>
    <phoneticPr fontId="3" type="noConversion"/>
  </si>
  <si>
    <t>2012年过规方案经济技术指标</t>
    <phoneticPr fontId="3" type="noConversion"/>
  </si>
  <si>
    <t>新方案经济技术指标</t>
    <phoneticPr fontId="3" type="noConversion"/>
  </si>
  <si>
    <t>数值</t>
    <phoneticPr fontId="3" type="noConversion"/>
  </si>
  <si>
    <t>单位</t>
    <phoneticPr fontId="3" type="noConversion"/>
  </si>
  <si>
    <t>备注</t>
    <phoneticPr fontId="3" type="noConversion"/>
  </si>
  <si>
    <t>净用地面积</t>
    <phoneticPr fontId="3" type="noConversion"/>
  </si>
  <si>
    <t>（㎡)</t>
    <phoneticPr fontId="3" type="noConversion"/>
  </si>
  <si>
    <t>总建筑面积</t>
    <phoneticPr fontId="3" type="noConversion"/>
  </si>
  <si>
    <t>（㎡)</t>
    <phoneticPr fontId="3" type="noConversion"/>
  </si>
  <si>
    <t>地上总建筑面积（平方米）</t>
  </si>
  <si>
    <t>地上总建筑面积</t>
    <phoneticPr fontId="3" type="noConversion"/>
  </si>
  <si>
    <t>其中</t>
    <phoneticPr fontId="3" type="noConversion"/>
  </si>
  <si>
    <t>商业占地上建筑面积39%</t>
    <phoneticPr fontId="3" type="noConversion"/>
  </si>
  <si>
    <t>办公</t>
    <phoneticPr fontId="3" type="noConversion"/>
  </si>
  <si>
    <t>住宅占地上建筑面积61%</t>
    <phoneticPr fontId="3" type="noConversion"/>
  </si>
  <si>
    <t>消防控制室</t>
    <phoneticPr fontId="3" type="noConversion"/>
  </si>
  <si>
    <t>地下总建筑面积</t>
    <phoneticPr fontId="3" type="noConversion"/>
  </si>
  <si>
    <t>其中</t>
    <phoneticPr fontId="3" type="noConversion"/>
  </si>
  <si>
    <t>车库及设备用房</t>
    <phoneticPr fontId="3" type="noConversion"/>
  </si>
  <si>
    <t>建筑基底建筑面积</t>
    <phoneticPr fontId="3" type="noConversion"/>
  </si>
  <si>
    <t>绿地面积</t>
    <phoneticPr fontId="3" type="noConversion"/>
  </si>
  <si>
    <t>机动车停车位</t>
    <phoneticPr fontId="3" type="noConversion"/>
  </si>
  <si>
    <t>（辆）</t>
    <phoneticPr fontId="3" type="noConversion"/>
  </si>
  <si>
    <t>含乐佳苑地块215辆车</t>
    <phoneticPr fontId="3" type="noConversion"/>
  </si>
  <si>
    <t>非机动车停车位</t>
    <phoneticPr fontId="3" type="noConversion"/>
  </si>
  <si>
    <t>人</t>
    <phoneticPr fontId="3" type="noConversion"/>
  </si>
  <si>
    <t>容积率</t>
    <phoneticPr fontId="3" type="noConversion"/>
  </si>
  <si>
    <t>绿地率</t>
  </si>
  <si>
    <t>地下</t>
  </si>
  <si>
    <t>车库</t>
  </si>
  <si>
    <t>剩余法-待开发</t>
  </si>
  <si>
    <t>比较法-住宅、综合</t>
  </si>
  <si>
    <t>住宅</t>
    <phoneticPr fontId="21" type="noConversion"/>
  </si>
  <si>
    <t>60-70（含）</t>
  </si>
  <si>
    <t>正常</t>
  </si>
  <si>
    <t>较好</t>
  </si>
  <si>
    <t>六通</t>
  </si>
  <si>
    <t>次干道</t>
  </si>
  <si>
    <t>次干道</t>
    <phoneticPr fontId="21" type="noConversion"/>
  </si>
  <si>
    <t>高层</t>
  </si>
  <si>
    <t>高层</t>
    <phoneticPr fontId="21" type="noConversion"/>
  </si>
  <si>
    <t>钢混</t>
  </si>
  <si>
    <t>钢混</t>
    <phoneticPr fontId="21" type="noConversion"/>
  </si>
  <si>
    <t>较好</t>
    <phoneticPr fontId="21" type="noConversion"/>
  </si>
  <si>
    <t>精装修</t>
  </si>
  <si>
    <t>精装修</t>
    <phoneticPr fontId="21" type="noConversion"/>
  </si>
  <si>
    <t>专业</t>
    <phoneticPr fontId="21" type="noConversion"/>
  </si>
  <si>
    <t>品牌</t>
  </si>
  <si>
    <t>品牌</t>
    <phoneticPr fontId="21" type="noConversion"/>
  </si>
  <si>
    <t>六通</t>
    <phoneticPr fontId="21" type="noConversion"/>
  </si>
  <si>
    <t>大平层</t>
  </si>
  <si>
    <t>大平层</t>
    <phoneticPr fontId="21" type="noConversion"/>
  </si>
  <si>
    <t>平层</t>
  </si>
  <si>
    <t>平层</t>
    <phoneticPr fontId="21" type="noConversion"/>
  </si>
  <si>
    <t>毛坯</t>
    <phoneticPr fontId="21" type="noConversion"/>
  </si>
  <si>
    <t>好</t>
  </si>
  <si>
    <t>一般</t>
  </si>
  <si>
    <t>售价</t>
  </si>
  <si>
    <t>项目全部</t>
  </si>
  <si>
    <t>土地</t>
  </si>
  <si>
    <t>异地安置费</t>
    <phoneticPr fontId="233" type="noConversion"/>
  </si>
  <si>
    <t>回迁房</t>
    <phoneticPr fontId="233" type="noConversion"/>
  </si>
  <si>
    <t>备注</t>
    <phoneticPr fontId="233" type="noConversion"/>
  </si>
  <si>
    <r>
      <t>1</t>
    </r>
    <r>
      <rPr>
        <sz val="11"/>
        <color theme="1"/>
        <rFont val="宋体"/>
        <family val="3"/>
        <charset val="134"/>
        <scheme val="minor"/>
      </rPr>
      <t>267.18平方，</t>
    </r>
    <phoneticPr fontId="233" type="noConversion"/>
  </si>
  <si>
    <t>道路建设</t>
    <phoneticPr fontId="233" type="noConversion"/>
  </si>
  <si>
    <t>西坝路改建实体</t>
    <phoneticPr fontId="233" type="noConversion"/>
  </si>
  <si>
    <t>应付款项</t>
    <phoneticPr fontId="233" type="noConversion"/>
  </si>
  <si>
    <t>应付金额</t>
    <phoneticPr fontId="233" type="noConversion"/>
  </si>
  <si>
    <t>已付金额</t>
    <phoneticPr fontId="233" type="noConversion"/>
  </si>
  <si>
    <t>未付金额</t>
    <phoneticPr fontId="233" type="noConversion"/>
  </si>
  <si>
    <t>楼面地价</t>
  </si>
  <si>
    <t>次干道</t>
    <phoneticPr fontId="26" type="noConversion"/>
  </si>
  <si>
    <t>白龙路与白塔路交汇处（七彩Metown斜对面）</t>
    <phoneticPr fontId="3" type="noConversion"/>
  </si>
  <si>
    <t>俊发·逸天峰</t>
    <phoneticPr fontId="3" type="noConversion"/>
  </si>
  <si>
    <t>次干道</t>
    <phoneticPr fontId="21" type="noConversion"/>
  </si>
  <si>
    <t>环城南路与民航路交汇处　</t>
    <phoneticPr fontId="3" type="noConversion"/>
  </si>
  <si>
    <t>华润置地·悦府</t>
    <phoneticPr fontId="3" type="noConversion"/>
  </si>
  <si>
    <t>毛坯</t>
  </si>
  <si>
    <t>220-270</t>
    <phoneticPr fontId="21" type="noConversion"/>
  </si>
  <si>
    <t>150-225</t>
    <phoneticPr fontId="21" type="noConversion"/>
  </si>
  <si>
    <t>97-288</t>
    <phoneticPr fontId="21" type="noConversion"/>
  </si>
  <si>
    <t>瑞鼎城天玺</t>
    <phoneticPr fontId="3" type="noConversion"/>
  </si>
  <si>
    <t>白龙路与白云路交汇处</t>
    <phoneticPr fontId="3" type="noConversion"/>
  </si>
  <si>
    <t>商住公寓</t>
    <phoneticPr fontId="27" type="noConversion"/>
  </si>
  <si>
    <t>40-50（含）</t>
  </si>
  <si>
    <t>loft</t>
  </si>
  <si>
    <t>loft</t>
    <phoneticPr fontId="27" type="noConversion"/>
  </si>
  <si>
    <t>平层</t>
    <phoneticPr fontId="27" type="noConversion"/>
  </si>
  <si>
    <t>同德昆明广场</t>
    <phoneticPr fontId="3" type="noConversion"/>
  </si>
  <si>
    <t>北京路与白云路交叉口</t>
    <phoneticPr fontId="3" type="noConversion"/>
  </si>
  <si>
    <t>安康路</t>
    <phoneticPr fontId="21" type="noConversion"/>
  </si>
  <si>
    <t>专业</t>
  </si>
  <si>
    <t>主干道</t>
    <phoneticPr fontId="21" type="noConversion"/>
  </si>
  <si>
    <t>次干道</t>
    <phoneticPr fontId="21" type="noConversion"/>
  </si>
  <si>
    <t>支路</t>
    <phoneticPr fontId="21" type="noConversion"/>
  </si>
  <si>
    <t>高层</t>
    <phoneticPr fontId="27" type="noConversion"/>
  </si>
  <si>
    <t>五通</t>
  </si>
  <si>
    <t>五通</t>
    <phoneticPr fontId="27" type="noConversion"/>
  </si>
  <si>
    <t>30-50</t>
    <phoneticPr fontId="27" type="noConversion"/>
  </si>
  <si>
    <t>50-80</t>
    <phoneticPr fontId="27" type="noConversion"/>
  </si>
  <si>
    <t>80-120</t>
    <phoneticPr fontId="27" type="noConversion"/>
  </si>
  <si>
    <t>商住公寓</t>
  </si>
  <si>
    <t>30-40（含）</t>
  </si>
  <si>
    <t>车库</t>
    <phoneticPr fontId="27" type="noConversion"/>
  </si>
  <si>
    <t>简单装修</t>
    <phoneticPr fontId="27" type="noConversion"/>
  </si>
  <si>
    <t>简单装修</t>
    <phoneticPr fontId="27" type="noConversion"/>
  </si>
  <si>
    <t>品牌</t>
    <phoneticPr fontId="27" type="noConversion"/>
  </si>
  <si>
    <t>专业</t>
    <phoneticPr fontId="27" type="noConversion"/>
  </si>
  <si>
    <t>地下车位</t>
  </si>
  <si>
    <t>地下车位</t>
    <phoneticPr fontId="27" type="noConversion"/>
  </si>
  <si>
    <t>否</t>
    <phoneticPr fontId="27" type="noConversion"/>
  </si>
  <si>
    <t>元/车位</t>
  </si>
  <si>
    <t>不动产收益法</t>
  </si>
  <si>
    <t>土地（套用方法）</t>
  </si>
  <si>
    <t>押二</t>
  </si>
  <si>
    <t>按租金收入计税</t>
  </si>
  <si>
    <t>地块名称</t>
  </si>
  <si>
    <t>城市</t>
  </si>
  <si>
    <t>用地性质</t>
  </si>
  <si>
    <t>出让方式</t>
  </si>
  <si>
    <t>建设用地面积(㎡)</t>
  </si>
  <si>
    <t>规划建筑面积(㎡)</t>
  </si>
  <si>
    <t>截止日期</t>
  </si>
  <si>
    <t>成交日期</t>
  </si>
  <si>
    <t>受让单位</t>
  </si>
  <si>
    <t>成交价(万元)</t>
  </si>
  <si>
    <t>成交楼面价(元/㎡)</t>
  </si>
  <si>
    <t>溢价率</t>
  </si>
  <si>
    <t>出让年限</t>
  </si>
  <si>
    <t>昆明市盘龙区青云街道办事处</t>
  </si>
  <si>
    <t>昆明市</t>
  </si>
  <si>
    <t>住宅用地</t>
  </si>
  <si>
    <t>拍卖</t>
  </si>
  <si>
    <t>＞1且≤1.1</t>
  </si>
  <si>
    <t>2017-08-03</t>
  </si>
  <si>
    <t>中海地产</t>
  </si>
  <si>
    <t>70年</t>
  </si>
  <si>
    <t>＞1且≤1.2</t>
  </si>
  <si>
    <t>昆明市五华区红云街道办事处</t>
  </si>
  <si>
    <t>＞1且≤2.5</t>
  </si>
  <si>
    <t>2018-01-05</t>
  </si>
  <si>
    <t>深圳市海嘉投资有限公司</t>
  </si>
  <si>
    <t>昆明市五华区普吉街道办事处</t>
  </si>
  <si>
    <t>＞1,≤3</t>
  </si>
  <si>
    <t>2017-06-23</t>
  </si>
  <si>
    <t>昆明大商汇实业有限公司</t>
  </si>
  <si>
    <t>昆明市官渡区关上街道办事处</t>
  </si>
  <si>
    <t>＞1且≤4.5</t>
  </si>
  <si>
    <t>2018-04-18</t>
  </si>
  <si>
    <t>中海地产集团有限公司</t>
  </si>
  <si>
    <t>＞1且≤3.8</t>
  </si>
  <si>
    <t>昆明市呈贡区吴家营片区东部</t>
  </si>
  <si>
    <t>＞1,且≤1.1</t>
  </si>
  <si>
    <t>2018-08-17</t>
  </si>
  <si>
    <t>深圳市创启企业管理有限公司</t>
  </si>
  <si>
    <t>住宅70年</t>
  </si>
  <si>
    <t>＞1,且≤1.7</t>
  </si>
  <si>
    <t>＞1且≤3.9</t>
  </si>
  <si>
    <t>昆明市盘龙区龙泉街道办事处</t>
  </si>
  <si>
    <t>综合用地(含住宅)</t>
  </si>
  <si>
    <t>＞1且≤3.41</t>
  </si>
  <si>
    <t>2018-06-29</t>
  </si>
  <si>
    <t>云南俊信房地产开发有限公司</t>
  </si>
  <si>
    <t>住宅70年,商业40年</t>
  </si>
  <si>
    <t>＞1且≤4</t>
  </si>
  <si>
    <t>昆明绿地春城置业有限公司</t>
  </si>
  <si>
    <t>盘龙区金辰街道办事处</t>
  </si>
  <si>
    <t>挂牌</t>
  </si>
  <si>
    <t>＞1,≤1.91</t>
  </si>
  <si>
    <t>2018-09-05</t>
  </si>
  <si>
    <t>云南三和房地产开发有限公司</t>
  </si>
  <si>
    <t>59年</t>
  </si>
  <si>
    <t>官渡区关上街道办事处</t>
  </si>
  <si>
    <t>＞1且≤5</t>
  </si>
  <si>
    <t>2017-10-25</t>
  </si>
  <si>
    <t>云南正夏、云南景成、成都中南世界</t>
  </si>
  <si>
    <t>住宅70年商业40年</t>
  </si>
  <si>
    <t>≤5、＞1且≤4.5、＞1且≤4.2</t>
  </si>
  <si>
    <t>保利</t>
  </si>
  <si>
    <t>＞1,≤5</t>
  </si>
  <si>
    <t>2018-08-29</t>
  </si>
  <si>
    <t>成都金枝置业有限公司</t>
  </si>
  <si>
    <t>昆明市西山区福海街道办事处新河社区居民委员会</t>
  </si>
  <si>
    <t>＞1且≤1.6</t>
  </si>
  <si>
    <t>2018-04-26</t>
  </si>
  <si>
    <t>云南华夏卓越房地产有限公司</t>
  </si>
  <si>
    <t>＞1且≤4.5、＞1且≤4、＞1且≤6</t>
  </si>
  <si>
    <t>中交云南建设投资发展有限公司、昆明中交金汇置业有限公司</t>
  </si>
  <si>
    <t>昆明市西山区马街街道办事处</t>
  </si>
  <si>
    <t>2017-06-07</t>
  </si>
  <si>
    <t>大连万达商业地产股份有限公司</t>
  </si>
  <si>
    <t>40、50、70年</t>
  </si>
  <si>
    <t>昆明市盘龙区拓东街道办事处</t>
  </si>
  <si>
    <t>＞1且≤7.3</t>
  </si>
  <si>
    <t>2017-12-07</t>
  </si>
  <si>
    <t>盘江置业</t>
  </si>
  <si>
    <t>住宅70年商办40年</t>
  </si>
  <si>
    <t>＞1且≤5、＞1且≤4、＞1且≤8、＞1且≤3.5、＞1且≤3.8</t>
  </si>
  <si>
    <t>中铁建</t>
  </si>
  <si>
    <t>＞1且≤1.71</t>
  </si>
  <si>
    <t>呈贡区斗南片区</t>
  </si>
  <si>
    <t>2017-11-13</t>
  </si>
  <si>
    <t>蓝光地产</t>
  </si>
  <si>
    <t>＞1,≤3.2</t>
  </si>
  <si>
    <t>2016-02-04</t>
  </si>
  <si>
    <t>昆明蓝光房地产开发有限公司</t>
  </si>
  <si>
    <t>盘龙区拓东街道办事处</t>
  </si>
  <si>
    <t>＞1且≤4.62</t>
  </si>
  <si>
    <t>2016-08-19</t>
  </si>
  <si>
    <t>云南驰久房地产开发有限公司</t>
  </si>
  <si>
    <t>＞1且≤4.34</t>
  </si>
  <si>
    <t>2018-05-18</t>
  </si>
  <si>
    <t>昆明铸创房地产开发有限公司</t>
  </si>
  <si>
    <t>西山区永昌街道办事处</t>
  </si>
  <si>
    <t>j2010-065-f2:＞1且≤4.6;j2010-065-j:＞1且≤3.5</t>
  </si>
  <si>
    <t>2016-07-18</t>
  </si>
  <si>
    <t>云南杰鑫宁房地产开发有限公司</t>
  </si>
  <si>
    <t>昆明市盘龙区鼓楼街道办事处</t>
  </si>
  <si>
    <t>＞1且≤4.13</t>
  </si>
  <si>
    <t>2016-10-21</t>
  </si>
  <si>
    <t>俊发地产有限责任公司</t>
  </si>
  <si>
    <t>昆明经济技术开发区清水片区JK-QS-C6-01-02-01</t>
  </si>
  <si>
    <t>2018-03-16</t>
  </si>
  <si>
    <t>云南碧桂园房地产开发有限公司</t>
  </si>
  <si>
    <t>昆明市官渡区六甲街道办事处</t>
  </si>
  <si>
    <t>2018-09-12</t>
  </si>
  <si>
    <t>昆明万睿房地产开发有限公司</t>
  </si>
  <si>
    <t>＞1且≤1.5</t>
  </si>
  <si>
    <t>＞1,且≤2</t>
  </si>
  <si>
    <t>住宅</t>
    <phoneticPr fontId="26" type="noConversion"/>
  </si>
  <si>
    <t>较规则</t>
  </si>
  <si>
    <t>较规则</t>
    <phoneticPr fontId="26" type="noConversion"/>
  </si>
  <si>
    <t>较合适</t>
  </si>
  <si>
    <t>较合适</t>
    <phoneticPr fontId="26" type="noConversion"/>
  </si>
  <si>
    <t>六通一平</t>
  </si>
  <si>
    <t>六通一平</t>
    <phoneticPr fontId="26" type="noConversion"/>
  </si>
  <si>
    <t>较好</t>
    <phoneticPr fontId="26" type="noConversion"/>
  </si>
  <si>
    <t>70</t>
    <phoneticPr fontId="26" type="noConversion"/>
  </si>
  <si>
    <r>
      <rPr>
        <sz val="11"/>
        <color theme="9" tint="-0.249977111117893"/>
        <rFont val="宋体"/>
        <family val="3"/>
        <charset val="134"/>
      </rPr>
      <t>昆明市五华区红云街道办事处</t>
    </r>
    <r>
      <rPr>
        <sz val="11"/>
        <color theme="9" tint="-0.249977111117893"/>
        <rFont val="Arial"/>
        <family val="2"/>
      </rPr>
      <t>KCWH2014-3-A1-2</t>
    </r>
    <phoneticPr fontId="26" type="noConversion"/>
  </si>
  <si>
    <t>较差</t>
  </si>
  <si>
    <t>较不合适</t>
    <phoneticPr fontId="26" type="noConversion"/>
  </si>
  <si>
    <t>合计</t>
    <phoneticPr fontId="233" type="noConversion"/>
  </si>
  <si>
    <t>A1出让金</t>
    <phoneticPr fontId="233" type="noConversion"/>
  </si>
  <si>
    <t>A2出让金</t>
  </si>
  <si>
    <t>39255.27（A1，5159.17，34096.1</t>
    <phoneticPr fontId="233" type="noConversion"/>
  </si>
  <si>
    <t>回迁房</t>
  </si>
  <si>
    <t>回迁房</t>
    <phoneticPr fontId="14" type="noConversion"/>
  </si>
  <si>
    <r>
      <rPr>
        <sz val="11"/>
        <color indexed="8"/>
        <rFont val="宋体"/>
        <family val="3"/>
        <charset val="134"/>
      </rPr>
      <t>云南省调整昆明市城镇土地使用税税额标准</t>
    </r>
    <r>
      <rPr>
        <sz val="11"/>
        <color indexed="8"/>
        <rFont val="Arial"/>
        <family val="2"/>
      </rPr>
      <t xml:space="preserve"> </t>
    </r>
    <phoneticPr fontId="3" type="noConversion"/>
  </si>
  <si>
    <t>http://www.sohu.com/a/215571539_115092</t>
    <phoneticPr fontId="26" type="noConversion"/>
  </si>
  <si>
    <t>精装大平层</t>
    <phoneticPr fontId="26" type="noConversion"/>
  </si>
  <si>
    <t>KCPL-2013-18-A1</t>
    <phoneticPr fontId="3" type="noConversion"/>
  </si>
  <si>
    <t>支路</t>
  </si>
  <si>
    <t>支路</t>
    <phoneticPr fontId="26" type="noConversion"/>
  </si>
  <si>
    <t>无</t>
    <phoneticPr fontId="26" type="noConversion"/>
  </si>
  <si>
    <t>有</t>
    <phoneticPr fontId="26" type="noConversion"/>
  </si>
  <si>
    <r>
      <t>1</t>
    </r>
    <r>
      <rPr>
        <sz val="11"/>
        <rFont val="宋体"/>
        <family val="3"/>
        <charset val="134"/>
      </rPr>
      <t>级</t>
    </r>
    <phoneticPr fontId="26" type="noConversion"/>
  </si>
  <si>
    <t>有</t>
    <phoneticPr fontId="26" type="noConversion"/>
  </si>
  <si>
    <t>无</t>
    <phoneticPr fontId="26" type="noConversion"/>
  </si>
  <si>
    <t>中海地产</t>
    <phoneticPr fontId="233" type="noConversion"/>
  </si>
  <si>
    <t>深圳市海嘉投资有限公司</t>
    <phoneticPr fontId="233" type="noConversion"/>
  </si>
  <si>
    <t>昆明市五华区红云街道办事处</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</si>
</sst>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4"/>
      <color indexed="8"/>
      <name val="宋体"/>
      <family val="3"/>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rgb="FFCCFFFF"/>
        <bgColor indexed="64"/>
      </patternFill>
    </fill>
    <fill>
      <patternFill patternType="solid">
        <fgColor indexed="42"/>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0" fillId="0" borderId="0" xfId="0" applyAlignment="1">
      <alignment vertical="center"/>
    </xf>
    <xf numFmtId="0" fontId="0" fillId="3" borderId="0" xfId="0" applyFill="1" applyBorder="1" applyAlignment="1">
      <alignment vertical="center"/>
    </xf>
    <xf numFmtId="0" fontId="277" fillId="0" borderId="0" xfId="0" applyFont="1" applyBorder="1" applyAlignment="1">
      <alignment horizontal="left" vertical="center"/>
    </xf>
    <xf numFmtId="0" fontId="133" fillId="18" borderId="2" xfId="0" applyFont="1" applyFill="1" applyBorder="1" applyAlignment="1">
      <alignment horizontal="center" vertical="center" wrapText="1"/>
    </xf>
    <xf numFmtId="0" fontId="133" fillId="2" borderId="2" xfId="0" applyNumberFormat="1" applyFont="1" applyFill="1" applyBorder="1" applyAlignment="1">
      <alignment horizontal="center" vertical="center" wrapText="1"/>
    </xf>
    <xf numFmtId="0" fontId="133" fillId="19" borderId="2" xfId="0" applyNumberFormat="1" applyFont="1" applyFill="1" applyBorder="1" applyAlignment="1">
      <alignment horizontal="center" vertical="center" wrapText="1"/>
    </xf>
    <xf numFmtId="0" fontId="133" fillId="20" borderId="12" xfId="0" applyFont="1" applyFill="1" applyBorder="1" applyAlignment="1">
      <alignment horizontal="center" vertical="center"/>
    </xf>
    <xf numFmtId="0" fontId="133" fillId="18" borderId="2" xfId="0" applyFont="1" applyFill="1" applyBorder="1" applyAlignment="1">
      <alignment horizontal="center" vertical="center"/>
    </xf>
    <xf numFmtId="0" fontId="133" fillId="2" borderId="2" xfId="0" applyFont="1" applyFill="1" applyBorder="1" applyAlignment="1">
      <alignment horizontal="center" vertical="center"/>
    </xf>
    <xf numFmtId="0" fontId="133" fillId="19" borderId="2" xfId="0" applyFont="1" applyFill="1" applyBorder="1" applyAlignment="1">
      <alignment horizontal="center" vertical="center"/>
    </xf>
    <xf numFmtId="179" fontId="133" fillId="2" borderId="2" xfId="0" applyNumberFormat="1" applyFont="1" applyFill="1" applyBorder="1" applyAlignment="1">
      <alignment horizontal="center" vertical="center"/>
    </xf>
    <xf numFmtId="179" fontId="0" fillId="0" borderId="0" xfId="0" applyNumberFormat="1" applyAlignment="1">
      <alignment vertical="center"/>
    </xf>
    <xf numFmtId="179" fontId="133" fillId="18" borderId="2" xfId="0" applyNumberFormat="1" applyFont="1" applyFill="1" applyBorder="1" applyAlignment="1">
      <alignment horizontal="center" vertical="center"/>
    </xf>
    <xf numFmtId="0" fontId="133" fillId="20" borderId="2" xfId="0" applyFont="1" applyFill="1" applyBorder="1" applyAlignment="1">
      <alignment vertical="center" wrapText="1"/>
    </xf>
    <xf numFmtId="0" fontId="133" fillId="17" borderId="2" xfId="0" applyFont="1" applyFill="1" applyBorder="1" applyAlignment="1">
      <alignment vertical="center"/>
    </xf>
    <xf numFmtId="177" fontId="133" fillId="18" borderId="2" xfId="0" applyNumberFormat="1" applyFont="1" applyFill="1" applyBorder="1" applyAlignment="1">
      <alignment horizontal="center" vertical="center"/>
    </xf>
    <xf numFmtId="0" fontId="133" fillId="20" borderId="12" xfId="0" applyFont="1" applyFill="1" applyBorder="1" applyAlignment="1">
      <alignment horizontal="center" vertical="center" wrapText="1"/>
    </xf>
    <xf numFmtId="0" fontId="133" fillId="17" borderId="2" xfId="0" applyFont="1" applyFill="1" applyBorder="1" applyAlignment="1">
      <alignment vertical="center" wrapText="1"/>
    </xf>
    <xf numFmtId="0" fontId="252" fillId="18" borderId="2" xfId="0" applyFont="1" applyFill="1" applyBorder="1" applyAlignment="1">
      <alignment horizontal="center" vertical="center"/>
    </xf>
    <xf numFmtId="179" fontId="252" fillId="2" borderId="2" xfId="0" applyNumberFormat="1" applyFont="1" applyFill="1" applyBorder="1" applyAlignment="1">
      <alignment horizontal="center" vertical="center"/>
    </xf>
    <xf numFmtId="0" fontId="252" fillId="20" borderId="12" xfId="0" applyFont="1" applyFill="1" applyBorder="1" applyAlignment="1">
      <alignment horizontal="center" vertical="center"/>
    </xf>
    <xf numFmtId="177" fontId="133" fillId="2" borderId="2" xfId="0" applyNumberFormat="1" applyFont="1" applyFill="1" applyBorder="1" applyAlignment="1">
      <alignment horizontal="center" vertical="center"/>
    </xf>
    <xf numFmtId="0" fontId="133" fillId="17" borderId="2" xfId="0" applyFont="1" applyFill="1" applyBorder="1" applyAlignment="1">
      <alignment horizontal="center" vertical="center"/>
    </xf>
    <xf numFmtId="185" fontId="133" fillId="18" borderId="2" xfId="0" applyNumberFormat="1" applyFont="1" applyFill="1" applyBorder="1" applyAlignment="1">
      <alignment horizontal="center" vertical="center"/>
    </xf>
    <xf numFmtId="10" fontId="133" fillId="18" borderId="2" xfId="0" applyNumberFormat="1" applyFont="1" applyFill="1" applyBorder="1" applyAlignment="1">
      <alignment horizontal="center" vertical="center"/>
    </xf>
    <xf numFmtId="10" fontId="133" fillId="2" borderId="2" xfId="0" applyNumberFormat="1" applyFont="1" applyFill="1" applyBorder="1" applyAlignment="1">
      <alignment horizontal="center" vertical="center"/>
    </xf>
    <xf numFmtId="10" fontId="133" fillId="18" borderId="44" xfId="0" applyNumberFormat="1" applyFont="1" applyFill="1" applyBorder="1" applyAlignment="1">
      <alignment horizontal="center" vertical="center"/>
    </xf>
    <xf numFmtId="10" fontId="133" fillId="2" borderId="44" xfId="0" applyNumberFormat="1" applyFont="1" applyFill="1" applyBorder="1" applyAlignment="1">
      <alignment horizontal="center" vertical="center"/>
    </xf>
    <xf numFmtId="0" fontId="133" fillId="19" borderId="44" xfId="0" applyFont="1" applyFill="1" applyBorder="1" applyAlignment="1">
      <alignment horizontal="center" vertical="center"/>
    </xf>
    <xf numFmtId="0" fontId="133" fillId="20" borderId="46"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44" fillId="22" borderId="2" xfId="0" applyFont="1" applyFill="1" applyBorder="1" applyAlignment="1">
      <alignment horizontal="center" vertical="center" wrapText="1"/>
    </xf>
    <xf numFmtId="0" fontId="144" fillId="22" borderId="12"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44" fillId="22" borderId="12" xfId="0" applyFont="1" applyFill="1" applyBorder="1" applyAlignment="1">
      <alignment horizontal="center" vertical="center"/>
    </xf>
    <xf numFmtId="179" fontId="144" fillId="22" borderId="2" xfId="0" applyNumberFormat="1" applyFont="1" applyFill="1" applyBorder="1" applyAlignment="1">
      <alignment horizontal="center" vertical="center" wrapText="1"/>
    </xf>
    <xf numFmtId="0" fontId="81" fillId="22" borderId="12" xfId="0" applyFont="1" applyFill="1" applyBorder="1" applyAlignment="1">
      <alignment horizontal="center" vertical="center"/>
    </xf>
    <xf numFmtId="179" fontId="144" fillId="22" borderId="2" xfId="0" applyNumberFormat="1" applyFont="1" applyFill="1" applyBorder="1" applyAlignment="1">
      <alignment horizontal="center" vertical="center"/>
    </xf>
    <xf numFmtId="0" fontId="144" fillId="22" borderId="11" xfId="0" applyFont="1" applyFill="1" applyBorder="1" applyAlignment="1">
      <alignment horizontal="center" vertical="center"/>
    </xf>
    <xf numFmtId="0" fontId="144" fillId="22" borderId="2" xfId="0" applyFont="1" applyFill="1" applyBorder="1" applyAlignment="1">
      <alignment horizontal="center" vertical="center"/>
    </xf>
    <xf numFmtId="179" fontId="0" fillId="0" borderId="0" xfId="0" applyNumberFormat="1" applyFill="1" applyBorder="1" applyAlignment="1">
      <alignment horizontal="center" vertical="center"/>
    </xf>
    <xf numFmtId="0" fontId="144" fillId="0" borderId="0" xfId="0" applyFont="1" applyFill="1" applyBorder="1" applyAlignment="1">
      <alignment horizontal="center" vertical="center"/>
    </xf>
    <xf numFmtId="179" fontId="144" fillId="0" borderId="0" xfId="0" applyNumberFormat="1" applyFont="1" applyFill="1" applyBorder="1" applyAlignment="1">
      <alignment horizontal="center" vertical="center"/>
    </xf>
    <xf numFmtId="177" fontId="144" fillId="22" borderId="2" xfId="0" applyNumberFormat="1" applyFont="1" applyFill="1" applyBorder="1" applyAlignment="1">
      <alignment horizontal="center" vertical="center"/>
    </xf>
    <xf numFmtId="0" fontId="0" fillId="0" borderId="0" xfId="0" applyBorder="1" applyAlignment="1">
      <alignment vertical="center"/>
    </xf>
    <xf numFmtId="185" fontId="144" fillId="22" borderId="12" xfId="0" applyNumberFormat="1" applyFont="1" applyFill="1" applyBorder="1" applyAlignment="1">
      <alignment horizontal="center" vertical="center"/>
    </xf>
    <xf numFmtId="185" fontId="0" fillId="0" borderId="0" xfId="0" applyNumberFormat="1" applyFill="1" applyBorder="1" applyAlignment="1">
      <alignment horizontal="center" vertical="center"/>
    </xf>
    <xf numFmtId="10" fontId="144" fillId="22" borderId="2" xfId="0" applyNumberFormat="1" applyFont="1" applyFill="1" applyBorder="1" applyAlignment="1">
      <alignment horizontal="center" vertical="center"/>
    </xf>
    <xf numFmtId="10" fontId="144" fillId="22" borderId="12" xfId="0" applyNumberFormat="1" applyFont="1" applyFill="1" applyBorder="1" applyAlignment="1">
      <alignment horizontal="center" vertical="center"/>
    </xf>
    <xf numFmtId="10" fontId="0" fillId="0" borderId="0" xfId="0" applyNumberFormat="1" applyFill="1" applyBorder="1" applyAlignment="1">
      <alignment horizontal="center" vertical="center"/>
    </xf>
    <xf numFmtId="10" fontId="144" fillId="22" borderId="44" xfId="0" applyNumberFormat="1" applyFont="1" applyFill="1" applyBorder="1" applyAlignment="1">
      <alignment horizontal="center" vertical="center"/>
    </xf>
    <xf numFmtId="0" fontId="144" fillId="22" borderId="44" xfId="0" applyFont="1" applyFill="1" applyBorder="1" applyAlignment="1">
      <alignment horizontal="center" vertical="center" wrapText="1"/>
    </xf>
    <xf numFmtId="10" fontId="144" fillId="22" borderId="46" xfId="0" applyNumberFormat="1" applyFont="1" applyFill="1" applyBorder="1" applyAlignment="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0" borderId="2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47" fillId="0" borderId="0" xfId="0" applyFont="1" applyAlignment="1"/>
    <xf numFmtId="0" fontId="146" fillId="0" borderId="0" xfId="0" applyFont="1">
      <alignment vertical="center"/>
    </xf>
    <xf numFmtId="177" fontId="71" fillId="6" borderId="2" xfId="2" applyNumberFormat="1" applyFont="1" applyFill="1" applyBorder="1" applyAlignment="1" applyProtection="1">
      <alignment horizontal="center" vertical="center"/>
      <protection locked="0"/>
    </xf>
    <xf numFmtId="0" fontId="144" fillId="5" borderId="0" xfId="0" applyFont="1" applyFill="1" applyAlignment="1" applyProtection="1">
      <alignment horizontal="center" vertical="center"/>
      <protection locked="0"/>
    </xf>
    <xf numFmtId="49" fontId="81" fillId="0" borderId="50" xfId="0" applyNumberFormat="1" applyFont="1" applyFill="1" applyBorder="1" applyAlignment="1" applyProtection="1">
      <alignment horizontal="center" vertical="center" wrapText="1"/>
      <protection locked="0"/>
    </xf>
    <xf numFmtId="184" fontId="75" fillId="8" borderId="0" xfId="0" applyNumberFormat="1" applyFont="1" applyFill="1" applyAlignment="1" applyProtection="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33" fillId="17" borderId="11" xfId="0" applyFont="1" applyFill="1" applyBorder="1" applyAlignment="1">
      <alignment horizontal="center" vertical="center"/>
    </xf>
    <xf numFmtId="0" fontId="133" fillId="17" borderId="2" xfId="0" applyFont="1" applyFill="1" applyBorder="1" applyAlignment="1">
      <alignment horizontal="center" vertical="center"/>
    </xf>
    <xf numFmtId="0" fontId="146" fillId="21" borderId="2" xfId="0" applyFont="1" applyFill="1" applyBorder="1" applyAlignment="1">
      <alignment horizontal="center" vertical="center"/>
    </xf>
    <xf numFmtId="0" fontId="133" fillId="17" borderId="1" xfId="0" applyFont="1" applyFill="1" applyBorder="1" applyAlignment="1">
      <alignment horizontal="center" vertical="center"/>
    </xf>
    <xf numFmtId="0" fontId="133" fillId="17" borderId="6" xfId="0" applyFont="1" applyFill="1" applyBorder="1" applyAlignment="1">
      <alignment horizontal="center" vertical="center"/>
    </xf>
    <xf numFmtId="0" fontId="133" fillId="17" borderId="7" xfId="0" applyFont="1" applyFill="1" applyBorder="1" applyAlignment="1">
      <alignment horizontal="center" vertical="center"/>
    </xf>
    <xf numFmtId="0" fontId="252" fillId="17" borderId="11" xfId="0" applyFont="1" applyFill="1" applyBorder="1" applyAlignment="1">
      <alignment horizontal="center" vertical="center"/>
    </xf>
    <xf numFmtId="0" fontId="252" fillId="17" borderId="2" xfId="0" applyFont="1" applyFill="1" applyBorder="1" applyAlignment="1">
      <alignment horizontal="center" vertical="center"/>
    </xf>
    <xf numFmtId="0" fontId="0" fillId="0" borderId="2" xfId="0" applyBorder="1" applyAlignment="1">
      <alignment horizontal="center" vertical="center"/>
    </xf>
    <xf numFmtId="0" fontId="144" fillId="22" borderId="11" xfId="0" applyFont="1" applyFill="1" applyBorder="1" applyAlignment="1">
      <alignment horizontal="center" vertical="center"/>
    </xf>
    <xf numFmtId="0" fontId="144" fillId="22" borderId="2" xfId="0" applyFont="1" applyFill="1" applyBorder="1" applyAlignment="1">
      <alignment horizontal="center" vertical="center"/>
    </xf>
    <xf numFmtId="0" fontId="133" fillId="17" borderId="43" xfId="0" applyFont="1" applyFill="1" applyBorder="1" applyAlignment="1">
      <alignment horizontal="center" vertical="center"/>
    </xf>
    <xf numFmtId="0" fontId="133" fillId="17" borderId="44" xfId="0" applyFont="1" applyFill="1" applyBorder="1" applyAlignment="1">
      <alignment horizontal="center" vertical="center"/>
    </xf>
    <xf numFmtId="0" fontId="144" fillId="22" borderId="1" xfId="0" applyFont="1" applyFill="1" applyBorder="1" applyAlignment="1">
      <alignment horizontal="center" vertical="center"/>
    </xf>
    <xf numFmtId="0" fontId="144" fillId="22" borderId="6"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44" fillId="22" borderId="12" xfId="0" applyFont="1" applyFill="1" applyBorder="1" applyAlignment="1">
      <alignment horizontal="center" vertical="center"/>
    </xf>
    <xf numFmtId="0" fontId="81" fillId="22" borderId="12" xfId="0" applyFont="1" applyFill="1" applyBorder="1" applyAlignment="1">
      <alignment horizontal="center" vertical="center" wrapText="1"/>
    </xf>
    <xf numFmtId="0" fontId="144" fillId="22" borderId="43" xfId="0" applyFont="1" applyFill="1" applyBorder="1" applyAlignment="1">
      <alignment horizontal="center" vertical="center"/>
    </xf>
    <xf numFmtId="0" fontId="144" fillId="22" borderId="44" xfId="0" applyFont="1" applyFill="1" applyBorder="1" applyAlignment="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5" fillId="23" borderId="16" xfId="0" applyFont="1" applyFill="1" applyBorder="1" applyAlignment="1" applyProtection="1">
      <alignment horizontal="left" vertical="center" wrapText="1"/>
    </xf>
    <xf numFmtId="0" fontId="83" fillId="23" borderId="64" xfId="0" applyFont="1" applyFill="1" applyBorder="1" applyAlignment="1" applyProtection="1">
      <alignment vertical="center" wrapText="1"/>
    </xf>
    <xf numFmtId="0" fontId="71" fillId="23" borderId="12" xfId="0" applyFont="1" applyFill="1" applyBorder="1" applyAlignment="1" applyProtection="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103648</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19048" cy="58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WeChat%20Files/wy271737943/Files/A1&#32463;&#27982;&#25216;&#26415;&#25351;&#26631;&#34920;2018-0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算图层指标统计表"/>
      <sheetName val="经济技术指标表"/>
      <sheetName val="绿地面积复核"/>
      <sheetName val="占地面积复核"/>
      <sheetName val="配套服务设施设置表"/>
      <sheetName val="公共服务设施配套设置表"/>
      <sheetName val="过规委方案与现申报方案指标对比"/>
    </sheetNames>
    <sheetDataSet>
      <sheetData sheetId="0">
        <row r="5">
          <cell r="K5">
            <v>70218.999999999985</v>
          </cell>
        </row>
        <row r="6">
          <cell r="K6">
            <v>1496</v>
          </cell>
        </row>
        <row r="7">
          <cell r="K7">
            <v>513</v>
          </cell>
        </row>
        <row r="8">
          <cell r="K8">
            <v>45389.999999999985</v>
          </cell>
        </row>
        <row r="9">
          <cell r="K9">
            <v>60</v>
          </cell>
        </row>
        <row r="10">
          <cell r="K10">
            <v>22</v>
          </cell>
        </row>
        <row r="11">
          <cell r="E11">
            <v>54058</v>
          </cell>
          <cell r="K11">
            <v>54164</v>
          </cell>
        </row>
        <row r="12">
          <cell r="E12">
            <v>106</v>
          </cell>
        </row>
        <row r="13">
          <cell r="K13">
            <v>3762.84</v>
          </cell>
        </row>
        <row r="50">
          <cell r="K50">
            <v>642</v>
          </cell>
        </row>
        <row r="51">
          <cell r="K51">
            <v>171863.99999999997</v>
          </cell>
        </row>
      </sheetData>
      <sheetData sheetId="1"/>
      <sheetData sheetId="2">
        <row r="29">
          <cell r="C29">
            <v>6843</v>
          </cell>
        </row>
        <row r="33">
          <cell r="C33">
            <v>6843</v>
          </cell>
        </row>
      </sheetData>
      <sheetData sheetId="3">
        <row r="4">
          <cell r="C4">
            <v>17105.2</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2659</v>
      </c>
      <c r="B1" s="2892" t="s">
        <v>2756</v>
      </c>
    </row>
    <row r="2" spans="1:55" s="2896" customFormat="1" ht="15" thickTop="1">
      <c r="A2" s="2894" t="s">
        <v>2663</v>
      </c>
      <c r="B2" s="2895" t="str">
        <f>'预评函-封皮'!B37</f>
        <v>出让国有建设用地使用权抵押价格预评估</v>
      </c>
      <c r="AX2" s="2897"/>
      <c r="AZ2" s="2897"/>
      <c r="BA2" s="2898"/>
      <c r="BC2" s="2898"/>
    </row>
    <row r="3" spans="1:55" s="2899" customFormat="1">
      <c r="A3" s="2878" t="s">
        <v>2664</v>
      </c>
      <c r="B3" s="2881">
        <f>'预评函-封皮'!B40</f>
        <v>0</v>
      </c>
    </row>
    <row r="4" spans="1:55" s="2880" customFormat="1">
      <c r="A4" s="2878" t="s">
        <v>2665</v>
      </c>
      <c r="B4" s="2879" t="str">
        <f>'预评函-封皮'!B46</f>
        <v>土地估价师、土地估价师</v>
      </c>
      <c r="N4" s="2880" t="str">
        <f>'预评函-1'!A28</f>
        <v/>
      </c>
    </row>
    <row r="5" spans="1:55" s="2893" customFormat="1" ht="15" thickBot="1">
      <c r="A5" s="2900" t="s">
        <v>2666</v>
      </c>
      <c r="B5" s="2901" t="str">
        <f>'预评函-封皮'!B49</f>
        <v>康正预评字号</v>
      </c>
    </row>
    <row r="6" spans="1:55" s="2902" customFormat="1" ht="15" thickTop="1">
      <c r="A6" s="2894" t="s">
        <v>2708</v>
      </c>
      <c r="B6" s="2895" t="str">
        <f>'预评函-1'!A4</f>
        <v>受贵公司委托，我公司对出让国有建设用地使用权抵押价格进行了预评估。</v>
      </c>
      <c r="AM6" s="2903"/>
    </row>
    <row r="7" spans="1:55" s="2877" customFormat="1">
      <c r="A7" s="2878" t="s">
        <v>2660</v>
      </c>
      <c r="B7" s="2879" t="str">
        <f>'预评函-1'!A6</f>
        <v>估价对象为使用的、位于出让国有建设用地使用权。根据《国有土地使用证》[]，估价对象（分摊）出让国有建设用地使用权面积为17105.2平方米。根据《建设工程规划许可证》[]、《出让合同》[]，估价对象规划建筑面积为171864平方米。</v>
      </c>
    </row>
    <row r="8" spans="1:55" s="2877" customFormat="1">
      <c r="A8" s="2878" t="s">
        <v>2661</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2711</v>
      </c>
      <c r="B9" s="287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7" customFormat="1">
      <c r="A10" s="2878" t="s">
        <v>2662</v>
      </c>
      <c r="B10" s="2879" t="str">
        <f>'预评函-1'!A11</f>
        <v>2018年10月10日</v>
      </c>
    </row>
    <row r="11" spans="1:55" s="2877" customFormat="1">
      <c r="A11" s="2878" t="s">
        <v>2668</v>
      </c>
      <c r="B11" s="2879" t="str">
        <f>'预评函-1'!A14</f>
        <v>根据《国有土地使用证》[]，本次评估估价对象证载（地类）用途为。</v>
      </c>
    </row>
    <row r="12" spans="1:55" s="2877" customFormat="1">
      <c r="A12" s="2878" t="s">
        <v>2669</v>
      </c>
      <c r="B12" s="2879" t="str">
        <f>'预评函-1'!A15</f>
        <v>本次评估设定用途即为证载用途。</v>
      </c>
    </row>
    <row r="13" spans="1:55" s="2877" customFormat="1">
      <c r="A13" s="2878" t="s">
        <v>2670</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2671</v>
      </c>
      <c r="B14" s="2879" t="str">
        <f>'预评函-1'!A18</f>
        <v>。本次评估设定土地开发程度为红线外市政基础设施达“七通”、宗地红线内场地平整。</v>
      </c>
    </row>
    <row r="15" spans="1:55" s="2877" customFormat="1">
      <c r="A15" s="2878" t="s">
        <v>2667</v>
      </c>
      <c r="B15" s="2879" t="str">
        <f>'预评函-1'!A20</f>
        <v>根据《国有土地使用证》[]，估价对象（分摊）出让国有建设用地使用权面积为17105.2平方米。根据《建设工程规划许可证》[]、《出让合同》[]，估价对象规划建筑面积为171864平方米。</v>
      </c>
    </row>
    <row r="16" spans="1:55" s="2877" customFormat="1">
      <c r="A16" s="2878" t="s">
        <v>2672</v>
      </c>
      <c r="B16" s="2879" t="str">
        <f>'预评函-1'!A22</f>
        <v>本次估价对象为出让国有建设用地使用权，《国有土地使用证》[]证载土地终止日期为住宅2087年8月3日、商业2057年8月3日地下车库2067年8月3日。截至估价期日，出让国有建设用地使用权剩余土地使用年限为。</v>
      </c>
    </row>
    <row r="17" spans="1:48" s="2877" customFormat="1">
      <c r="A17" s="2878" t="s">
        <v>2673</v>
      </c>
      <c r="B17" s="2879" t="str">
        <f>'预评函-1'!A23</f>
        <v>本次评估设定估价对象剩余土地使用年限为。</v>
      </c>
    </row>
    <row r="18" spans="1:48" s="2877" customFormat="1">
      <c r="A18" s="2878" t="s">
        <v>2674</v>
      </c>
      <c r="B18" s="2879"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19" spans="1:48" s="2877" customFormat="1">
      <c r="A19" s="2878" t="s">
        <v>2675</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2676</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2677</v>
      </c>
      <c r="B21" s="2901" t="str">
        <f>'预评函-1'!A28</f>
        <v/>
      </c>
    </row>
    <row r="22" spans="1:48" ht="15" thickTop="1">
      <c r="A22" s="2889" t="s">
        <v>2678</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2679</v>
      </c>
      <c r="B23" s="2879" t="str">
        <f>'预评函-2'!K2</f>
        <v>估价期日：2018年10月10日</v>
      </c>
    </row>
    <row r="24" spans="1:48">
      <c r="A24" s="2878" t="s">
        <v>2680</v>
      </c>
      <c r="B24" s="2879" t="str">
        <f>'预评函-2'!R2</f>
        <v>估价期日的国有建设用地使用权性质：出让</v>
      </c>
    </row>
    <row r="25" spans="1:48">
      <c r="A25" s="2878" t="s">
        <v>2736</v>
      </c>
      <c r="B25" s="2879" t="str">
        <f>'预评函-2'!A3</f>
        <v>估价期日土地使用者</v>
      </c>
    </row>
    <row r="26" spans="1:48">
      <c r="A26" s="2878" t="s">
        <v>2712</v>
      </c>
      <c r="B26" s="2879" t="str">
        <f>'预评函-2'!A5</f>
        <v>中信开发</v>
      </c>
    </row>
    <row r="27" spans="1:48">
      <c r="A27" s="2878" t="s">
        <v>2737</v>
      </c>
      <c r="B27" s="2879" t="str">
        <f>'预评函-2'!B3</f>
        <v>宗地编号/不动产单元号</v>
      </c>
    </row>
    <row r="28" spans="1:48">
      <c r="A28" s="2878" t="s">
        <v>2713</v>
      </c>
      <c r="B28" s="2879" t="str">
        <f>'预评函-2'!B5</f>
        <v>11111111111</v>
      </c>
    </row>
    <row r="29" spans="1:48">
      <c r="A29" s="2878" t="s">
        <v>2739</v>
      </c>
      <c r="B29" s="2879">
        <f>'预评函-2'!C5</f>
        <v>22</v>
      </c>
    </row>
    <row r="30" spans="1:48">
      <c r="A30" s="2878" t="s">
        <v>2740</v>
      </c>
      <c r="B30" s="2879" t="str">
        <f>'预评函-2'!D3</f>
        <v>土地使用证编号/不动产权证书编号</v>
      </c>
    </row>
    <row r="31" spans="1:48">
      <c r="A31" s="2878" t="s">
        <v>2714</v>
      </c>
      <c r="B31" s="2879" t="str">
        <f>'预评函-2'!D5</f>
        <v>京国土字第111号</v>
      </c>
    </row>
    <row r="32" spans="1:48">
      <c r="A32" s="2878" t="s">
        <v>2715</v>
      </c>
      <c r="B32" s="2879">
        <f>'预评函-2'!E5</f>
        <v>0</v>
      </c>
      <c r="AV32" s="2883"/>
    </row>
    <row r="33" spans="1:2">
      <c r="A33" s="2878" t="s">
        <v>2716</v>
      </c>
      <c r="B33" s="2879">
        <f>'预评函-2'!F5</f>
        <v>258</v>
      </c>
    </row>
    <row r="34" spans="1:2">
      <c r="A34" s="2878" t="s">
        <v>2717</v>
      </c>
      <c r="B34" s="2879">
        <f>'预评函-2'!G5</f>
        <v>0</v>
      </c>
    </row>
    <row r="35" spans="1:2">
      <c r="A35" s="2878" t="s">
        <v>2718</v>
      </c>
      <c r="B35" s="2879">
        <f>'预评函-2'!H5</f>
        <v>1.5</v>
      </c>
    </row>
    <row r="36" spans="1:2">
      <c r="A36" s="2878" t="s">
        <v>2719</v>
      </c>
      <c r="B36" s="2879">
        <f>'预评函-2'!I5</f>
        <v>1.5</v>
      </c>
    </row>
    <row r="37" spans="1:2">
      <c r="A37" s="2878" t="s">
        <v>2720</v>
      </c>
      <c r="B37" s="2879">
        <f>'预评函-2'!J5</f>
        <v>1.5</v>
      </c>
    </row>
    <row r="38" spans="1:2">
      <c r="A38" s="2878" t="s">
        <v>2721</v>
      </c>
      <c r="B38" s="2879" t="str">
        <f>'预评函-2'!K5</f>
        <v>红线外七通、宗地红线内</v>
      </c>
    </row>
    <row r="39" spans="1:2">
      <c r="A39" s="2878" t="s">
        <v>2722</v>
      </c>
      <c r="B39" s="2879" t="str">
        <f>'预评函-2'!L5</f>
        <v>红线外七通、宗地红线内场地</v>
      </c>
    </row>
    <row r="40" spans="1:2">
      <c r="A40" s="2878" t="s">
        <v>2741</v>
      </c>
      <c r="B40" s="2879" t="str">
        <f>'预评函-2'!M3</f>
        <v>（剩余）土地使用年限/年</v>
      </c>
    </row>
    <row r="41" spans="1:2">
      <c r="A41" s="2878" t="s">
        <v>2723</v>
      </c>
      <c r="B41" s="2879">
        <f>'预评函-2'!M5</f>
        <v>0</v>
      </c>
    </row>
    <row r="42" spans="1:2">
      <c r="A42" s="2878" t="s">
        <v>2742</v>
      </c>
      <c r="B42" s="2879" t="str">
        <f>'预评函-2'!N3</f>
        <v>（分摊）出让国有建设用地使用权面积/㎡</v>
      </c>
    </row>
    <row r="43" spans="1:2">
      <c r="A43" s="2878" t="s">
        <v>2724</v>
      </c>
      <c r="B43" s="2879">
        <f>'预评函-2'!N5</f>
        <v>17105.2</v>
      </c>
    </row>
    <row r="44" spans="1:2">
      <c r="A44" s="2878" t="s">
        <v>2743</v>
      </c>
      <c r="B44" s="2879" t="str">
        <f>'预评函-2'!O3</f>
        <v>规划建筑面积/㎡</v>
      </c>
    </row>
    <row r="45" spans="1:2">
      <c r="A45" s="2878" t="s">
        <v>2725</v>
      </c>
      <c r="B45" s="2879">
        <f>'预评函-2'!O5</f>
        <v>171863.99999999997</v>
      </c>
    </row>
    <row r="46" spans="1:2">
      <c r="A46" s="2878" t="s">
        <v>2726</v>
      </c>
      <c r="B46" s="2879">
        <f ca="1">'预评函-2'!P5</f>
        <v>70419</v>
      </c>
    </row>
    <row r="47" spans="1:2">
      <c r="A47" s="2878" t="s">
        <v>2727</v>
      </c>
      <c r="B47" s="2879">
        <f ca="1">'预评函-2'!Q5</f>
        <v>7009</v>
      </c>
    </row>
    <row r="48" spans="1:2">
      <c r="A48" s="2878" t="s">
        <v>2728</v>
      </c>
      <c r="B48" s="2879">
        <f ca="1">'预评函-2'!R5</f>
        <v>120453</v>
      </c>
    </row>
    <row r="49" spans="1:2">
      <c r="A49" s="2878" t="s">
        <v>2744</v>
      </c>
      <c r="B49" s="2879" t="str">
        <f>'预评函-2'!A6</f>
        <v>抵押价格</v>
      </c>
    </row>
    <row r="50" spans="1:2">
      <c r="A50" s="2878" t="s">
        <v>2729</v>
      </c>
      <c r="B50" s="2879">
        <f ca="1">'预评函-2'!R6</f>
        <v>120453</v>
      </c>
    </row>
    <row r="51" spans="1:2">
      <c r="A51" s="2878" t="s">
        <v>2745</v>
      </c>
      <c r="B51" s="2879" t="str">
        <f>'预评函-2'!A7</f>
        <v>——</v>
      </c>
    </row>
    <row r="52" spans="1:2">
      <c r="A52" s="2878" t="s">
        <v>2730</v>
      </c>
      <c r="B52" s="2879" t="str">
        <f>'预评函-2'!R7</f>
        <v>——</v>
      </c>
    </row>
    <row r="53" spans="1:2">
      <c r="A53" s="2878" t="s">
        <v>2746</v>
      </c>
      <c r="B53" s="2879" t="str">
        <f>'预评函-2'!A8</f>
        <v>——</v>
      </c>
    </row>
    <row r="54" spans="1:2" s="2893" customFormat="1" ht="15" thickBot="1">
      <c r="A54" s="2900" t="s">
        <v>2731</v>
      </c>
      <c r="B54" s="2901" t="str">
        <f>'预评函-2'!R8</f>
        <v>——</v>
      </c>
    </row>
    <row r="55" spans="1:2" ht="15" thickTop="1">
      <c r="A55" s="2889" t="s">
        <v>2681</v>
      </c>
      <c r="B55" s="2890" t="str">
        <f>'预评函-3'!A2</f>
        <v>1.权利限制：根据估价对象《不动产权证书》原件、《国有土地使用权》复印件，截至估价期日，估价对象抵押权未见登记。未设定租赁等其他他项权利。</v>
      </c>
    </row>
    <row r="56" spans="1:2">
      <c r="A56" s="2878" t="s">
        <v>2682</v>
      </c>
      <c r="B56" s="2879" t="str">
        <f>'预评函-3'!A3</f>
        <v>2.基础设施条件：估价对象实际开发程度为红线外七通、宗地红线内；本次评估设定开发程度为红线外七通、宗地红线内场地。</v>
      </c>
    </row>
    <row r="57" spans="1:2">
      <c r="A57" s="2878" t="s">
        <v>2683</v>
      </c>
      <c r="B57" s="2879" t="str">
        <f>'预评函-3'!A4</f>
        <v>3.估价规划限制条件：详见《建设工程规划许可证》[]、《出让合同》[]。</v>
      </c>
    </row>
    <row r="58" spans="1:2" s="2893" customFormat="1" ht="15" thickBot="1">
      <c r="A58" s="2900" t="s">
        <v>2732</v>
      </c>
      <c r="B58" s="2901" t="str">
        <f>'预评函-3'!A5</f>
        <v>4.影响价格的其他限定条件：无。</v>
      </c>
    </row>
    <row r="59" spans="1:2" ht="15" thickTop="1">
      <c r="A59" s="2889" t="s">
        <v>2684</v>
      </c>
      <c r="B59" s="2890" t="str">
        <f>'预评函-3'!A8</f>
        <v>2.本《评估意见函》仅供金融机构进行内部审核使用，不做其他目的之用。</v>
      </c>
    </row>
    <row r="60" spans="1:2">
      <c r="A60" s="2878" t="s">
        <v>2685</v>
      </c>
      <c r="B60" s="2879" t="str">
        <f>'预评函-3'!A9</f>
        <v>3.抵押双方在办理抵押登记手续时，应使用本公司出具的正式《土地估价报告》，特提请报告使用者注意。</v>
      </c>
    </row>
    <row r="61" spans="1:2">
      <c r="A61" s="2878" t="s">
        <v>2687</v>
      </c>
      <c r="B61" s="2879" t="str">
        <f>'预评函-3'!A10</f>
        <v>4.估价师所知悉的法定优先受偿款情况为：</v>
      </c>
    </row>
    <row r="62" spans="1:2">
      <c r="A62" s="2878" t="s">
        <v>2686</v>
      </c>
      <c r="B62" s="2879" t="str">
        <f>'预评函-3'!A11</f>
        <v>（1）根据估价对象《不动产权证书》原件、《国有土地使用权》复印件，截至估价期日，估价对象抵押权未见登记。</v>
      </c>
    </row>
    <row r="63" spans="1:2">
      <c r="A63" s="2878" t="s">
        <v>2688</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2689</v>
      </c>
      <c r="B64" s="2884" t="str">
        <f>'预评函-3'!A13</f>
        <v>（3）。</v>
      </c>
    </row>
    <row r="65" spans="1:2">
      <c r="A65" s="2878" t="s">
        <v>2690</v>
      </c>
      <c r="B65" s="2885" t="str">
        <f>'预评函-3'!A14</f>
        <v>综上，本次评估不存在估价师知悉的法定优先受偿款</v>
      </c>
    </row>
    <row r="66" spans="1:2">
      <c r="A66" s="2878" t="s">
        <v>2691</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2692</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2695</v>
      </c>
      <c r="B68" s="2904">
        <f>'预评函-3'!D30</f>
        <v>42558</v>
      </c>
    </row>
    <row r="69" spans="1:2" ht="15" thickTop="1">
      <c r="A69" s="2889" t="s">
        <v>2693</v>
      </c>
      <c r="B69" s="2890" t="str">
        <f>'预评函-3'!A20</f>
        <v>土地估价师</v>
      </c>
    </row>
    <row r="70" spans="1:2">
      <c r="A70" s="2878" t="s">
        <v>2693</v>
      </c>
      <c r="B70" s="2885">
        <f>'预评函-3'!B20</f>
        <v>0</v>
      </c>
    </row>
    <row r="71" spans="1:2">
      <c r="A71" s="2878" t="s">
        <v>2694</v>
      </c>
      <c r="B71" s="2879" t="str">
        <f>'预评函-3'!A21</f>
        <v>土地估价师</v>
      </c>
    </row>
    <row r="72" spans="1:2" s="2893" customFormat="1" ht="15" thickBot="1">
      <c r="A72" s="2900" t="s">
        <v>2694</v>
      </c>
      <c r="B72" s="2906">
        <f>'预评函-3'!B21</f>
        <v>0</v>
      </c>
    </row>
    <row r="73" spans="1:2" ht="15" thickTop="1">
      <c r="A73" s="2889" t="s">
        <v>2753</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2754</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2755</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2790</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50" t="str">
        <f>项目基本情况!B1</f>
        <v>出让国有建设用地使用权抵押价格预评估</v>
      </c>
      <c r="C37" s="3250"/>
      <c r="D37" s="3250"/>
      <c r="E37" s="3250"/>
      <c r="F37" s="3250"/>
      <c r="G37" s="3250"/>
      <c r="H37" s="3250"/>
      <c r="I37" s="3250"/>
    </row>
    <row r="38" spans="1:9">
      <c r="A38" s="1656"/>
      <c r="B38" s="1656"/>
    </row>
    <row r="39" spans="1:9">
      <c r="A39" s="1654" t="s">
        <v>1902</v>
      </c>
      <c r="B39" s="1654" t="s">
        <v>2049</v>
      </c>
    </row>
    <row r="40" spans="1:9">
      <c r="A40" s="1654"/>
      <c r="B40" s="1654">
        <f>项目基本情况!B5</f>
        <v>0</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ht="12.75">
      <c r="B46" s="1654" t="str">
        <f>项目基本情况!K4</f>
        <v>土地估价师、土地估价师</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17105.2平方米。根据《建设工程规划许可证》[]、《出让合同》[]，估价对象规划建筑面积为171864平方米。</v>
      </c>
    </row>
    <row r="7" spans="1:4" ht="56.25">
      <c r="A7" s="1796" t="s">
        <v>2750</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2018年10月10日</v>
      </c>
    </row>
    <row r="12" spans="1:4" ht="18.75">
      <c r="A12" s="1798" t="s">
        <v>2028</v>
      </c>
    </row>
    <row r="13" spans="1:4" ht="18.75">
      <c r="A13" s="1792" t="s">
        <v>2948</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根据《国有土地使用证》[]，估价对象（分摊）出让国有建设用地使用权面积为17105.2平方米。根据《建设工程规划许可证》[]、《出让合同》[]，估价对象规划建筑面积为171864平方米。</v>
      </c>
    </row>
    <row r="21" spans="1:1" ht="18.75">
      <c r="A21" s="1792" t="s">
        <v>2077</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本次估价对象为出让国有建设用地使用权，《国有土地使用证》[]证载土地终止日期为住宅2087年8月3日、商业2057年8月3日地下车库2067年8月3日。截至估价期日，出让国有建设用地使用权剩余土地使用年限为。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17105.2平方米。根据《建设工程规划许可证》[]、《出让合同》[]，估价对象规划建筑面积为171864平方米。</v>
      </c>
    </row>
    <row r="7" spans="1:4" ht="93.75">
      <c r="A7" s="2874" t="s">
        <v>2751</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2018年10月10日</v>
      </c>
    </row>
    <row r="12" spans="1:4" ht="18.75">
      <c r="A12" s="1798" t="s">
        <v>2028</v>
      </c>
    </row>
    <row r="13" spans="1:4" ht="18.75">
      <c r="A13" s="1792" t="s">
        <v>2074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根据《国有土地使用证》[]，估价对象（分摊）出让国有建设用地使用权面积为17105.2平方米。根据《建设工程规划许可证》[]、《出让合同》[]，估价对象规划建筑面积为171864平方米。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876" t="s">
        <v>2752</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4" t="s">
        <v>2041</v>
      </c>
      <c r="B1" s="3254"/>
      <c r="C1" s="3254"/>
      <c r="D1" s="3254"/>
      <c r="E1" s="3254"/>
      <c r="F1" s="3254"/>
      <c r="G1" s="3254"/>
      <c r="H1" s="3254"/>
      <c r="I1" s="3254"/>
      <c r="J1" s="3254"/>
      <c r="K1" s="3254"/>
      <c r="L1" s="3254"/>
      <c r="M1" s="3254"/>
      <c r="N1" s="3254"/>
      <c r="O1" s="3254"/>
      <c r="P1" s="3254"/>
      <c r="Q1" s="3254"/>
      <c r="R1" s="3254"/>
    </row>
    <row r="2" spans="1:18">
      <c r="A2" s="1808" t="s">
        <v>2043</v>
      </c>
      <c r="B2" s="1808"/>
      <c r="C2" s="1808"/>
      <c r="D2" s="1808"/>
      <c r="E2" s="1808"/>
      <c r="F2" s="1808"/>
      <c r="G2" s="1808"/>
      <c r="H2" s="1808"/>
      <c r="I2" s="1809"/>
      <c r="J2" s="1809"/>
      <c r="K2" s="1810" t="str">
        <f>"估价期日："&amp;TEXT(项目基本情况!D3,"yyyy年m月d日;;")</f>
        <v>估价期日：2018年10月10日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55" t="s">
        <v>2032</v>
      </c>
      <c r="B3" s="3255" t="s">
        <v>2734</v>
      </c>
      <c r="C3" s="3256" t="s">
        <v>2033</v>
      </c>
      <c r="D3" s="3255" t="s">
        <v>2738</v>
      </c>
      <c r="E3" s="3258" t="s">
        <v>2034</v>
      </c>
      <c r="F3" s="3258"/>
      <c r="G3" s="3258"/>
      <c r="H3" s="3258" t="s">
        <v>2035</v>
      </c>
      <c r="I3" s="3258"/>
      <c r="J3" s="3258"/>
      <c r="K3" s="3256" t="s">
        <v>2036</v>
      </c>
      <c r="L3" s="3256" t="s">
        <v>2037</v>
      </c>
      <c r="M3" s="3255" t="s">
        <v>2735</v>
      </c>
      <c r="N3" s="3257" t="str">
        <f>"（分摊）"&amp;项目基本情况!B16&amp;"国有建设用地使用权面积/㎡"</f>
        <v>（分摊）出让国有建设用地使用权面积/㎡</v>
      </c>
      <c r="O3" s="3255" t="s">
        <v>2066</v>
      </c>
      <c r="P3" s="3256" t="s">
        <v>2046</v>
      </c>
      <c r="Q3" s="3256" t="s">
        <v>2067</v>
      </c>
      <c r="R3" s="3256" t="s">
        <v>2038</v>
      </c>
    </row>
    <row r="4" spans="1:18" ht="36.75" customHeight="1">
      <c r="A4" s="3255"/>
      <c r="B4" s="3255"/>
      <c r="C4" s="3256"/>
      <c r="D4" s="3255"/>
      <c r="E4" s="2650" t="s">
        <v>2045</v>
      </c>
      <c r="F4" s="2650" t="s">
        <v>2747</v>
      </c>
      <c r="G4" s="2650" t="s">
        <v>2039</v>
      </c>
      <c r="H4" s="2650" t="s">
        <v>2040</v>
      </c>
      <c r="I4" s="2650" t="s">
        <v>2748</v>
      </c>
      <c r="J4" s="2650" t="s">
        <v>2039</v>
      </c>
      <c r="K4" s="3256"/>
      <c r="L4" s="3256"/>
      <c r="M4" s="3255"/>
      <c r="N4" s="3257"/>
      <c r="O4" s="3255"/>
      <c r="P4" s="3256"/>
      <c r="Q4" s="3256"/>
      <c r="R4" s="3256"/>
    </row>
    <row r="5" spans="1:18" ht="135" customHeight="1">
      <c r="A5" s="1944" t="s">
        <v>2658</v>
      </c>
      <c r="B5" s="2868" t="s">
        <v>2656</v>
      </c>
      <c r="C5" s="2649">
        <v>22</v>
      </c>
      <c r="D5" s="2648" t="s">
        <v>2657</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17105.2</v>
      </c>
      <c r="O5" s="1811">
        <f>项目基本情况!C21</f>
        <v>171863.99999999997</v>
      </c>
      <c r="P5" s="1811">
        <f ca="1">结果表!E42</f>
        <v>70419</v>
      </c>
      <c r="Q5" s="1811">
        <f ca="1">结果表!D42</f>
        <v>7009</v>
      </c>
      <c r="R5" s="1812">
        <f ca="1">结果表!C42</f>
        <v>120453</v>
      </c>
    </row>
    <row r="6" spans="1:18">
      <c r="A6" s="3251" t="str">
        <f>IF(项目基本情况!B9="市场价格","——","抵押价格")</f>
        <v>抵押价格</v>
      </c>
      <c r="B6" s="3252"/>
      <c r="C6" s="3252"/>
      <c r="D6" s="3252"/>
      <c r="E6" s="3252"/>
      <c r="F6" s="3252"/>
      <c r="G6" s="3252"/>
      <c r="H6" s="3252"/>
      <c r="I6" s="3252"/>
      <c r="J6" s="3252"/>
      <c r="K6" s="3252"/>
      <c r="L6" s="3252"/>
      <c r="M6" s="3252"/>
      <c r="N6" s="3252"/>
      <c r="O6" s="3252"/>
      <c r="P6" s="3252"/>
      <c r="Q6" s="3253"/>
      <c r="R6" s="1813">
        <f ca="1">结果表!O39</f>
        <v>120453</v>
      </c>
    </row>
    <row r="7" spans="1:18">
      <c r="A7" s="3251" t="str">
        <f>IF(项目基本情况!B9="市场价格","——",IF(项目基本情况!E8="已注销及未注销","抵押担保权已注销时的抵押价格","——"))</f>
        <v>——</v>
      </c>
      <c r="B7" s="3252"/>
      <c r="C7" s="3252"/>
      <c r="D7" s="3252"/>
      <c r="E7" s="3252"/>
      <c r="F7" s="3252"/>
      <c r="G7" s="3252"/>
      <c r="H7" s="3252"/>
      <c r="I7" s="3252"/>
      <c r="J7" s="3252"/>
      <c r="K7" s="3252"/>
      <c r="L7" s="3252"/>
      <c r="M7" s="3252"/>
      <c r="N7" s="3252"/>
      <c r="O7" s="3252"/>
      <c r="P7" s="3252"/>
      <c r="Q7" s="3253"/>
      <c r="R7" s="1813" t="str">
        <f>结果表!O40</f>
        <v>——</v>
      </c>
    </row>
    <row r="8" spans="1:18">
      <c r="A8" s="3251" t="str">
        <f>IF(项目基本情况!B9="市场价格","——",项目基本情况!E9)</f>
        <v>——</v>
      </c>
      <c r="B8" s="3252"/>
      <c r="C8" s="3252"/>
      <c r="D8" s="3252"/>
      <c r="E8" s="3252"/>
      <c r="F8" s="3252"/>
      <c r="G8" s="3252"/>
      <c r="H8" s="3252"/>
      <c r="I8" s="3252"/>
      <c r="J8" s="3252"/>
      <c r="K8" s="3252"/>
      <c r="L8" s="3252"/>
      <c r="M8" s="3252"/>
      <c r="N8" s="3252"/>
      <c r="O8" s="3252"/>
      <c r="P8" s="3252"/>
      <c r="Q8" s="3253"/>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60" t="s">
        <v>2068</v>
      </c>
      <c r="B1" s="3260"/>
      <c r="C1" s="3260"/>
      <c r="D1" s="3260"/>
    </row>
    <row r="2" spans="1:4" ht="47.25" customHeight="1">
      <c r="A2" s="3261" t="str">
        <f>"1.权利限制："&amp;项目基本情况!L24&amp;"未设定租赁等其他他项权利。"</f>
        <v>1.权利限制：根据估价对象《不动产权证书》原件、《国有土地使用权》复印件，截至估价期日，估价对象抵押权未见登记。未设定租赁等其他他项权利。</v>
      </c>
      <c r="B2" s="3261"/>
      <c r="C2" s="3261"/>
      <c r="D2" s="3261"/>
    </row>
    <row r="3" spans="1:4" ht="48" customHeight="1">
      <c r="A3" s="326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0"/>
      <c r="C3" s="3260"/>
      <c r="D3" s="3260"/>
    </row>
    <row r="4" spans="1:4" ht="36.75" customHeight="1">
      <c r="A4" s="3260" t="str">
        <f>"3.估价规划限制条件：详见"&amp;项目基本情况!E21&amp;"。"</f>
        <v>3.估价规划限制条件：详见《建设工程规划许可证》[]、《出让合同》[]。</v>
      </c>
      <c r="B4" s="3260"/>
      <c r="C4" s="3260"/>
      <c r="D4" s="3260"/>
    </row>
    <row r="5" spans="1:4">
      <c r="A5" s="3259" t="s">
        <v>2069</v>
      </c>
      <c r="B5" s="3259"/>
      <c r="C5" s="3259"/>
      <c r="D5" s="3259"/>
    </row>
    <row r="6" spans="1:4">
      <c r="A6" s="3260" t="s">
        <v>2047</v>
      </c>
      <c r="B6" s="3260"/>
      <c r="C6" s="3260"/>
      <c r="D6" s="3260"/>
    </row>
    <row r="7" spans="1:4" ht="33" customHeight="1">
      <c r="A7" s="3260" t="s">
        <v>2578</v>
      </c>
      <c r="B7" s="3260"/>
      <c r="C7" s="3260"/>
      <c r="D7" s="3260"/>
    </row>
    <row r="8" spans="1:4" ht="32.25" customHeight="1">
      <c r="A8" s="326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0"/>
      <c r="C8" s="3260"/>
      <c r="D8" s="3260"/>
    </row>
    <row r="9" spans="1:4" ht="33.75" customHeight="1">
      <c r="A9" s="32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0"/>
      <c r="C9" s="3260"/>
      <c r="D9" s="3260"/>
    </row>
    <row r="10" spans="1:4">
      <c r="A10" s="3260" t="str">
        <f>IF(项目基本情况!B8="抵押","4.估价师所知悉的法定优先受偿款情况为：","——")</f>
        <v>4.估价师所知悉的法定优先受偿款情况为：</v>
      </c>
      <c r="B10" s="3260"/>
      <c r="C10" s="3260"/>
      <c r="D10" s="3260"/>
    </row>
    <row r="11" spans="1:4" ht="37.5" customHeight="1">
      <c r="A11" s="3262" t="str">
        <f>IF(项目基本情况!B8="抵押","（1）"&amp;CONCATENATE(项目基本情况!L24,项目基本情况!L25,项目基本情况!L26),"——")</f>
        <v>（1）根据估价对象《不动产权证书》原件、《国有土地使用权》复印件，截至估价期日，估价对象抵押权未见登记。</v>
      </c>
      <c r="B11" s="3262"/>
      <c r="C11" s="3262"/>
      <c r="D11" s="3262"/>
    </row>
    <row r="12" spans="1:4" ht="168" customHeight="1">
      <c r="A12" s="3259" t="s">
        <v>2071</v>
      </c>
      <c r="B12" s="3259"/>
      <c r="C12" s="3259"/>
      <c r="D12" s="3259"/>
    </row>
    <row r="13" spans="1:4">
      <c r="A13" s="3263" t="s">
        <v>2749</v>
      </c>
      <c r="B13" s="3263"/>
      <c r="C13" s="3263"/>
      <c r="D13" s="3263"/>
    </row>
    <row r="14" spans="1:4">
      <c r="A14" s="3262" t="str">
        <f>IF(项目基本情况!B8="抵押","综上，"&amp;结果表!K47,"——")</f>
        <v>综上，本次评估不存在估价师知悉的法定优先受偿款</v>
      </c>
      <c r="B14" s="3262"/>
      <c r="C14" s="3262"/>
      <c r="D14" s="3262"/>
    </row>
    <row r="15" spans="1:4" ht="58.5" customHeight="1">
      <c r="A15" s="326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0"/>
      <c r="C15" s="3260"/>
      <c r="D15" s="3260"/>
    </row>
    <row r="16" spans="1:4" ht="70.5" customHeight="1">
      <c r="A16" s="326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0"/>
      <c r="C16" s="3260"/>
      <c r="D16" s="3260"/>
    </row>
    <row r="17" spans="1:4">
      <c r="A17" s="3260" t="s">
        <v>2705</v>
      </c>
      <c r="B17" s="3260"/>
      <c r="C17" s="3260"/>
      <c r="D17" s="3260"/>
    </row>
    <row r="18" spans="1:4">
      <c r="A18" s="3260" t="s">
        <v>2697</v>
      </c>
      <c r="B18" s="3260"/>
      <c r="C18" s="3260"/>
      <c r="D18" s="3260"/>
    </row>
    <row r="19" spans="1:4">
      <c r="A19" s="2869" t="s">
        <v>2698</v>
      </c>
      <c r="B19" s="2869" t="s">
        <v>2699</v>
      </c>
      <c r="C19" s="2869" t="s">
        <v>2700</v>
      </c>
      <c r="D19" s="2869" t="s">
        <v>2701</v>
      </c>
    </row>
    <row r="20" spans="1:4">
      <c r="A20" s="2869" t="str">
        <f>项目基本情况!B4</f>
        <v>土地估价师</v>
      </c>
      <c r="B20" s="2869">
        <f>项目基本情况!C4</f>
        <v>0</v>
      </c>
      <c r="C20" s="2871"/>
      <c r="D20" s="1801" t="s">
        <v>2706</v>
      </c>
    </row>
    <row r="21" spans="1:4">
      <c r="A21" s="2869" t="str">
        <f>项目基本情况!D4</f>
        <v>土地估价师</v>
      </c>
      <c r="B21" s="2869">
        <f>项目基本情况!E4</f>
        <v>0</v>
      </c>
      <c r="C21" s="2871"/>
      <c r="D21" s="1801" t="s">
        <v>2707</v>
      </c>
    </row>
    <row r="23" spans="1:4">
      <c r="A23" s="3260" t="s">
        <v>2702</v>
      </c>
      <c r="B23" s="3260"/>
      <c r="C23" s="3260"/>
      <c r="D23" s="3260"/>
    </row>
    <row r="24" spans="1:4">
      <c r="A24" s="2869" t="s">
        <v>2698</v>
      </c>
      <c r="B24" s="2869" t="s">
        <v>2703</v>
      </c>
      <c r="C24" s="2869" t="s">
        <v>2700</v>
      </c>
      <c r="D24" s="2869" t="s">
        <v>2701</v>
      </c>
    </row>
    <row r="25" spans="1:4">
      <c r="A25" s="2872" t="s">
        <v>2704</v>
      </c>
      <c r="B25" s="2869" t="s">
        <v>952</v>
      </c>
      <c r="C25" s="2871"/>
      <c r="D25" s="1801" t="s">
        <v>2707</v>
      </c>
    </row>
    <row r="29" spans="1:4">
      <c r="D29" s="2870" t="s">
        <v>2042</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71" t="s">
        <v>53</v>
      </c>
      <c r="B15" s="3272" t="s">
        <v>846</v>
      </c>
      <c r="C15" s="3268"/>
    </row>
    <row r="16" spans="1:7" ht="14.25">
      <c r="A16" s="3271"/>
      <c r="B16" s="3269" t="s">
        <v>54</v>
      </c>
      <c r="C16" s="1172" t="s">
        <v>53</v>
      </c>
    </row>
    <row r="17" spans="1:3" ht="14.25">
      <c r="A17" s="3271"/>
      <c r="B17" s="3269"/>
      <c r="C17" s="1172" t="s">
        <v>55</v>
      </c>
    </row>
    <row r="18" spans="1:3" ht="14.25">
      <c r="A18" s="3271"/>
      <c r="B18" s="3269"/>
      <c r="C18" s="1172" t="s">
        <v>56</v>
      </c>
    </row>
    <row r="19" spans="1:3" ht="14.25">
      <c r="A19" s="3271"/>
      <c r="B19" s="3267" t="s">
        <v>57</v>
      </c>
      <c r="C19" s="3268"/>
    </row>
    <row r="20" spans="1:3" ht="14.25">
      <c r="A20" s="1173" t="s">
        <v>58</v>
      </c>
      <c r="B20" s="1174"/>
      <c r="C20" s="1175"/>
    </row>
    <row r="21" spans="1:3" ht="14.25">
      <c r="A21" s="3270" t="s">
        <v>59</v>
      </c>
      <c r="B21" s="3267" t="s">
        <v>60</v>
      </c>
      <c r="C21" s="3268"/>
    </row>
    <row r="22" spans="1:3" ht="14.25">
      <c r="A22" s="3270"/>
      <c r="B22" s="3267" t="s">
        <v>61</v>
      </c>
      <c r="C22" s="3268"/>
    </row>
    <row r="23" spans="1:3" ht="14.25">
      <c r="A23" s="3270"/>
      <c r="B23" s="3267" t="s">
        <v>62</v>
      </c>
      <c r="C23" s="3268"/>
    </row>
    <row r="24" spans="1:3" ht="14.25">
      <c r="A24" s="3270"/>
      <c r="B24" s="3273" t="s">
        <v>63</v>
      </c>
      <c r="C24" s="1176" t="s">
        <v>837</v>
      </c>
    </row>
    <row r="25" spans="1:3" ht="14.25">
      <c r="A25" s="3270"/>
      <c r="B25" s="3274"/>
      <c r="C25" s="1176" t="s">
        <v>838</v>
      </c>
    </row>
    <row r="26" spans="1:3" ht="14.25">
      <c r="A26" s="3270"/>
      <c r="B26" s="3274"/>
      <c r="C26" s="1176" t="s">
        <v>839</v>
      </c>
    </row>
    <row r="27" spans="1:3" ht="14.25">
      <c r="A27" s="3270"/>
      <c r="B27" s="3274"/>
      <c r="C27" s="1176" t="s">
        <v>840</v>
      </c>
    </row>
    <row r="28" spans="1:3" ht="14.25">
      <c r="A28" s="3270"/>
      <c r="B28" s="3274"/>
      <c r="C28" s="1176" t="s">
        <v>841</v>
      </c>
    </row>
    <row r="29" spans="1:3" ht="14.25">
      <c r="A29" s="3270"/>
      <c r="B29" s="3274"/>
      <c r="C29" s="1176" t="s">
        <v>842</v>
      </c>
    </row>
    <row r="30" spans="1:3" ht="14.25">
      <c r="A30" s="3270"/>
      <c r="B30" s="3274"/>
      <c r="C30" s="1176" t="s">
        <v>843</v>
      </c>
    </row>
    <row r="31" spans="1:3" ht="14.25">
      <c r="A31" s="3270"/>
      <c r="B31" s="3274"/>
      <c r="C31" s="1176" t="s">
        <v>844</v>
      </c>
    </row>
    <row r="32" spans="1:3" ht="14.25">
      <c r="A32" s="3270"/>
      <c r="B32" s="3274"/>
      <c r="C32" s="1176" t="s">
        <v>1647</v>
      </c>
    </row>
    <row r="33" spans="1:3" ht="14.25">
      <c r="A33" s="3270"/>
      <c r="B33" s="3264" t="s">
        <v>1653</v>
      </c>
      <c r="C33" s="1176" t="s">
        <v>1648</v>
      </c>
    </row>
    <row r="34" spans="1:3" ht="14.25">
      <c r="A34" s="3270"/>
      <c r="B34" s="3265"/>
      <c r="C34" s="1181" t="s">
        <v>1649</v>
      </c>
    </row>
    <row r="35" spans="1:3" ht="14.25">
      <c r="A35" s="3270"/>
      <c r="B35" s="3265"/>
      <c r="C35" s="1182" t="s">
        <v>1650</v>
      </c>
    </row>
    <row r="36" spans="1:3" ht="14.25">
      <c r="A36" s="3270"/>
      <c r="B36" s="3265"/>
      <c r="C36" s="1182" t="s">
        <v>1651</v>
      </c>
    </row>
    <row r="37" spans="1:3" ht="14.25">
      <c r="A37" s="3270"/>
      <c r="B37" s="3266"/>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43396</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44395</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2984</v>
      </c>
      <c r="B12" s="2344">
        <v>1120110054</v>
      </c>
      <c r="C12" s="3007">
        <v>43937</v>
      </c>
      <c r="D12" s="2344" t="s">
        <v>2984</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2577</v>
      </c>
      <c r="B15" s="2344">
        <v>1120070085</v>
      </c>
      <c r="C15" s="3007">
        <v>43814</v>
      </c>
      <c r="D15" s="2344" t="s">
        <v>2577</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2056</v>
      </c>
      <c r="B24" s="2346" t="s">
        <v>2056</v>
      </c>
      <c r="C24" s="3007"/>
      <c r="D24" s="3009" t="s">
        <v>2056</v>
      </c>
      <c r="E24" s="2346" t="s">
        <v>2056</v>
      </c>
      <c r="F24" s="2347"/>
    </row>
    <row r="25" spans="1:7" ht="20.25" customHeight="1">
      <c r="A25" s="3275" t="s">
        <v>1929</v>
      </c>
      <c r="B25" s="3275"/>
      <c r="C25" s="3275"/>
      <c r="D25" s="3275"/>
      <c r="E25" s="3275"/>
      <c r="F25" s="3275"/>
      <c r="G25" s="3275"/>
    </row>
    <row r="26" spans="1:7" ht="20.25" customHeight="1">
      <c r="A26" s="3276" t="s">
        <v>1930</v>
      </c>
      <c r="B26" s="3276"/>
      <c r="C26" s="3276"/>
      <c r="D26" s="3276" t="s">
        <v>1931</v>
      </c>
      <c r="E26" s="3276"/>
      <c r="F26" s="3276"/>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2950</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7" workbookViewId="0">
      <selection activeCell="A27" sqref="A27"/>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2548</v>
      </c>
      <c r="R1" s="2583" t="s">
        <v>2542</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2543</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2544</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6" t="s">
        <v>760</v>
      </c>
      <c r="Q4" s="9" t="s">
        <v>92</v>
      </c>
      <c r="R4" s="1006" t="s">
        <v>2545</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2546</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2547</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4" t="s">
        <v>2962</v>
      </c>
      <c r="C18" s="1554"/>
    </row>
    <row r="19" spans="1:3">
      <c r="A19" s="8" t="s">
        <v>120</v>
      </c>
      <c r="B19" s="3114" t="s">
        <v>2970</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3114" t="s">
        <v>3318</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77"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c r="D53" s="1768"/>
      <c r="E53" s="1768"/>
    </row>
    <row r="54" spans="1:5">
      <c r="A54" s="3277"/>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77"/>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77"/>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77"/>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34" sqref="C34:D34"/>
    </sheetView>
  </sheetViews>
  <sheetFormatPr defaultColWidth="10" defaultRowHeight="14.25"/>
  <cols>
    <col min="1" max="1" width="15.375" style="1690" customWidth="1"/>
    <col min="2" max="2" width="11.375" style="1690" customWidth="1"/>
    <col min="3" max="3" width="12.625" style="1690" customWidth="1"/>
    <col min="4" max="4" width="14.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93" t="str">
        <f>IF(B10="北京市","北京市",C10)&amp;F10&amp;B16&amp;"国有建设用地使用权"&amp;B9&amp;"预评估"</f>
        <v>出让国有建设用地使用权抵押价格预评估</v>
      </c>
      <c r="C1" s="3294"/>
      <c r="D1" s="3294"/>
      <c r="E1" s="3294"/>
      <c r="F1" s="3294"/>
      <c r="G1" s="3294"/>
      <c r="H1" s="3294"/>
      <c r="I1" s="3295"/>
      <c r="J1" s="1693"/>
      <c r="K1" s="2455"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1942</v>
      </c>
      <c r="B3" s="1661"/>
      <c r="C3" s="1662" t="s">
        <v>1998</v>
      </c>
      <c r="D3" s="1661">
        <v>43383</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2892</v>
      </c>
      <c r="C4" s="1845">
        <f>SUMIF(土地估价师,B4,估价师及机构信息!E3:E24)</f>
        <v>0</v>
      </c>
      <c r="D4" s="1842" t="s">
        <v>2892</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1944</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2710</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2990</v>
      </c>
      <c r="C8" s="1670"/>
      <c r="D8" s="3299" t="s">
        <v>1947</v>
      </c>
      <c r="E8" s="1843" t="s">
        <v>2991</v>
      </c>
      <c r="F8" s="1671"/>
      <c r="G8" s="1659"/>
      <c r="H8" s="1659"/>
      <c r="I8" s="1706"/>
      <c r="J8" s="1693"/>
      <c r="K8" s="1773"/>
      <c r="L8" s="1722"/>
      <c r="M8" s="1722"/>
      <c r="N8" s="1693"/>
      <c r="O8" s="1694"/>
      <c r="P8" s="1693"/>
      <c r="Q8" s="1693"/>
      <c r="R8" s="1693"/>
      <c r="S8" s="1693"/>
      <c r="T8" s="1693"/>
      <c r="U8" s="1693"/>
    </row>
    <row r="9" spans="1:21" ht="15" thickBot="1">
      <c r="A9" s="1672" t="s">
        <v>1946</v>
      </c>
      <c r="B9" s="1673" t="s">
        <v>2991</v>
      </c>
      <c r="C9" s="1674"/>
      <c r="D9" s="3300"/>
      <c r="E9" s="1673" t="s">
        <v>952</v>
      </c>
      <c r="F9" s="1746"/>
      <c r="G9" s="1741"/>
      <c r="H9" s="1741"/>
      <c r="I9" s="1742"/>
      <c r="J9" s="1693"/>
      <c r="K9" s="1773"/>
      <c r="L9" s="1722"/>
      <c r="M9" s="1722"/>
      <c r="N9" s="1693"/>
      <c r="O9" s="1694"/>
      <c r="P9" s="1693"/>
      <c r="Q9" s="1693"/>
      <c r="R9" s="1693"/>
      <c r="S9" s="1693"/>
      <c r="T9" s="1693"/>
      <c r="U9" s="1693"/>
    </row>
    <row r="10" spans="1:21" ht="15" thickTop="1">
      <c r="A10" s="1743" t="s">
        <v>2002</v>
      </c>
      <c r="B10" s="1718" t="s">
        <v>2992</v>
      </c>
      <c r="C10" s="1675"/>
      <c r="D10" s="1666"/>
      <c r="E10" s="1676" t="s">
        <v>1949</v>
      </c>
      <c r="F10" s="1677"/>
      <c r="G10" s="1744"/>
      <c r="H10" s="1745"/>
      <c r="I10" s="1666"/>
      <c r="J10" s="1693"/>
      <c r="K10" s="1773"/>
      <c r="L10" s="1722"/>
      <c r="M10" s="1722"/>
      <c r="N10" s="1693"/>
      <c r="O10" s="1694"/>
      <c r="P10" s="1693"/>
      <c r="Q10" s="1693"/>
      <c r="R10" s="1693"/>
      <c r="S10" s="1693"/>
      <c r="T10" s="1693"/>
      <c r="U10" s="1693"/>
    </row>
    <row r="11" spans="1:21">
      <c r="A11" s="1696" t="s">
        <v>2003</v>
      </c>
      <c r="B11" s="1697" t="s">
        <v>2993</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296"/>
      <c r="C12" s="3297"/>
      <c r="D12" s="3298"/>
      <c r="E12" s="1698" t="s">
        <v>2064</v>
      </c>
      <c r="F12" s="3314" t="s">
        <v>2893</v>
      </c>
      <c r="G12" s="3315"/>
      <c r="H12" s="3315"/>
      <c r="I12" s="3316"/>
      <c r="J12" s="1693"/>
      <c r="K12" s="1773"/>
      <c r="L12" s="1722"/>
      <c r="M12" s="1722"/>
      <c r="N12" s="1693"/>
      <c r="O12" s="1694"/>
      <c r="P12" s="1693"/>
      <c r="Q12" s="1693"/>
      <c r="R12" s="1693"/>
      <c r="S12" s="1693"/>
      <c r="T12" s="1693"/>
      <c r="U12" s="1693"/>
    </row>
    <row r="13" spans="1:21">
      <c r="A13" s="1686" t="s">
        <v>2062</v>
      </c>
      <c r="B13" s="3296"/>
      <c r="C13" s="3297"/>
      <c r="D13" s="3298"/>
      <c r="E13" s="1698" t="s">
        <v>2064</v>
      </c>
      <c r="F13" s="3314" t="s">
        <v>2894</v>
      </c>
      <c r="G13" s="3315"/>
      <c r="H13" s="3315"/>
      <c r="I13" s="3316"/>
      <c r="J13" s="1693"/>
      <c r="K13" s="1773"/>
      <c r="L13" s="1722"/>
      <c r="M13" s="1722"/>
      <c r="N13" s="1693"/>
      <c r="O13" s="1694"/>
      <c r="P13" s="1693"/>
      <c r="Q13" s="1693"/>
      <c r="R13" s="1693"/>
      <c r="S13" s="1693"/>
      <c r="T13" s="1693"/>
      <c r="U13" s="1693"/>
    </row>
    <row r="14" spans="1:21">
      <c r="A14" s="1660" t="s">
        <v>2065</v>
      </c>
      <c r="B14" s="1698"/>
      <c r="C14" s="1844" t="s">
        <v>2998</v>
      </c>
      <c r="D14" s="1732" t="str">
        <f>IF(C14="不一致","是否符合证载地类范围","")</f>
        <v/>
      </c>
      <c r="E14" s="1698"/>
      <c r="F14" s="1789" t="s">
        <v>3000</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2.75">
      <c r="A16" s="1679" t="s">
        <v>1950</v>
      </c>
      <c r="B16" s="1680" t="s">
        <v>2999</v>
      </c>
      <c r="C16" s="1698" t="s">
        <v>1951</v>
      </c>
      <c r="D16" s="2646" t="s">
        <v>1952</v>
      </c>
      <c r="E16" s="1721" t="s">
        <v>2996</v>
      </c>
      <c r="F16" s="1721"/>
      <c r="G16" s="1721" t="s">
        <v>35</v>
      </c>
      <c r="H16" s="1721"/>
      <c r="I16" s="1685" t="s">
        <v>1957</v>
      </c>
      <c r="J16" s="1693"/>
      <c r="K16" s="2456" t="str">
        <f>IF(D17="","",D16&amp;TEXT(D17,"yyyy年m月d日;;"))</f>
        <v>住宅2087年8月3日</v>
      </c>
      <c r="L16" s="1698" t="str">
        <f>IF(OR(K16="",M16=""),"","、")</f>
        <v>、</v>
      </c>
      <c r="M16" s="2456" t="str">
        <f>IF(E17="","",E16&amp;TEXT(E17,"yyyy年m月d日;;"))</f>
        <v>商业2057年8月3日</v>
      </c>
      <c r="N16" s="1698" t="str">
        <f>IF(OR(M16="",O16=""),"","、")</f>
        <v/>
      </c>
      <c r="O16" s="2456" t="str">
        <f>IF(F17="","",F16&amp;TEXT(F17,"yyyy年m月d日;;"))</f>
        <v/>
      </c>
      <c r="P16" s="1698" t="str">
        <f>IF(OR(O16="",Q16=""),"","、")</f>
        <v/>
      </c>
      <c r="Q16" s="2456" t="str">
        <f>IF(G17="","",G16&amp;TEXT(G17,"yyyy年m月d日;;"))</f>
        <v>地下车库2067年8月3日</v>
      </c>
      <c r="R16" s="1698" t="str">
        <f>IF(OR(Q16="",S16=""),"","、")</f>
        <v/>
      </c>
      <c r="S16" s="2456" t="str">
        <f>IF(H17="","",H16&amp;TEXT(H17,"yyyy年m月d日;;"))</f>
        <v/>
      </c>
      <c r="T16" s="1698" t="str">
        <f>IF(OR(S16="",U16=""),"","、")</f>
        <v/>
      </c>
      <c r="U16" s="2456" t="str">
        <f>IF(I17="","",I16&amp;TEXT(I17,"yyyy年m月d日;;"))</f>
        <v/>
      </c>
    </row>
    <row r="17" spans="1:21">
      <c r="A17" s="1762"/>
      <c r="B17" s="1681"/>
      <c r="C17" s="1682" t="s">
        <v>1958</v>
      </c>
      <c r="D17" s="1699">
        <v>68517</v>
      </c>
      <c r="E17" s="1699">
        <v>57560</v>
      </c>
      <c r="F17" s="1699"/>
      <c r="G17" s="1699">
        <v>61212</v>
      </c>
      <c r="H17" s="1699"/>
      <c r="I17" s="1699"/>
      <c r="J17" s="1693"/>
      <c r="K17" s="2455" t="str">
        <f>CONCATENATE(K16,L16,M16,N16,O16,P16,Q16,R16,S16,T16,,U16)</f>
        <v>住宅2087年8月3日、商业2057年8月3日地下车库2067年8月3日</v>
      </c>
      <c r="L17" s="1722"/>
      <c r="M17" s="1722"/>
      <c r="N17" s="1693"/>
      <c r="O17" s="1694"/>
      <c r="P17" s="1693"/>
      <c r="Q17" s="1693"/>
      <c r="R17" s="1693"/>
      <c r="S17" s="1693"/>
      <c r="T17" s="1693"/>
      <c r="U17" s="1693"/>
    </row>
    <row r="18" spans="1:21">
      <c r="A18" s="1762"/>
      <c r="B18" s="1681"/>
      <c r="C18" s="1682" t="s">
        <v>1959</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68.86</v>
      </c>
      <c r="E19" s="1684">
        <f>IF(B16="出让",IF(E17="","",ROUNDDOWN(MIN((E17-$D$3)/365,E18),2)),E18)</f>
        <v>38.840000000000003</v>
      </c>
      <c r="F19" s="1684" t="str">
        <f>IF(B16="出让",IF(F17="","",ROUNDDOWN(MIN((F17-$D$3)/365,F18),2)),F18)</f>
        <v/>
      </c>
      <c r="G19" s="1684">
        <f>IF(B16="出让",IF(G17="","",ROUNDDOWN(MIN((G17-$D$3)/365,G18),2)),G18)</f>
        <v>48.84</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311"/>
      <c r="E20" s="3312"/>
      <c r="F20" s="3312"/>
      <c r="G20" s="3312"/>
      <c r="H20" s="3312"/>
      <c r="I20" s="3313"/>
      <c r="J20" s="1693"/>
      <c r="K20" s="1773"/>
      <c r="L20" s="1722"/>
      <c r="M20" s="1722"/>
      <c r="N20" s="1693"/>
      <c r="O20" s="1694"/>
      <c r="P20" s="1693"/>
      <c r="Q20" s="1693"/>
      <c r="R20" s="1693"/>
      <c r="S20" s="1693"/>
      <c r="T20" s="1693"/>
      <c r="U20" s="1693"/>
    </row>
    <row r="21" spans="1:21">
      <c r="A21" s="1762" t="s">
        <v>1961</v>
      </c>
      <c r="B21" s="1763" t="s">
        <v>1962</v>
      </c>
      <c r="C21" s="1758">
        <f>'数据-汇总表'!E3</f>
        <v>171863.99999999997</v>
      </c>
      <c r="D21" s="1759" t="s">
        <v>1963</v>
      </c>
      <c r="E21" s="3301" t="s">
        <v>2001</v>
      </c>
      <c r="F21" s="3302"/>
      <c r="G21" s="3302"/>
      <c r="H21" s="3302"/>
      <c r="I21" s="3303"/>
      <c r="J21" s="1693"/>
      <c r="K21" s="1773"/>
      <c r="L21" s="1722"/>
      <c r="M21" s="1722"/>
      <c r="N21" s="1693"/>
      <c r="O21" s="1694"/>
      <c r="P21" s="1693"/>
      <c r="Q21" s="1693"/>
      <c r="R21" s="1693"/>
      <c r="S21" s="1693"/>
      <c r="T21" s="1693"/>
      <c r="U21" s="1693"/>
    </row>
    <row r="22" spans="1:21">
      <c r="A22" s="3149" t="s">
        <v>952</v>
      </c>
      <c r="B22" s="1660" t="s">
        <v>1964</v>
      </c>
      <c r="C22" s="1685">
        <f>'数据-汇总表'!D3</f>
        <v>17105.2</v>
      </c>
      <c r="D22" s="1686" t="s">
        <v>1963</v>
      </c>
      <c r="E22" s="3301" t="s">
        <v>2895</v>
      </c>
      <c r="F22" s="3302"/>
      <c r="G22" s="3302"/>
      <c r="H22" s="3302"/>
      <c r="I22" s="3303"/>
      <c r="J22" s="1693"/>
      <c r="K22" s="1773"/>
      <c r="L22" s="1722"/>
      <c r="M22" s="1722"/>
      <c r="N22" s="1693"/>
      <c r="O22" s="1694"/>
      <c r="P22" s="1693"/>
      <c r="Q22" s="1693"/>
      <c r="R22" s="1693"/>
      <c r="S22" s="1693"/>
      <c r="T22" s="1693"/>
      <c r="U22" s="1693"/>
    </row>
    <row r="23" spans="1:21" ht="29.25" thickBot="1">
      <c r="A23" s="1764" t="s">
        <v>1965</v>
      </c>
      <c r="B23" s="1700" t="s">
        <v>1966</v>
      </c>
      <c r="C23" s="1701" t="s">
        <v>3001</v>
      </c>
      <c r="D23" s="1702" t="s">
        <v>1967</v>
      </c>
      <c r="E23" s="1703" t="s">
        <v>3001</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304" t="s">
        <v>1969</v>
      </c>
      <c r="C24" s="3305"/>
      <c r="D24" s="3306" t="s">
        <v>1970</v>
      </c>
      <c r="E24" s="3307"/>
      <c r="F24" s="1707" t="s">
        <v>1971</v>
      </c>
      <c r="G24" s="1693"/>
      <c r="H24" s="1693"/>
      <c r="I24" s="1706"/>
      <c r="J24" s="1693"/>
      <c r="K24" s="3292" t="s">
        <v>1972</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2328</v>
      </c>
      <c r="C25" s="1708" t="s">
        <v>1973</v>
      </c>
      <c r="D25" s="1709"/>
      <c r="E25" s="1710" t="s">
        <v>952</v>
      </c>
      <c r="F25" s="1711"/>
      <c r="G25" s="1693"/>
      <c r="H25" s="1693"/>
      <c r="I25" s="1706"/>
      <c r="J25" s="1693"/>
      <c r="K25" s="3292"/>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1974</v>
      </c>
      <c r="C26" s="1708" t="s">
        <v>2329</v>
      </c>
      <c r="D26" s="1659"/>
      <c r="E26" s="1659"/>
      <c r="F26" s="1687"/>
      <c r="G26" s="1693"/>
      <c r="H26" s="1693"/>
      <c r="I26" s="1706"/>
      <c r="J26" s="1693"/>
      <c r="K26" s="3292"/>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51"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52"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52"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53"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78" t="s">
        <v>2004</v>
      </c>
      <c r="B31" s="1763" t="s">
        <v>2005</v>
      </c>
      <c r="C31" s="3317"/>
      <c r="D31" s="3318"/>
      <c r="E31" s="1693"/>
      <c r="F31" s="1693"/>
      <c r="G31" s="1693"/>
      <c r="H31" s="1693"/>
      <c r="I31" s="1706"/>
      <c r="J31" s="1693"/>
      <c r="K31" s="2458"/>
      <c r="L31" s="1693"/>
      <c r="M31" s="1693"/>
      <c r="N31" s="1693"/>
      <c r="O31" s="1693"/>
      <c r="P31" s="1693"/>
      <c r="Q31" s="1693"/>
      <c r="R31" s="1693"/>
      <c r="S31" s="1693"/>
      <c r="T31" s="1693"/>
      <c r="U31" s="1693"/>
    </row>
    <row r="32" spans="1:21">
      <c r="A32" s="3278"/>
      <c r="B32" s="1660" t="s">
        <v>2006</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78"/>
      <c r="B33" s="1660" t="s">
        <v>2007</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79"/>
      <c r="B34" s="1660" t="s">
        <v>2008</v>
      </c>
      <c r="C34" s="3280"/>
      <c r="D34" s="3281"/>
      <c r="E34" s="1693"/>
      <c r="F34" s="1693"/>
      <c r="G34" s="1693"/>
      <c r="H34" s="1693"/>
      <c r="I34" s="1706"/>
      <c r="J34" s="1693"/>
      <c r="K34" s="2458"/>
      <c r="L34" s="1693"/>
      <c r="M34" s="1693"/>
      <c r="N34" s="1693"/>
      <c r="O34" s="1693"/>
      <c r="P34" s="1693"/>
      <c r="Q34" s="1693"/>
      <c r="R34" s="1693"/>
      <c r="S34" s="1693"/>
      <c r="T34" s="1693"/>
      <c r="U34" s="1693"/>
    </row>
    <row r="35" spans="1:21">
      <c r="A35" s="3282" t="s">
        <v>847</v>
      </c>
      <c r="B35" s="1721"/>
      <c r="C35" s="1775" t="str">
        <f>IF(B35="场地平整","——","具体情况：")</f>
        <v>具体情况：</v>
      </c>
      <c r="D35" s="3284"/>
      <c r="E35" s="3285"/>
      <c r="F35" s="3285"/>
      <c r="G35" s="3285"/>
      <c r="H35" s="3285"/>
      <c r="I35" s="3286"/>
      <c r="J35" s="1693"/>
      <c r="K35" s="1774"/>
      <c r="L35" s="1722"/>
      <c r="M35" s="1722"/>
      <c r="N35" s="1693"/>
      <c r="O35" s="1694"/>
      <c r="P35" s="1693"/>
      <c r="Q35" s="1693"/>
      <c r="R35" s="1693"/>
      <c r="S35" s="1693"/>
      <c r="T35" s="1693"/>
      <c r="U35" s="1693"/>
    </row>
    <row r="36" spans="1:21">
      <c r="A36" s="3278"/>
      <c r="B36" s="3287" t="s">
        <v>2057</v>
      </c>
      <c r="C36" s="3288"/>
      <c r="D36" s="1791"/>
      <c r="E36" s="3289"/>
      <c r="F36" s="3289"/>
      <c r="G36" s="1686" t="str">
        <f>IF(B35="场地未平整","估价结果处理","")</f>
        <v/>
      </c>
      <c r="H36" s="3290"/>
      <c r="I36" s="3290"/>
      <c r="J36" s="1693"/>
      <c r="K36" s="1774"/>
      <c r="L36" s="1722"/>
      <c r="M36" s="1722"/>
      <c r="N36" s="1693"/>
      <c r="O36" s="1694"/>
      <c r="P36" s="1693"/>
      <c r="Q36" s="1693"/>
      <c r="R36" s="1693"/>
      <c r="S36" s="1693"/>
      <c r="T36" s="1693"/>
      <c r="U36" s="1693"/>
    </row>
    <row r="37" spans="1:21" ht="28.5">
      <c r="A37" s="3278"/>
      <c r="B37" s="3308"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78"/>
      <c r="B38" s="3309"/>
      <c r="C38" s="1668" t="s">
        <v>850</v>
      </c>
      <c r="D38" s="1790">
        <f>ROUNDDOWN(MIN(('数据-取费表'!$B$2-D37)/365,D34),1)</f>
        <v>118.8</v>
      </c>
      <c r="E38" s="1726" t="s">
        <v>851</v>
      </c>
      <c r="F38" s="1693"/>
      <c r="G38" s="1693"/>
      <c r="H38" s="1693"/>
      <c r="I38" s="1706"/>
      <c r="J38" s="1693"/>
      <c r="K38" s="1774"/>
      <c r="L38" s="1693"/>
      <c r="M38" s="1693"/>
      <c r="N38" s="1693"/>
      <c r="O38" s="1693"/>
      <c r="P38" s="1693"/>
      <c r="Q38" s="1693"/>
      <c r="R38" s="1693"/>
      <c r="S38" s="1693"/>
      <c r="T38" s="1693"/>
      <c r="U38" s="1693"/>
    </row>
    <row r="39" spans="1:21">
      <c r="A39" s="3279"/>
      <c r="B39" s="3310"/>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c r="C40" s="1689"/>
      <c r="D40" s="1689"/>
      <c r="E40" s="1689"/>
      <c r="F40" s="1689"/>
      <c r="G40" s="1689"/>
      <c r="H40" s="1689"/>
      <c r="I40" s="1706"/>
      <c r="J40" s="1693"/>
      <c r="K40" s="1729">
        <f>COUNTIF(B40:H40,"——")</f>
        <v>0</v>
      </c>
      <c r="L40" s="1698" t="s">
        <v>1981</v>
      </c>
      <c r="M40" s="1695" t="s">
        <v>1982</v>
      </c>
      <c r="N40" s="1695" t="s">
        <v>1983</v>
      </c>
      <c r="O40" s="1695" t="s">
        <v>1984</v>
      </c>
      <c r="P40" s="1695" t="s">
        <v>1985</v>
      </c>
      <c r="Q40" s="1695" t="s">
        <v>1986</v>
      </c>
      <c r="R40" s="1695" t="s">
        <v>1987</v>
      </c>
      <c r="S40" s="3291" t="s">
        <v>1988</v>
      </c>
      <c r="T40" s="1730" t="str">
        <f>NUMBERSTRING(7-K40,1)&amp;"通"</f>
        <v>七通</v>
      </c>
      <c r="U40" s="1693"/>
    </row>
    <row r="41" spans="1:21">
      <c r="A41" s="1662"/>
      <c r="B41" s="3283" t="s">
        <v>1722</v>
      </c>
      <c r="C41" s="3283"/>
      <c r="D41" s="3283"/>
      <c r="E41" s="3283"/>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91"/>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2896</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0"/>
  <sheetViews>
    <sheetView workbookViewId="0">
      <selection activeCell="G21" sqref="G21:G22"/>
    </sheetView>
  </sheetViews>
  <sheetFormatPr defaultRowHeight="13.5"/>
  <cols>
    <col min="1" max="1" width="11" style="3180" customWidth="1"/>
    <col min="2" max="2" width="6" style="3180" customWidth="1"/>
    <col min="3" max="3" width="6.125" style="3180" customWidth="1"/>
    <col min="4" max="4" width="6.75" style="3180" customWidth="1"/>
    <col min="5" max="5" width="21.625" style="3180" customWidth="1"/>
    <col min="6" max="6" width="12.375" style="3180" customWidth="1"/>
    <col min="7" max="7" width="15.25" style="3180" customWidth="1"/>
    <col min="8" max="8" width="21.25" style="3180" customWidth="1"/>
    <col min="9" max="9" width="53.625" style="3180" customWidth="1"/>
    <col min="10" max="10" width="25.25" style="3180" customWidth="1"/>
    <col min="11" max="11" width="7.625" style="3180" customWidth="1"/>
    <col min="12" max="12" width="17" style="3180" customWidth="1"/>
    <col min="13" max="13" width="6.125" style="3180" customWidth="1"/>
    <col min="14" max="14" width="14.25" style="3180" customWidth="1"/>
    <col min="15" max="15" width="21.625" style="3180" customWidth="1"/>
    <col min="16" max="16" width="6.125" style="3180" customWidth="1"/>
    <col min="17" max="17" width="10.625" style="3180" customWidth="1"/>
    <col min="18" max="18" width="12.375" style="3180" customWidth="1"/>
    <col min="19" max="19" width="13.625" style="3180" customWidth="1"/>
    <col min="20" max="20" width="12.375" style="3180" customWidth="1"/>
    <col min="21" max="21" width="10.25" style="3180" customWidth="1"/>
    <col min="22" max="23" width="18.25" style="3180" customWidth="1"/>
    <col min="24" max="16384" width="9" style="3180"/>
  </cols>
  <sheetData>
    <row r="1" spans="1:18" ht="14.25" thickBot="1">
      <c r="R1" s="3181"/>
    </row>
    <row r="2" spans="1:18" ht="18.75">
      <c r="A2" s="3182" t="s">
        <v>3003</v>
      </c>
      <c r="B2" s="3322" t="s">
        <v>3004</v>
      </c>
      <c r="C2" s="3323"/>
      <c r="D2" s="3323"/>
      <c r="E2" s="3323"/>
      <c r="F2" s="3323"/>
      <c r="G2" s="3323"/>
      <c r="H2" s="3323"/>
      <c r="I2" s="3324"/>
    </row>
    <row r="3" spans="1:18" ht="29.25" customHeight="1">
      <c r="B3" s="3319" t="s">
        <v>3005</v>
      </c>
      <c r="C3" s="3320"/>
      <c r="D3" s="3320"/>
      <c r="E3" s="3320"/>
      <c r="F3" s="3183" t="s">
        <v>3006</v>
      </c>
      <c r="G3" s="3184" t="s">
        <v>3007</v>
      </c>
      <c r="H3" s="3185" t="s">
        <v>3008</v>
      </c>
      <c r="I3" s="3186" t="s">
        <v>3009</v>
      </c>
    </row>
    <row r="4" spans="1:18" ht="15" customHeight="1">
      <c r="B4" s="3319" t="s">
        <v>3010</v>
      </c>
      <c r="C4" s="3320"/>
      <c r="D4" s="3320"/>
      <c r="E4" s="3320"/>
      <c r="F4" s="3187">
        <v>17105.2</v>
      </c>
      <c r="G4" s="3188">
        <v>17105.2</v>
      </c>
      <c r="H4" s="3189" t="s">
        <v>3011</v>
      </c>
      <c r="I4" s="3186"/>
    </row>
    <row r="5" spans="1:18" ht="15" customHeight="1">
      <c r="B5" s="3319" t="s">
        <v>3012</v>
      </c>
      <c r="C5" s="3320"/>
      <c r="D5" s="3320"/>
      <c r="E5" s="3320"/>
      <c r="F5" s="3187"/>
      <c r="G5" s="3190">
        <f>G6+G23</f>
        <v>171863.99999999997</v>
      </c>
      <c r="H5" s="3189" t="s">
        <v>3011</v>
      </c>
      <c r="I5" s="3186"/>
      <c r="J5" s="3191"/>
    </row>
    <row r="6" spans="1:18" ht="15" customHeight="1">
      <c r="B6" s="3319" t="s">
        <v>3013</v>
      </c>
      <c r="C6" s="3320"/>
      <c r="D6" s="3320"/>
      <c r="E6" s="3320"/>
      <c r="F6" s="3187">
        <v>117700</v>
      </c>
      <c r="G6" s="3190">
        <f>G7+G10</f>
        <v>117699.99999999997</v>
      </c>
      <c r="H6" s="3189" t="s">
        <v>3011</v>
      </c>
      <c r="I6" s="3186"/>
    </row>
    <row r="7" spans="1:18" ht="15" customHeight="1">
      <c r="B7" s="3319" t="s">
        <v>3014</v>
      </c>
      <c r="C7" s="3320" t="s">
        <v>3015</v>
      </c>
      <c r="D7" s="3320"/>
      <c r="E7" s="3320"/>
      <c r="F7" s="3187"/>
      <c r="G7" s="3188">
        <f>G8+G9</f>
        <v>45902.999999999985</v>
      </c>
      <c r="H7" s="3189" t="s">
        <v>3011</v>
      </c>
      <c r="I7" s="3186" t="s">
        <v>3016</v>
      </c>
      <c r="J7" s="3180">
        <f>G7/G6</f>
        <v>0.38999999999999996</v>
      </c>
    </row>
    <row r="8" spans="1:18" ht="15" customHeight="1">
      <c r="B8" s="3319"/>
      <c r="C8" s="3320" t="s">
        <v>3014</v>
      </c>
      <c r="D8" s="3320" t="s">
        <v>3017</v>
      </c>
      <c r="E8" s="3320"/>
      <c r="F8" s="3187"/>
      <c r="G8" s="3190">
        <f>F49</f>
        <v>513</v>
      </c>
      <c r="H8" s="3189" t="s">
        <v>3011</v>
      </c>
      <c r="I8" s="3186"/>
    </row>
    <row r="9" spans="1:18" ht="15" customHeight="1">
      <c r="B9" s="3319"/>
      <c r="C9" s="3320"/>
      <c r="D9" s="3320" t="s">
        <v>3018</v>
      </c>
      <c r="E9" s="3320"/>
      <c r="F9" s="3187"/>
      <c r="G9" s="3188">
        <f>[1]核算图层指标统计表!K8</f>
        <v>45389.999999999985</v>
      </c>
      <c r="H9" s="3189" t="s">
        <v>3011</v>
      </c>
      <c r="I9" s="3186"/>
    </row>
    <row r="10" spans="1:18" ht="15" customHeight="1">
      <c r="B10" s="3319"/>
      <c r="C10" s="3320" t="s">
        <v>3019</v>
      </c>
      <c r="D10" s="3320"/>
      <c r="E10" s="3320"/>
      <c r="F10" s="3187"/>
      <c r="G10" s="3190">
        <f>G11+G12+G21+G22</f>
        <v>71796.999999999985</v>
      </c>
      <c r="H10" s="3189" t="s">
        <v>3011</v>
      </c>
      <c r="I10" s="3186" t="s">
        <v>3020</v>
      </c>
      <c r="J10" s="3180">
        <f>G10/G6</f>
        <v>0.61</v>
      </c>
    </row>
    <row r="11" spans="1:18">
      <c r="B11" s="3319"/>
      <c r="C11" s="3320" t="s">
        <v>3021</v>
      </c>
      <c r="D11" s="3321" t="s">
        <v>3022</v>
      </c>
      <c r="E11" s="3321"/>
      <c r="F11" s="3192"/>
      <c r="G11" s="3190">
        <f>F51</f>
        <v>70218.999999999985</v>
      </c>
      <c r="H11" s="3189" t="s">
        <v>3011</v>
      </c>
      <c r="I11" s="3193"/>
    </row>
    <row r="12" spans="1:18" ht="14.25" customHeight="1">
      <c r="B12" s="3319"/>
      <c r="C12" s="3320"/>
      <c r="D12" s="3321" t="s">
        <v>3023</v>
      </c>
      <c r="E12" s="3321"/>
      <c r="F12" s="3192">
        <f>SUM(F13:F20)</f>
        <v>1602</v>
      </c>
      <c r="G12" s="3190">
        <f>SUM(G13:G20)</f>
        <v>1496</v>
      </c>
      <c r="H12" s="3189" t="s">
        <v>3011</v>
      </c>
      <c r="I12" s="3193"/>
    </row>
    <row r="13" spans="1:18" ht="14.25" customHeight="1">
      <c r="B13" s="3319"/>
      <c r="C13" s="3320"/>
      <c r="D13" s="3320" t="s">
        <v>3024</v>
      </c>
      <c r="E13" s="3194" t="s">
        <v>3025</v>
      </c>
      <c r="F13" s="3195">
        <v>357</v>
      </c>
      <c r="G13" s="3190">
        <v>357</v>
      </c>
      <c r="H13" s="3189" t="s">
        <v>3011</v>
      </c>
      <c r="I13" s="3196" t="s">
        <v>3026</v>
      </c>
      <c r="J13" s="3191"/>
    </row>
    <row r="14" spans="1:18" ht="15.75" customHeight="1">
      <c r="B14" s="3319"/>
      <c r="C14" s="3320"/>
      <c r="D14" s="3320"/>
      <c r="E14" s="3194" t="s">
        <v>3027</v>
      </c>
      <c r="F14" s="3195">
        <v>214</v>
      </c>
      <c r="G14" s="3190">
        <v>108</v>
      </c>
      <c r="H14" s="3189" t="s">
        <v>3011</v>
      </c>
      <c r="I14" s="3186" t="s">
        <v>3028</v>
      </c>
      <c r="J14" s="3191"/>
    </row>
    <row r="15" spans="1:18" ht="18" customHeight="1">
      <c r="A15" s="3191"/>
      <c r="B15" s="3319"/>
      <c r="C15" s="3320"/>
      <c r="D15" s="3320"/>
      <c r="E15" s="3194" t="s">
        <v>3029</v>
      </c>
      <c r="F15" s="3195">
        <v>400</v>
      </c>
      <c r="G15" s="3190">
        <v>400</v>
      </c>
      <c r="H15" s="3189" t="s">
        <v>3011</v>
      </c>
      <c r="I15" s="3186" t="s">
        <v>3030</v>
      </c>
      <c r="J15" s="3191"/>
      <c r="R15" s="3191"/>
    </row>
    <row r="16" spans="1:18" ht="18.75" customHeight="1">
      <c r="B16" s="3319"/>
      <c r="C16" s="3320"/>
      <c r="D16" s="3320"/>
      <c r="E16" s="3194" t="s">
        <v>3031</v>
      </c>
      <c r="F16" s="3195">
        <v>72</v>
      </c>
      <c r="G16" s="3190">
        <v>72</v>
      </c>
      <c r="H16" s="3189" t="s">
        <v>3011</v>
      </c>
      <c r="I16" s="3186" t="s">
        <v>3032</v>
      </c>
    </row>
    <row r="17" spans="1:10" ht="18" customHeight="1">
      <c r="B17" s="3319"/>
      <c r="C17" s="3320"/>
      <c r="D17" s="3320"/>
      <c r="E17" s="3194" t="s">
        <v>3033</v>
      </c>
      <c r="F17" s="3195">
        <v>80</v>
      </c>
      <c r="G17" s="3190">
        <v>80</v>
      </c>
      <c r="H17" s="3189" t="s">
        <v>3011</v>
      </c>
      <c r="I17" s="3186" t="s">
        <v>3034</v>
      </c>
      <c r="J17" s="3191"/>
    </row>
    <row r="18" spans="1:10" ht="18" customHeight="1">
      <c r="A18" s="3191"/>
      <c r="B18" s="3319"/>
      <c r="C18" s="3320"/>
      <c r="D18" s="3320"/>
      <c r="E18" s="3194" t="s">
        <v>3035</v>
      </c>
      <c r="F18" s="3195">
        <v>214</v>
      </c>
      <c r="G18" s="3190">
        <v>214</v>
      </c>
      <c r="H18" s="3189" t="s">
        <v>3011</v>
      </c>
      <c r="I18" s="3186" t="s">
        <v>3036</v>
      </c>
    </row>
    <row r="19" spans="1:10" ht="18" customHeight="1">
      <c r="B19" s="3319"/>
      <c r="C19" s="3320"/>
      <c r="D19" s="3320"/>
      <c r="E19" s="3197" t="s">
        <v>3037</v>
      </c>
      <c r="F19" s="3195">
        <v>59</v>
      </c>
      <c r="G19" s="3190">
        <v>59</v>
      </c>
      <c r="H19" s="3189" t="s">
        <v>3011</v>
      </c>
      <c r="I19" s="3186" t="s">
        <v>3034</v>
      </c>
    </row>
    <row r="20" spans="1:10" ht="15" customHeight="1">
      <c r="B20" s="3319"/>
      <c r="C20" s="3320"/>
      <c r="D20" s="3320"/>
      <c r="E20" s="3194" t="s">
        <v>3038</v>
      </c>
      <c r="F20" s="3195">
        <v>206</v>
      </c>
      <c r="G20" s="3190">
        <v>206</v>
      </c>
      <c r="H20" s="3189" t="s">
        <v>3011</v>
      </c>
      <c r="I20" s="3186" t="s">
        <v>3039</v>
      </c>
    </row>
    <row r="21" spans="1:10" ht="15" customHeight="1">
      <c r="B21" s="3319"/>
      <c r="C21" s="3320"/>
      <c r="D21" s="3320" t="s">
        <v>3040</v>
      </c>
      <c r="E21" s="3320"/>
      <c r="F21" s="3187"/>
      <c r="G21" s="3190">
        <f>F53</f>
        <v>60</v>
      </c>
      <c r="H21" s="3189" t="s">
        <v>3011</v>
      </c>
      <c r="I21" s="3186" t="s">
        <v>3041</v>
      </c>
    </row>
    <row r="22" spans="1:10" ht="15" customHeight="1">
      <c r="B22" s="3319"/>
      <c r="C22" s="3320"/>
      <c r="D22" s="3320" t="s">
        <v>3042</v>
      </c>
      <c r="E22" s="3320"/>
      <c r="F22" s="3192"/>
      <c r="G22" s="3190">
        <f>F54</f>
        <v>22</v>
      </c>
      <c r="H22" s="3189" t="s">
        <v>3011</v>
      </c>
      <c r="I22" s="3186"/>
    </row>
    <row r="23" spans="1:10" ht="14.25" customHeight="1">
      <c r="B23" s="3325" t="s">
        <v>3043</v>
      </c>
      <c r="C23" s="3326"/>
      <c r="D23" s="3326"/>
      <c r="E23" s="3326"/>
      <c r="F23" s="3198"/>
      <c r="G23" s="3199">
        <f>F55</f>
        <v>54164</v>
      </c>
      <c r="H23" s="3189" t="s">
        <v>3011</v>
      </c>
      <c r="I23" s="3186" t="s">
        <v>3044</v>
      </c>
    </row>
    <row r="24" spans="1:10" ht="17.25" customHeight="1">
      <c r="B24" s="3325" t="s">
        <v>3045</v>
      </c>
      <c r="C24" s="3326" t="s">
        <v>3046</v>
      </c>
      <c r="D24" s="3320"/>
      <c r="E24" s="3320"/>
      <c r="F24" s="3198"/>
      <c r="G24" s="3199">
        <f>F56</f>
        <v>54058</v>
      </c>
      <c r="H24" s="3189" t="s">
        <v>3011</v>
      </c>
      <c r="I24" s="3200"/>
    </row>
    <row r="25" spans="1:10" ht="17.25" customHeight="1">
      <c r="B25" s="3325"/>
      <c r="C25" s="3326" t="s">
        <v>3023</v>
      </c>
      <c r="D25" s="3327"/>
      <c r="E25" s="3327"/>
      <c r="F25" s="3198"/>
      <c r="G25" s="3199">
        <f>F57</f>
        <v>106</v>
      </c>
      <c r="H25" s="3189" t="s">
        <v>3011</v>
      </c>
      <c r="I25" s="3200"/>
    </row>
    <row r="26" spans="1:10">
      <c r="B26" s="3319" t="s">
        <v>3047</v>
      </c>
      <c r="C26" s="3320"/>
      <c r="D26" s="3320"/>
      <c r="E26" s="3320"/>
      <c r="F26" s="3187"/>
      <c r="G26" s="3199">
        <f>SUM(F58)</f>
        <v>3762.84</v>
      </c>
      <c r="H26" s="3189" t="s">
        <v>3011</v>
      </c>
      <c r="I26" s="3186"/>
    </row>
    <row r="27" spans="1:10" ht="20.25" customHeight="1">
      <c r="B27" s="3319" t="s">
        <v>3048</v>
      </c>
      <c r="C27" s="3320"/>
      <c r="D27" s="3320"/>
      <c r="E27" s="3320"/>
      <c r="F27" s="3187"/>
      <c r="G27" s="3188">
        <f>[1]绿地面积复核!C33</f>
        <v>6843</v>
      </c>
      <c r="H27" s="3189" t="s">
        <v>3011</v>
      </c>
      <c r="I27" s="3186"/>
    </row>
    <row r="28" spans="1:10" ht="18" customHeight="1">
      <c r="B28" s="3319" t="s">
        <v>3049</v>
      </c>
      <c r="C28" s="3320"/>
      <c r="D28" s="3320"/>
      <c r="E28" s="3320"/>
      <c r="F28" s="3187"/>
      <c r="G28" s="3201">
        <f>F60</f>
        <v>1300.1939999999997</v>
      </c>
      <c r="H28" s="3189" t="s">
        <v>3050</v>
      </c>
      <c r="I28" s="3186" t="s">
        <v>3051</v>
      </c>
    </row>
    <row r="29" spans="1:10" ht="25.5" hidden="1" customHeight="1">
      <c r="B29" s="3319" t="s">
        <v>3045</v>
      </c>
      <c r="C29" s="3202"/>
      <c r="D29" s="3202"/>
      <c r="E29" s="3202" t="s">
        <v>3052</v>
      </c>
      <c r="F29" s="3187"/>
      <c r="G29" s="3188"/>
      <c r="H29" s="3189"/>
      <c r="I29" s="3186"/>
    </row>
    <row r="30" spans="1:10" ht="15.75" customHeight="1">
      <c r="B30" s="3319"/>
      <c r="C30" s="3320" t="s">
        <v>3053</v>
      </c>
      <c r="D30" s="3320"/>
      <c r="E30" s="3320"/>
      <c r="F30" s="3187"/>
      <c r="G30" s="3201">
        <f>G28-G31</f>
        <v>1300.1939999999997</v>
      </c>
      <c r="H30" s="3189" t="s">
        <v>3050</v>
      </c>
      <c r="I30" s="3196"/>
    </row>
    <row r="31" spans="1:10" ht="15" customHeight="1">
      <c r="B31" s="3319"/>
      <c r="C31" s="3320" t="s">
        <v>3054</v>
      </c>
      <c r="D31" s="3320"/>
      <c r="E31" s="3320"/>
      <c r="F31" s="3187"/>
      <c r="G31" s="3188">
        <v>0</v>
      </c>
      <c r="H31" s="3189" t="s">
        <v>3050</v>
      </c>
      <c r="I31" s="3186"/>
    </row>
    <row r="32" spans="1:10" ht="15" customHeight="1">
      <c r="B32" s="3319" t="s">
        <v>3055</v>
      </c>
      <c r="C32" s="3320"/>
      <c r="D32" s="3320"/>
      <c r="E32" s="3320"/>
      <c r="F32" s="3187"/>
      <c r="G32" s="3201">
        <f>F61</f>
        <v>1636.0299999999995</v>
      </c>
      <c r="H32" s="3189" t="s">
        <v>3056</v>
      </c>
      <c r="I32" s="3186"/>
    </row>
    <row r="33" spans="1:10" ht="15" customHeight="1">
      <c r="B33" s="3319" t="s">
        <v>3057</v>
      </c>
      <c r="C33" s="3320"/>
      <c r="D33" s="3320"/>
      <c r="E33" s="3320"/>
      <c r="F33" s="3187"/>
      <c r="G33" s="3188">
        <f>F62</f>
        <v>642</v>
      </c>
      <c r="H33" s="3189" t="s">
        <v>3058</v>
      </c>
      <c r="I33" s="3186"/>
    </row>
    <row r="34" spans="1:10" ht="15" customHeight="1">
      <c r="B34" s="3319" t="s">
        <v>3059</v>
      </c>
      <c r="C34" s="3320"/>
      <c r="D34" s="3320"/>
      <c r="E34" s="3320"/>
      <c r="F34" s="3187" t="s">
        <v>3060</v>
      </c>
      <c r="G34" s="3201">
        <f>F63</f>
        <v>2055.4</v>
      </c>
      <c r="H34" s="3189" t="s">
        <v>3061</v>
      </c>
      <c r="I34" s="3186"/>
    </row>
    <row r="35" spans="1:10" ht="15" customHeight="1">
      <c r="B35" s="3325" t="s">
        <v>3062</v>
      </c>
      <c r="C35" s="3326"/>
      <c r="D35" s="3326"/>
      <c r="E35" s="3326"/>
      <c r="F35" s="3203" t="s">
        <v>3063</v>
      </c>
      <c r="G35" s="3190">
        <f>F64</f>
        <v>6.8809484835020909</v>
      </c>
      <c r="H35" s="3189" t="s">
        <v>3064</v>
      </c>
      <c r="I35" s="3186"/>
      <c r="J35" s="3191"/>
    </row>
    <row r="36" spans="1:10" ht="15" customHeight="1">
      <c r="B36" s="3319" t="s">
        <v>3065</v>
      </c>
      <c r="C36" s="3320"/>
      <c r="D36" s="3320"/>
      <c r="E36" s="3320"/>
      <c r="F36" s="3204" t="s">
        <v>3066</v>
      </c>
      <c r="G36" s="3205">
        <f>G26/G4</f>
        <v>0.21998222762668662</v>
      </c>
      <c r="H36" s="3189" t="s">
        <v>3067</v>
      </c>
      <c r="I36" s="3186"/>
      <c r="J36" s="3191"/>
    </row>
    <row r="37" spans="1:10" ht="15" customHeight="1" thickBot="1">
      <c r="B37" s="3330" t="s">
        <v>3068</v>
      </c>
      <c r="C37" s="3331"/>
      <c r="D37" s="3331"/>
      <c r="E37" s="3331"/>
      <c r="F37" s="3206" t="s">
        <v>3069</v>
      </c>
      <c r="G37" s="3207">
        <f>G27/G4</f>
        <v>0.40005378481397469</v>
      </c>
      <c r="H37" s="3208" t="s">
        <v>3067</v>
      </c>
      <c r="I37" s="3209"/>
      <c r="J37" s="3191"/>
    </row>
    <row r="38" spans="1:10" ht="15" customHeight="1"/>
    <row r="39" spans="1:10" ht="15" hidden="1" customHeight="1"/>
    <row r="40" spans="1:10" ht="15" customHeight="1" thickBot="1">
      <c r="A40" s="3210"/>
      <c r="I40" s="3211"/>
      <c r="J40" s="3211"/>
    </row>
    <row r="41" spans="1:10" ht="17.25" customHeight="1">
      <c r="A41" s="3182"/>
      <c r="B41" s="3332" t="s">
        <v>3070</v>
      </c>
      <c r="C41" s="3333"/>
      <c r="D41" s="3333"/>
      <c r="E41" s="3333"/>
      <c r="F41" s="3333"/>
      <c r="G41" s="3334"/>
      <c r="H41" s="3335"/>
      <c r="I41" s="3212"/>
      <c r="J41" s="3211"/>
    </row>
    <row r="42" spans="1:10" ht="15" hidden="1" customHeight="1">
      <c r="B42" s="3328" t="s">
        <v>3071</v>
      </c>
      <c r="C42" s="3329"/>
      <c r="D42" s="3329"/>
      <c r="E42" s="3329"/>
      <c r="F42" s="3213" t="s">
        <v>3072</v>
      </c>
      <c r="G42" s="3188" t="s">
        <v>3011</v>
      </c>
      <c r="H42" s="3214" t="s">
        <v>3073</v>
      </c>
      <c r="I42" s="3215"/>
      <c r="J42" s="3211"/>
    </row>
    <row r="43" spans="1:10" ht="15" customHeight="1">
      <c r="B43" s="3328" t="s">
        <v>3071</v>
      </c>
      <c r="C43" s="3329"/>
      <c r="D43" s="3329"/>
      <c r="E43" s="3329"/>
      <c r="F43" s="3213" t="s">
        <v>3074</v>
      </c>
      <c r="G43" s="3213" t="s">
        <v>3075</v>
      </c>
      <c r="H43" s="3216" t="s">
        <v>3076</v>
      </c>
      <c r="I43" s="3215"/>
      <c r="J43" s="3211"/>
    </row>
    <row r="44" spans="1:10" ht="16.5" customHeight="1">
      <c r="B44" s="3328" t="s">
        <v>3077</v>
      </c>
      <c r="C44" s="3329"/>
      <c r="D44" s="3329"/>
      <c r="E44" s="3329"/>
      <c r="F44" s="3217">
        <f>[1]占地面积复核!C4</f>
        <v>17105.2</v>
      </c>
      <c r="G44" s="3213" t="s">
        <v>3078</v>
      </c>
      <c r="H44" s="3218"/>
      <c r="I44" s="3212"/>
      <c r="J44" s="3211"/>
    </row>
    <row r="45" spans="1:10" ht="15" customHeight="1">
      <c r="B45" s="3328" t="s">
        <v>3079</v>
      </c>
      <c r="C45" s="3329"/>
      <c r="D45" s="3329"/>
      <c r="E45" s="3329"/>
      <c r="F45" s="3219">
        <f>[1]核算图层指标统计表!K51</f>
        <v>171863.99999999997</v>
      </c>
      <c r="G45" s="3213" t="s">
        <v>3080</v>
      </c>
      <c r="H45" s="3216"/>
      <c r="I45" s="3212"/>
      <c r="J45" s="3211"/>
    </row>
    <row r="46" spans="1:10" ht="15" hidden="1" customHeight="1">
      <c r="B46" s="3328" t="s">
        <v>3081</v>
      </c>
      <c r="C46" s="3329"/>
      <c r="D46" s="3329"/>
      <c r="E46" s="3329"/>
      <c r="F46" s="3219"/>
      <c r="G46" s="3213" t="s">
        <v>3080</v>
      </c>
      <c r="H46" s="3216"/>
      <c r="I46" s="3212"/>
      <c r="J46" s="3211"/>
    </row>
    <row r="47" spans="1:10" ht="15" hidden="1" customHeight="1">
      <c r="B47" s="3220" t="s">
        <v>3045</v>
      </c>
      <c r="C47" s="3221" t="s">
        <v>1953</v>
      </c>
      <c r="D47" s="3329" t="s">
        <v>1953</v>
      </c>
      <c r="E47" s="3329"/>
      <c r="F47" s="3219"/>
      <c r="G47" s="3213" t="s">
        <v>3080</v>
      </c>
      <c r="H47" s="3216"/>
      <c r="I47" s="3212"/>
      <c r="J47" s="3211"/>
    </row>
    <row r="48" spans="1:10" ht="15" customHeight="1">
      <c r="B48" s="3328" t="s">
        <v>3082</v>
      </c>
      <c r="C48" s="3329"/>
      <c r="D48" s="3329"/>
      <c r="E48" s="3329"/>
      <c r="F48" s="3219">
        <f>SUM(F49:F54)</f>
        <v>117699.99999999997</v>
      </c>
      <c r="G48" s="3213" t="s">
        <v>3080</v>
      </c>
      <c r="H48" s="3216"/>
      <c r="I48" s="3212"/>
      <c r="J48" s="3211"/>
    </row>
    <row r="49" spans="2:18" ht="15" customHeight="1">
      <c r="B49" s="3328" t="s">
        <v>3083</v>
      </c>
      <c r="C49" s="3329" t="s">
        <v>1953</v>
      </c>
      <c r="D49" s="3329" t="s">
        <v>1953</v>
      </c>
      <c r="E49" s="3329"/>
      <c r="F49" s="3219">
        <f>[1]核算图层指标统计表!K7</f>
        <v>513</v>
      </c>
      <c r="G49" s="3213" t="s">
        <v>3078</v>
      </c>
      <c r="H49" s="3336" t="s">
        <v>3084</v>
      </c>
      <c r="I49" s="3222">
        <f>(F49+F50)/F48</f>
        <v>0.38999999999999996</v>
      </c>
      <c r="J49" s="3211"/>
    </row>
    <row r="50" spans="2:18" ht="15" customHeight="1">
      <c r="B50" s="3328"/>
      <c r="C50" s="3329"/>
      <c r="D50" s="3329" t="s">
        <v>3085</v>
      </c>
      <c r="E50" s="3329"/>
      <c r="F50" s="3219">
        <f>[1]核算图层指标统计表!K8</f>
        <v>45389.999999999985</v>
      </c>
      <c r="G50" s="3213" t="s">
        <v>3078</v>
      </c>
      <c r="H50" s="3336"/>
      <c r="I50" s="3212"/>
      <c r="J50" s="3211"/>
    </row>
    <row r="51" spans="2:18" ht="16.149999999999999" customHeight="1">
      <c r="B51" s="3328"/>
      <c r="C51" s="3329" t="s">
        <v>923</v>
      </c>
      <c r="D51" s="3329" t="s">
        <v>923</v>
      </c>
      <c r="E51" s="3329"/>
      <c r="F51" s="3219">
        <f>[1]核算图层指标统计表!K5</f>
        <v>70218.999999999985</v>
      </c>
      <c r="G51" s="3213" t="s">
        <v>3078</v>
      </c>
      <c r="H51" s="3337" t="s">
        <v>3086</v>
      </c>
      <c r="I51" s="3212"/>
      <c r="J51" s="3211"/>
    </row>
    <row r="52" spans="2:18" ht="16.149999999999999" customHeight="1">
      <c r="B52" s="3328"/>
      <c r="C52" s="3329"/>
      <c r="D52" s="3329" t="s">
        <v>3023</v>
      </c>
      <c r="E52" s="3329"/>
      <c r="F52" s="3219">
        <f>[1]核算图层指标统计表!K6</f>
        <v>1496</v>
      </c>
      <c r="G52" s="3213" t="s">
        <v>3078</v>
      </c>
      <c r="H52" s="3337"/>
      <c r="I52" s="3212">
        <f>(F51+F52+F53+F54)/F48</f>
        <v>0.61</v>
      </c>
      <c r="J52" s="3211"/>
    </row>
    <row r="53" spans="2:18" ht="15" customHeight="1">
      <c r="B53" s="3328"/>
      <c r="C53" s="3329"/>
      <c r="D53" s="3329" t="s">
        <v>3087</v>
      </c>
      <c r="E53" s="3329"/>
      <c r="F53" s="3219">
        <f>[1]核算图层指标统计表!K9</f>
        <v>60</v>
      </c>
      <c r="G53" s="3213" t="s">
        <v>3078</v>
      </c>
      <c r="H53" s="3337"/>
      <c r="I53" s="3223"/>
      <c r="J53" s="3211"/>
    </row>
    <row r="54" spans="2:18" ht="15" customHeight="1">
      <c r="B54" s="3328"/>
      <c r="C54" s="3329"/>
      <c r="D54" s="3329" t="s">
        <v>3042</v>
      </c>
      <c r="E54" s="3329"/>
      <c r="F54" s="3219">
        <f>[1]核算图层指标统计表!K10</f>
        <v>22</v>
      </c>
      <c r="G54" s="3213" t="s">
        <v>3080</v>
      </c>
      <c r="H54" s="3337"/>
      <c r="I54" s="3223"/>
      <c r="J54" s="3211"/>
    </row>
    <row r="55" spans="2:18" ht="15" customHeight="1">
      <c r="B55" s="3328" t="s">
        <v>3088</v>
      </c>
      <c r="C55" s="3329"/>
      <c r="D55" s="3329"/>
      <c r="E55" s="3329"/>
      <c r="F55" s="3219">
        <f>[1]核算图层指标统计表!K11</f>
        <v>54164</v>
      </c>
      <c r="G55" s="3213" t="s">
        <v>3078</v>
      </c>
      <c r="H55" s="3216"/>
      <c r="I55" s="3224"/>
      <c r="J55" s="3211"/>
    </row>
    <row r="56" spans="2:18" ht="15" customHeight="1">
      <c r="B56" s="3328" t="s">
        <v>3089</v>
      </c>
      <c r="C56" s="3329" t="s">
        <v>3090</v>
      </c>
      <c r="D56" s="3329"/>
      <c r="E56" s="3329"/>
      <c r="F56" s="3219">
        <f>[1]核算图层指标统计表!E11</f>
        <v>54058</v>
      </c>
      <c r="G56" s="3213" t="s">
        <v>3078</v>
      </c>
      <c r="H56" s="3216"/>
      <c r="I56" s="3224"/>
      <c r="J56" s="3211"/>
    </row>
    <row r="57" spans="2:18" ht="15" customHeight="1">
      <c r="B57" s="3328"/>
      <c r="C57" s="3329" t="s">
        <v>3023</v>
      </c>
      <c r="D57" s="3329"/>
      <c r="E57" s="3329"/>
      <c r="F57" s="3219">
        <f>[1]核算图层指标统计表!E12</f>
        <v>106</v>
      </c>
      <c r="G57" s="3213" t="s">
        <v>3080</v>
      </c>
      <c r="H57" s="3216"/>
      <c r="I57" s="3223"/>
      <c r="J57" s="3211"/>
    </row>
    <row r="58" spans="2:18" ht="15" customHeight="1">
      <c r="B58" s="3328" t="s">
        <v>3091</v>
      </c>
      <c r="C58" s="3329"/>
      <c r="D58" s="3329"/>
      <c r="E58" s="3329"/>
      <c r="F58" s="3219">
        <f>[1]核算图层指标统计表!K13</f>
        <v>3762.84</v>
      </c>
      <c r="G58" s="3213" t="s">
        <v>3078</v>
      </c>
      <c r="H58" s="3216"/>
      <c r="I58" s="3212"/>
      <c r="J58" s="3211"/>
    </row>
    <row r="59" spans="2:18" ht="15" customHeight="1">
      <c r="B59" s="3328" t="s">
        <v>3092</v>
      </c>
      <c r="C59" s="3329"/>
      <c r="D59" s="3329"/>
      <c r="E59" s="3329"/>
      <c r="F59" s="3219">
        <f>[1]绿地面积复核!C29</f>
        <v>6843</v>
      </c>
      <c r="G59" s="3213" t="s">
        <v>3078</v>
      </c>
      <c r="H59" s="3216"/>
      <c r="I59" s="3212"/>
      <c r="J59" s="3211"/>
    </row>
    <row r="60" spans="2:18" ht="15" customHeight="1">
      <c r="B60" s="3328" t="s">
        <v>3093</v>
      </c>
      <c r="C60" s="3329"/>
      <c r="D60" s="3329"/>
      <c r="E60" s="3329"/>
      <c r="F60" s="3225">
        <f>I60+215</f>
        <v>1300.1939999999997</v>
      </c>
      <c r="G60" s="3213" t="s">
        <v>3094</v>
      </c>
      <c r="H60" s="3216" t="s">
        <v>3095</v>
      </c>
      <c r="I60" s="3212">
        <f>(F49+F50)*0.8/100+(F51+F52+F53+F54)/100</f>
        <v>1085.1939999999997</v>
      </c>
      <c r="J60" s="3211"/>
      <c r="R60" s="3226"/>
    </row>
    <row r="61" spans="2:18" ht="15" customHeight="1">
      <c r="B61" s="3328" t="s">
        <v>3096</v>
      </c>
      <c r="C61" s="3329"/>
      <c r="D61" s="3329"/>
      <c r="E61" s="3329"/>
      <c r="F61" s="3225">
        <f>I61</f>
        <v>1636.0299999999995</v>
      </c>
      <c r="G61" s="3213" t="s">
        <v>3056</v>
      </c>
      <c r="H61" s="3216"/>
      <c r="I61" s="3212">
        <f>(F51+F52+F53+F54)/100+(F49+F50)*2/100</f>
        <v>1636.0299999999995</v>
      </c>
      <c r="J61" s="3211"/>
      <c r="R61" s="3226"/>
    </row>
    <row r="62" spans="2:18" ht="14.25" customHeight="1">
      <c r="B62" s="3328" t="s">
        <v>3057</v>
      </c>
      <c r="C62" s="3329"/>
      <c r="D62" s="3329"/>
      <c r="E62" s="3329"/>
      <c r="F62" s="3221">
        <f>[1]核算图层指标统计表!K50</f>
        <v>642</v>
      </c>
      <c r="G62" s="3213" t="s">
        <v>3058</v>
      </c>
      <c r="H62" s="3216"/>
      <c r="I62" s="3212"/>
      <c r="J62" s="3211"/>
      <c r="R62" s="3226"/>
    </row>
    <row r="63" spans="2:18" ht="15.75" customHeight="1">
      <c r="B63" s="3328" t="s">
        <v>3059</v>
      </c>
      <c r="C63" s="3329"/>
      <c r="D63" s="3329"/>
      <c r="E63" s="3329"/>
      <c r="F63" s="3225">
        <f>I63+1</f>
        <v>2055.4</v>
      </c>
      <c r="G63" s="3213" t="s">
        <v>3097</v>
      </c>
      <c r="H63" s="3216"/>
      <c r="I63" s="3212">
        <f>F62*3.2</f>
        <v>2054.4</v>
      </c>
      <c r="J63" s="3211"/>
      <c r="R63" s="3226"/>
    </row>
    <row r="64" spans="2:18" ht="15" customHeight="1">
      <c r="B64" s="3328" t="s">
        <v>3098</v>
      </c>
      <c r="C64" s="3329"/>
      <c r="D64" s="3329"/>
      <c r="E64" s="3329"/>
      <c r="F64" s="3219">
        <f>F48/F44</f>
        <v>6.8809484835020909</v>
      </c>
      <c r="G64" s="3213" t="s">
        <v>3064</v>
      </c>
      <c r="H64" s="3227"/>
      <c r="I64" s="3228"/>
      <c r="J64" s="3211"/>
      <c r="R64" s="3226"/>
    </row>
    <row r="65" spans="2:18" ht="15" customHeight="1">
      <c r="B65" s="3328" t="s">
        <v>3065</v>
      </c>
      <c r="C65" s="3329"/>
      <c r="D65" s="3329"/>
      <c r="E65" s="3329"/>
      <c r="F65" s="3229">
        <f>F58/F44</f>
        <v>0.21998222762668662</v>
      </c>
      <c r="G65" s="3213" t="s">
        <v>3067</v>
      </c>
      <c r="H65" s="3230"/>
      <c r="I65" s="3231"/>
      <c r="J65" s="3211"/>
      <c r="R65" s="3226"/>
    </row>
    <row r="66" spans="2:18" ht="15" customHeight="1" thickBot="1">
      <c r="B66" s="3338" t="s">
        <v>3099</v>
      </c>
      <c r="C66" s="3339"/>
      <c r="D66" s="3339"/>
      <c r="E66" s="3339"/>
      <c r="F66" s="3232">
        <f>F59/F44</f>
        <v>0.40005378481397469</v>
      </c>
      <c r="G66" s="3233" t="s">
        <v>3067</v>
      </c>
      <c r="H66" s="3234"/>
      <c r="I66" s="3231"/>
      <c r="J66" s="3211"/>
      <c r="R66" s="3226"/>
    </row>
    <row r="67" spans="2:18" ht="15" customHeight="1">
      <c r="I67" s="3211"/>
      <c r="J67" s="3211"/>
      <c r="R67" s="3226"/>
    </row>
    <row r="78" spans="2:18" ht="13.5" hidden="1" customHeight="1"/>
    <row r="95" ht="13.5" hidden="1" customHeight="1"/>
    <row r="97" ht="13.5" hidden="1" customHeight="1"/>
    <row r="98" ht="13.5" hidden="1" customHeight="1"/>
    <row r="99" ht="13.5" hidden="1" customHeight="1"/>
    <row r="100" ht="13.5" hidden="1" customHeight="1"/>
    <row r="101"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7" ht="13.5" hidden="1" customHeight="1"/>
    <row r="118" ht="13.5" hidden="1" customHeight="1"/>
    <row r="119" ht="13.5" hidden="1" customHeight="1"/>
    <row r="120" ht="13.5" hidden="1" customHeight="1"/>
    <row r="130"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4" ht="13.5" hidden="1" customHeight="1"/>
    <row r="175" ht="13.5" hidden="1" customHeight="1"/>
    <row r="180" ht="13.5" hidden="1" customHeight="1"/>
    <row r="181" ht="13.5" hidden="1" customHeight="1"/>
    <row r="182"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7" ht="13.5" hidden="1" customHeight="1"/>
    <row r="208" ht="13.5" hidden="1" customHeight="1"/>
    <row r="209" ht="13.5" hidden="1" customHeight="1"/>
    <row r="210" ht="13.5" hidden="1" customHeight="1"/>
    <row r="213" ht="13.5" hidden="1" customHeight="1"/>
    <row r="214" ht="13.5" hidden="1" customHeight="1"/>
    <row r="215" ht="13.5" hidden="1" customHeight="1"/>
    <row r="221" ht="13.5" hidden="1" customHeight="1"/>
    <row r="222" ht="13.5" hidden="1" customHeight="1"/>
    <row r="223" ht="13.5" hidden="1" customHeight="1"/>
    <row r="224" ht="13.5" hidden="1" customHeight="1"/>
    <row r="234" ht="13.5" hidden="1" customHeight="1"/>
    <row r="254" ht="13.5" hidden="1" customHeight="1"/>
    <row r="255" ht="13.5" hidden="1" customHeight="1"/>
    <row r="256" ht="13.5" hidden="1" customHeight="1"/>
    <row r="259" ht="13.5" hidden="1" customHeight="1"/>
    <row r="260" ht="13.5" hidden="1" customHeight="1"/>
    <row r="261" ht="13.5" hidden="1" customHeight="1"/>
    <row r="262" ht="13.5" hidden="1" customHeight="1"/>
    <row r="265" ht="13.5" hidden="1" customHeight="1"/>
    <row r="266" ht="13.5" hidden="1" customHeight="1"/>
    <row r="271" ht="13.5" hidden="1" customHeight="1"/>
    <row r="286" ht="13.5" hidden="1" customHeight="1"/>
    <row r="295" ht="13.5" hidden="1" customHeight="1"/>
    <row r="296" ht="13.5" hidden="1" customHeight="1"/>
    <row r="297" ht="13.5" hidden="1" customHeight="1"/>
    <row r="298" ht="13.5" hidden="1" customHeight="1"/>
    <row r="299" ht="13.5" hidden="1" customHeight="1"/>
    <row r="300" ht="13.5" hidden="1" customHeight="1"/>
    <row r="301" ht="13.5" hidden="1" customHeight="1"/>
    <row r="302" ht="13.5" hidden="1" customHeight="1"/>
    <row r="303" ht="13.5" hidden="1" customHeight="1"/>
    <row r="304" ht="13.5" hidden="1" customHeight="1"/>
    <row r="305" ht="13.5" hidden="1" customHeight="1"/>
    <row r="306" ht="13.5" hidden="1" customHeight="1"/>
    <row r="307" ht="13.5" hidden="1" customHeight="1"/>
    <row r="308" ht="13.5" hidden="1" customHeight="1"/>
    <row r="311" ht="13.5" hidden="1" customHeight="1"/>
    <row r="312" ht="13.5" hidden="1" customHeight="1"/>
    <row r="313" ht="13.5" hidden="1" customHeight="1"/>
    <row r="314" ht="13.5" hidden="1" customHeight="1"/>
    <row r="315" ht="13.5" hidden="1" customHeight="1"/>
    <row r="316" ht="13.5" hidden="1" customHeight="1"/>
    <row r="317" ht="13.5" hidden="1" customHeight="1"/>
    <row r="318" ht="13.5" hidden="1" customHeight="1"/>
    <row r="319" ht="13.5" hidden="1" customHeight="1"/>
    <row r="323" ht="13.5" hidden="1" customHeight="1"/>
    <row r="324" ht="13.5" hidden="1" customHeight="1"/>
    <row r="325" ht="13.5" hidden="1" customHeight="1"/>
    <row r="326" ht="13.5" hidden="1" customHeight="1"/>
    <row r="327" ht="13.5" hidden="1" customHeight="1"/>
    <row r="328" ht="13.5" hidden="1" customHeight="1"/>
    <row r="330" ht="13.5" hidden="1" customHeight="1"/>
    <row r="331" ht="13.5" hidden="1" customHeight="1"/>
    <row r="347" ht="13.5" hidden="1" customHeight="1"/>
    <row r="348" ht="13.5" hidden="1" customHeight="1"/>
    <row r="349" ht="13.5" hidden="1" customHeight="1"/>
    <row r="350" ht="13.5" hidden="1" customHeight="1"/>
    <row r="351" ht="13.5" hidden="1" customHeight="1"/>
    <row r="352" ht="13.5" hidden="1" customHeight="1"/>
    <row r="353" ht="13.5" hidden="1" customHeight="1"/>
    <row r="354" ht="13.5" hidden="1" customHeight="1"/>
    <row r="355" ht="13.5" hidden="1" customHeight="1"/>
    <row r="356" ht="13.5" hidden="1" customHeight="1"/>
    <row r="357" ht="13.5" hidden="1" customHeight="1"/>
    <row r="358" ht="13.5" hidden="1" customHeight="1"/>
    <row r="359" ht="13.5" hidden="1" customHeight="1"/>
    <row r="360" ht="13.5" hidden="1" customHeight="1"/>
    <row r="361" ht="13.5" hidden="1" customHeight="1"/>
    <row r="362" ht="13.5" hidden="1" customHeight="1"/>
    <row r="363" ht="13.5" hidden="1" customHeight="1"/>
    <row r="364" ht="13.5" hidden="1" customHeight="1"/>
    <row r="365" ht="13.5" hidden="1" customHeight="1"/>
    <row r="366" ht="13.5" hidden="1" customHeight="1"/>
    <row r="367" ht="13.5" hidden="1" customHeight="1"/>
    <row r="368" ht="13.5" hidden="1" customHeight="1"/>
    <row r="369" ht="13.5" hidden="1" customHeight="1"/>
    <row r="370" ht="13.5" hidden="1" customHeight="1"/>
    <row r="371" ht="13.5" hidden="1" customHeight="1"/>
    <row r="372" ht="13.5" hidden="1" customHeight="1"/>
    <row r="373" ht="13.5" hidden="1" customHeight="1"/>
    <row r="374" ht="13.5" hidden="1" customHeight="1"/>
    <row r="375" ht="13.5" hidden="1" customHeight="1"/>
    <row r="376" ht="13.5" hidden="1" customHeight="1"/>
    <row r="377" ht="13.5" hidden="1" customHeight="1"/>
    <row r="378" ht="13.5" hidden="1" customHeight="1"/>
    <row r="379" ht="13.5" hidden="1" customHeight="1"/>
    <row r="380" ht="13.5" hidden="1" customHeight="1"/>
    <row r="382" ht="13.5" hidden="1" customHeight="1"/>
    <row r="383" ht="13.5" hidden="1" customHeight="1"/>
    <row r="388" ht="13.5" hidden="1" customHeight="1"/>
    <row r="389" ht="13.5" hidden="1" customHeight="1"/>
    <row r="390" ht="13.5" hidden="1" customHeight="1"/>
  </sheetData>
  <mergeCells count="65">
    <mergeCell ref="B65:E65"/>
    <mergeCell ref="B66:E66"/>
    <mergeCell ref="B59:E59"/>
    <mergeCell ref="B60:E60"/>
    <mergeCell ref="B61:E61"/>
    <mergeCell ref="B62:E62"/>
    <mergeCell ref="B63:E63"/>
    <mergeCell ref="B64:E64"/>
    <mergeCell ref="B58:E58"/>
    <mergeCell ref="B49:B54"/>
    <mergeCell ref="C49:C50"/>
    <mergeCell ref="D49:E49"/>
    <mergeCell ref="H49:H50"/>
    <mergeCell ref="D50:E50"/>
    <mergeCell ref="C51:C54"/>
    <mergeCell ref="D51:E51"/>
    <mergeCell ref="H51:H54"/>
    <mergeCell ref="D52:E52"/>
    <mergeCell ref="D53:E53"/>
    <mergeCell ref="D54:E54"/>
    <mergeCell ref="B55:E55"/>
    <mergeCell ref="B56:B57"/>
    <mergeCell ref="C56:E56"/>
    <mergeCell ref="C57:E57"/>
    <mergeCell ref="B48:E48"/>
    <mergeCell ref="B34:E34"/>
    <mergeCell ref="B35:E35"/>
    <mergeCell ref="B36:E36"/>
    <mergeCell ref="B37:E37"/>
    <mergeCell ref="B41:H41"/>
    <mergeCell ref="B42:E42"/>
    <mergeCell ref="B43:E43"/>
    <mergeCell ref="B44:E44"/>
    <mergeCell ref="B45:E45"/>
    <mergeCell ref="B46:E46"/>
    <mergeCell ref="D47:E47"/>
    <mergeCell ref="B33:E33"/>
    <mergeCell ref="B23:E23"/>
    <mergeCell ref="B24:B25"/>
    <mergeCell ref="C24:E24"/>
    <mergeCell ref="C25:E25"/>
    <mergeCell ref="B26:E26"/>
    <mergeCell ref="B27:E27"/>
    <mergeCell ref="B28:E28"/>
    <mergeCell ref="B29:B31"/>
    <mergeCell ref="C30:E30"/>
    <mergeCell ref="C31:E31"/>
    <mergeCell ref="B32:E32"/>
    <mergeCell ref="B2:I2"/>
    <mergeCell ref="B3:E3"/>
    <mergeCell ref="B4:E4"/>
    <mergeCell ref="B5:E5"/>
    <mergeCell ref="B6:E6"/>
    <mergeCell ref="B7:B22"/>
    <mergeCell ref="C7:E7"/>
    <mergeCell ref="C8:C9"/>
    <mergeCell ref="D8:E8"/>
    <mergeCell ref="D9:E9"/>
    <mergeCell ref="C10:E10"/>
    <mergeCell ref="C11:C22"/>
    <mergeCell ref="D11:E11"/>
    <mergeCell ref="D12:E12"/>
    <mergeCell ref="D13:D20"/>
    <mergeCell ref="D21:E21"/>
    <mergeCell ref="D22:E2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5" sqref="K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customWidth="1"/>
    <col min="17" max="17" width="9.375" style="15"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hidden="1" customWidth="1"/>
    <col min="32" max="32" width="9.5" style="15" customWidth="1"/>
    <col min="33"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2336</v>
      </c>
      <c r="BA2" s="2361" t="s">
        <v>2335</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17105.2</v>
      </c>
      <c r="B3" s="22">
        <f>IF(C3="否",G5-AT5,G5)</f>
        <v>171863.99999999997</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171863.99999999997</v>
      </c>
      <c r="H5" s="27">
        <f t="shared" ref="H5:AT5" si="0">SUM(H13:H641)</f>
        <v>170179.99999999997</v>
      </c>
      <c r="I5" s="27">
        <f t="shared" si="0"/>
        <v>65059.829999999987</v>
      </c>
      <c r="J5" s="27">
        <f t="shared" si="0"/>
        <v>0</v>
      </c>
      <c r="K5" s="27">
        <f t="shared" si="0"/>
        <v>45389.999999999985</v>
      </c>
      <c r="L5" s="27">
        <f t="shared" si="0"/>
        <v>0</v>
      </c>
      <c r="M5" s="27">
        <f t="shared" si="0"/>
        <v>513</v>
      </c>
      <c r="N5" s="27">
        <f t="shared" si="0"/>
        <v>0</v>
      </c>
      <c r="O5" s="27">
        <f t="shared" si="0"/>
        <v>54058</v>
      </c>
      <c r="P5" s="27">
        <f t="shared" si="0"/>
        <v>0</v>
      </c>
      <c r="Q5" s="27">
        <f t="shared" si="0"/>
        <v>5159.17</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1684</v>
      </c>
      <c r="AD5" s="27">
        <f t="shared" si="0"/>
        <v>1496</v>
      </c>
      <c r="AE5" s="27">
        <f t="shared" si="0"/>
        <v>0</v>
      </c>
      <c r="AF5" s="27">
        <f t="shared" si="0"/>
        <v>106</v>
      </c>
      <c r="AG5" s="27">
        <f t="shared" si="0"/>
        <v>0</v>
      </c>
      <c r="AH5" s="27">
        <f t="shared" si="0"/>
        <v>0</v>
      </c>
      <c r="AI5" s="27">
        <f t="shared" si="0"/>
        <v>0</v>
      </c>
      <c r="AJ5" s="27">
        <f t="shared" si="0"/>
        <v>0</v>
      </c>
      <c r="AK5" s="27">
        <f t="shared" si="0"/>
        <v>0</v>
      </c>
      <c r="AL5" s="27">
        <f t="shared" si="0"/>
        <v>82</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171863.99999999997</v>
      </c>
      <c r="BA5" s="29">
        <f t="shared" si="1"/>
        <v>170179.99999999997</v>
      </c>
      <c r="BB5" s="29">
        <f t="shared" si="1"/>
        <v>65059.829999999987</v>
      </c>
      <c r="BC5" s="29">
        <f t="shared" si="1"/>
        <v>45389.999999999985</v>
      </c>
      <c r="BD5" s="29">
        <f t="shared" si="1"/>
        <v>513</v>
      </c>
      <c r="BE5" s="29">
        <f t="shared" si="1"/>
        <v>54058</v>
      </c>
      <c r="BF5" s="29">
        <f t="shared" si="1"/>
        <v>5159.17</v>
      </c>
      <c r="BG5" s="29">
        <f t="shared" si="1"/>
        <v>0</v>
      </c>
      <c r="BH5" s="29">
        <f t="shared" si="1"/>
        <v>0</v>
      </c>
      <c r="BI5" s="29">
        <f t="shared" si="1"/>
        <v>0</v>
      </c>
      <c r="BJ5" s="29">
        <f t="shared" si="1"/>
        <v>0</v>
      </c>
      <c r="BK5" s="29">
        <f t="shared" si="1"/>
        <v>0</v>
      </c>
      <c r="BL5" s="29">
        <f t="shared" si="1"/>
        <v>1684</v>
      </c>
      <c r="BM5" s="29">
        <f t="shared" si="1"/>
        <v>1496</v>
      </c>
      <c r="BN5" s="29">
        <f t="shared" si="1"/>
        <v>106</v>
      </c>
      <c r="BO5" s="29">
        <f t="shared" si="1"/>
        <v>0</v>
      </c>
      <c r="BP5" s="29">
        <f t="shared" si="1"/>
        <v>0</v>
      </c>
      <c r="BQ5" s="29">
        <f t="shared" si="1"/>
        <v>82</v>
      </c>
      <c r="BR5" s="29">
        <f t="shared" si="1"/>
        <v>0</v>
      </c>
      <c r="BS5" s="29">
        <f t="shared" si="1"/>
        <v>0</v>
      </c>
      <c r="BT5" s="30">
        <f t="shared" si="1"/>
        <v>0</v>
      </c>
    </row>
    <row r="6" spans="1:72" s="37" customFormat="1" ht="12.75">
      <c r="A6" s="26" t="s">
        <v>169</v>
      </c>
      <c r="B6" s="31"/>
      <c r="C6" s="31"/>
      <c r="D6" s="32"/>
      <c r="E6" s="27">
        <f>H6+AC6+AT6</f>
        <v>17105.189999999999</v>
      </c>
      <c r="F6" s="27" t="s">
        <v>1</v>
      </c>
      <c r="G6" s="27" t="s">
        <v>2</v>
      </c>
      <c r="H6" s="33">
        <f>SUMIF(I$12:AB$12,"总值",I6:AB6)</f>
        <v>16937.59</v>
      </c>
      <c r="I6" s="27">
        <f t="shared" ref="I6:AB6" si="2">ROUND($A$3*I5/$B$3,2)</f>
        <v>6475.24</v>
      </c>
      <c r="J6" s="27">
        <f t="shared" si="2"/>
        <v>0</v>
      </c>
      <c r="K6" s="27">
        <f t="shared" si="2"/>
        <v>4517.55</v>
      </c>
      <c r="L6" s="27">
        <f t="shared" si="2"/>
        <v>0</v>
      </c>
      <c r="M6" s="27">
        <f t="shared" si="2"/>
        <v>51.06</v>
      </c>
      <c r="N6" s="27">
        <f t="shared" si="2"/>
        <v>0</v>
      </c>
      <c r="O6" s="27">
        <f t="shared" si="2"/>
        <v>5380.26</v>
      </c>
      <c r="P6" s="27">
        <f t="shared" si="2"/>
        <v>0</v>
      </c>
      <c r="Q6" s="27">
        <f t="shared" si="2"/>
        <v>513.48</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167.6</v>
      </c>
      <c r="AD6" s="27">
        <f t="shared" ref="AD6:AS6" si="3">ROUND($A$3*AD5/$B$3,2)</f>
        <v>148.88999999999999</v>
      </c>
      <c r="AE6" s="27">
        <f t="shared" si="3"/>
        <v>0</v>
      </c>
      <c r="AF6" s="27">
        <f t="shared" si="3"/>
        <v>10.55</v>
      </c>
      <c r="AG6" s="27">
        <f t="shared" si="3"/>
        <v>0</v>
      </c>
      <c r="AH6" s="27">
        <f t="shared" si="3"/>
        <v>0</v>
      </c>
      <c r="AI6" s="27">
        <f t="shared" si="3"/>
        <v>0</v>
      </c>
      <c r="AJ6" s="27">
        <f t="shared" si="3"/>
        <v>0</v>
      </c>
      <c r="AK6" s="27">
        <f t="shared" si="3"/>
        <v>0</v>
      </c>
      <c r="AL6" s="27">
        <f t="shared" si="3"/>
        <v>8.16</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17105.2</v>
      </c>
      <c r="AZ6" s="27" t="s">
        <v>3</v>
      </c>
      <c r="BA6" s="27">
        <f>ROUND($AY$6*BA5/$AZ$5,2)</f>
        <v>16937.599999999999</v>
      </c>
      <c r="BB6" s="27">
        <f>ROUND($AY$6*BB5/$AZ$5,2)</f>
        <v>6475.24</v>
      </c>
      <c r="BC6" s="27">
        <f t="shared" ref="BC6:BH6" si="4">ROUND($AY$6*BC5/$AZ$5,2)</f>
        <v>4517.55</v>
      </c>
      <c r="BD6" s="27">
        <f t="shared" si="4"/>
        <v>51.06</v>
      </c>
      <c r="BE6" s="27">
        <f t="shared" si="4"/>
        <v>5380.26</v>
      </c>
      <c r="BF6" s="27">
        <f t="shared" si="4"/>
        <v>513.48</v>
      </c>
      <c r="BG6" s="27">
        <f t="shared" si="4"/>
        <v>0</v>
      </c>
      <c r="BH6" s="27">
        <f t="shared" si="4"/>
        <v>0</v>
      </c>
      <c r="BI6" s="27">
        <f t="shared" ref="BI6:BT6" si="5">ROUND($AY$6*BI5/$AZ$5,2)</f>
        <v>0</v>
      </c>
      <c r="BJ6" s="27">
        <f t="shared" si="5"/>
        <v>0</v>
      </c>
      <c r="BK6" s="27">
        <f t="shared" si="5"/>
        <v>0</v>
      </c>
      <c r="BL6" s="27">
        <f t="shared" si="5"/>
        <v>167.6</v>
      </c>
      <c r="BM6" s="27">
        <f t="shared" si="5"/>
        <v>148.88999999999999</v>
      </c>
      <c r="BN6" s="27">
        <f t="shared" si="5"/>
        <v>10.55</v>
      </c>
      <c r="BO6" s="27">
        <f t="shared" si="5"/>
        <v>0</v>
      </c>
      <c r="BP6" s="27">
        <f t="shared" si="5"/>
        <v>0</v>
      </c>
      <c r="BQ6" s="27">
        <f t="shared" si="5"/>
        <v>8.16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2994</v>
      </c>
      <c r="J9" s="51"/>
      <c r="K9" s="3019" t="s">
        <v>2994</v>
      </c>
      <c r="L9" s="51"/>
      <c r="M9" s="3019" t="s">
        <v>2994</v>
      </c>
      <c r="N9" s="51"/>
      <c r="O9" s="59" t="s">
        <v>3100</v>
      </c>
      <c r="P9" s="51"/>
      <c r="Q9" s="59" t="s">
        <v>2994</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923</v>
      </c>
      <c r="J10" s="51"/>
      <c r="K10" s="3021" t="s">
        <v>2996</v>
      </c>
      <c r="L10" s="51"/>
      <c r="M10" s="3021" t="s">
        <v>2996</v>
      </c>
      <c r="N10" s="51"/>
      <c r="O10" s="66" t="s">
        <v>3101</v>
      </c>
      <c r="P10" s="51"/>
      <c r="Q10" s="66" t="s">
        <v>923</v>
      </c>
      <c r="R10" s="51"/>
      <c r="S10" s="66"/>
      <c r="T10" s="51"/>
      <c r="U10" s="66"/>
      <c r="V10" s="51"/>
      <c r="W10" s="66"/>
      <c r="X10" s="51"/>
      <c r="Y10" s="66"/>
      <c r="Z10" s="51"/>
      <c r="AA10" s="66"/>
      <c r="AB10" s="51"/>
      <c r="AC10" s="55"/>
      <c r="AD10" s="2314" t="s">
        <v>2320</v>
      </c>
      <c r="AE10" s="2336"/>
      <c r="AF10" s="2314" t="s">
        <v>2320</v>
      </c>
      <c r="AG10" s="2336"/>
      <c r="AH10" s="2314" t="s">
        <v>2321</v>
      </c>
      <c r="AI10" s="2336"/>
      <c r="AJ10" s="26" t="s">
        <v>2334</v>
      </c>
      <c r="AK10" s="2333"/>
      <c r="AL10" s="2314" t="s">
        <v>2322</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地上</v>
      </c>
      <c r="BE10" s="69" t="str">
        <f>O9</f>
        <v>地下</v>
      </c>
      <c r="BF10" s="69" t="str">
        <f>Q9</f>
        <v>地上</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t="s">
        <v>2995</v>
      </c>
      <c r="J11" s="71"/>
      <c r="K11" s="3020" t="s">
        <v>2997</v>
      </c>
      <c r="L11" s="71"/>
      <c r="M11" s="70" t="s">
        <v>3002</v>
      </c>
      <c r="N11" s="71"/>
      <c r="O11" s="70" t="s">
        <v>3101</v>
      </c>
      <c r="P11" s="71"/>
      <c r="Q11" s="70" t="s">
        <v>3317</v>
      </c>
      <c r="R11" s="71"/>
      <c r="S11" s="70"/>
      <c r="T11" s="71"/>
      <c r="U11" s="70"/>
      <c r="V11" s="71"/>
      <c r="W11" s="70"/>
      <c r="X11" s="71"/>
      <c r="Y11" s="70"/>
      <c r="Z11" s="71"/>
      <c r="AA11" s="70"/>
      <c r="AB11" s="71"/>
      <c r="AC11" s="55"/>
      <c r="AD11" s="2334" t="s">
        <v>2333</v>
      </c>
      <c r="AE11" s="1002"/>
      <c r="AF11" s="2334" t="s">
        <v>2333</v>
      </c>
      <c r="AG11" s="1002"/>
      <c r="AH11" s="2334" t="s">
        <v>2332</v>
      </c>
      <c r="AI11" s="2335"/>
      <c r="AJ11" s="2334" t="s">
        <v>2332</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商业</v>
      </c>
      <c r="BE11" s="50" t="str">
        <f>O10</f>
        <v>车库</v>
      </c>
      <c r="BF11" s="50" t="str">
        <f>Q10</f>
        <v>住宅</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公寓</v>
      </c>
      <c r="BD12" s="79" t="str">
        <f>M11</f>
        <v>底商</v>
      </c>
      <c r="BE12" s="50" t="str">
        <f>O11</f>
        <v>车库</v>
      </c>
      <c r="BF12" s="50" t="str">
        <f>Q11</f>
        <v>回迁房</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c r="D13" s="3015" t="s">
        <v>1679</v>
      </c>
      <c r="E13" s="27">
        <f t="shared" ref="E13:E20" si="6">IF($C$3="是",ROUND($A$3*G13/$B$3,2),ROUND($A$3*(G13-AT13)/$B$3,2))</f>
        <v>17105.2</v>
      </c>
      <c r="F13" s="81"/>
      <c r="G13" s="82">
        <f t="shared" ref="G13:G20" si="7">H13+AC13+AT13</f>
        <v>171863.99999999997</v>
      </c>
      <c r="H13" s="33">
        <f t="shared" ref="H13:H20" si="8">SUMIF(I$12:AB$12,"总值",I13:AB13)</f>
        <v>170179.99999999997</v>
      </c>
      <c r="I13" s="3018">
        <f>面积指标!G11-Q13</f>
        <v>65059.829999999987</v>
      </c>
      <c r="J13" s="3018"/>
      <c r="K13" s="3018">
        <f>面积指标!G9</f>
        <v>45389.999999999985</v>
      </c>
      <c r="L13" s="3018"/>
      <c r="M13" s="3018">
        <v>513</v>
      </c>
      <c r="N13" s="83"/>
      <c r="O13" s="83">
        <f>面积指标!G24</f>
        <v>54058</v>
      </c>
      <c r="P13" s="83"/>
      <c r="Q13" s="83">
        <v>5159.17</v>
      </c>
      <c r="R13" s="83"/>
      <c r="S13" s="83"/>
      <c r="T13" s="83"/>
      <c r="U13" s="83"/>
      <c r="V13" s="83"/>
      <c r="W13" s="83"/>
      <c r="X13" s="83"/>
      <c r="Y13" s="83"/>
      <c r="Z13" s="83"/>
      <c r="AA13" s="83"/>
      <c r="AB13" s="83"/>
      <c r="AC13" s="27">
        <f t="shared" ref="AC13:AC20" si="9">SUMIF(AD$12:AS$12,"总值",AD13:AS13)</f>
        <v>1684</v>
      </c>
      <c r="AD13" s="3022">
        <f>面积指标!G12</f>
        <v>1496</v>
      </c>
      <c r="AE13" s="3022"/>
      <c r="AF13" s="3022">
        <f>面积指标!G25</f>
        <v>106</v>
      </c>
      <c r="AG13" s="3022"/>
      <c r="AH13" s="3022"/>
      <c r="AI13" s="3022"/>
      <c r="AJ13" s="3022"/>
      <c r="AK13" s="3022"/>
      <c r="AL13" s="3022">
        <f>面积指标!G21+面积指标!G22</f>
        <v>82</v>
      </c>
      <c r="AM13" s="3022"/>
      <c r="AN13" s="3022"/>
      <c r="AO13" s="3022"/>
      <c r="AP13" s="3022"/>
      <c r="AQ13" s="3022"/>
      <c r="AR13" s="3022"/>
      <c r="AS13" s="3022"/>
      <c r="AT13" s="3023"/>
      <c r="AU13" s="3024"/>
      <c r="AV13" s="17">
        <f t="shared" ref="AV13:AX20" si="10">A13</f>
        <v>0</v>
      </c>
      <c r="AW13" s="17">
        <f t="shared" si="10"/>
        <v>0</v>
      </c>
      <c r="AX13" s="17">
        <f t="shared" si="10"/>
        <v>0</v>
      </c>
      <c r="AY13" s="996">
        <f t="shared" ref="AY13:AY20" si="11">ROUND($AY$6*AZ13/$AZ$5,2)</f>
        <v>17105.2</v>
      </c>
      <c r="AZ13" s="27">
        <f t="shared" ref="AZ13:AZ20" si="12">BA13+BL13</f>
        <v>171863.99999999997</v>
      </c>
      <c r="BA13" s="27">
        <f t="shared" ref="BA13:BA20" si="13">SUM(BB13:BK13)</f>
        <v>170179.99999999997</v>
      </c>
      <c r="BB13" s="27">
        <f t="shared" ref="BB13:BB20" si="14">IF($D13="是",I13-J13,0)</f>
        <v>65059.829999999987</v>
      </c>
      <c r="BC13" s="27">
        <f t="shared" ref="BC13:BC20" si="15">IF($D13="是",K13-L13,0)</f>
        <v>45389.999999999985</v>
      </c>
      <c r="BD13" s="27">
        <f t="shared" ref="BD13:BD20" si="16">IF($D13="是",M13-N13,0)</f>
        <v>513</v>
      </c>
      <c r="BE13" s="27">
        <f t="shared" ref="BE13:BE20" si="17">IF($D13="是",O13-P13,0)</f>
        <v>54058</v>
      </c>
      <c r="BF13" s="27">
        <f t="shared" ref="BF13:BF20" si="18">IF($D13="是",Q13-R13,0)</f>
        <v>5159.17</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1684</v>
      </c>
      <c r="BM13" s="27">
        <f t="shared" ref="BM13:BM20" si="25">IF($D13="是",AD13-AE13,0)</f>
        <v>1496</v>
      </c>
      <c r="BN13" s="27">
        <f t="shared" ref="BN13:BN20" si="26">IF($D13="是",AF13-AG13,0)</f>
        <v>106</v>
      </c>
      <c r="BO13" s="27">
        <f t="shared" ref="BO13:BO20" si="27">IF($D13="是",AH13-AI13,0)</f>
        <v>0</v>
      </c>
      <c r="BP13" s="27">
        <f t="shared" ref="BP13:BP20" si="28">IF($D13="是",AJ13-AK13,0)</f>
        <v>0</v>
      </c>
      <c r="BQ13" s="27">
        <f t="shared" ref="BQ13:BQ20" si="29">IF($D13="是",AL13-AM13,0)</f>
        <v>82</v>
      </c>
      <c r="BR13" s="27">
        <f t="shared" ref="BR13:BR20" si="30">IF($D13="是",AN13-AO13,0)</f>
        <v>0</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40" t="s">
        <v>0</v>
      </c>
      <c r="B1" s="3340" t="s">
        <v>4</v>
      </c>
      <c r="C1" s="3340" t="s">
        <v>5</v>
      </c>
      <c r="D1" s="3341" t="s">
        <v>40</v>
      </c>
      <c r="E1" s="3341" t="s">
        <v>41</v>
      </c>
      <c r="F1" s="3341"/>
      <c r="G1" s="3341"/>
      <c r="H1" s="3341"/>
      <c r="I1" s="3341"/>
      <c r="J1" s="3341"/>
      <c r="K1" s="3341"/>
      <c r="L1" s="3341"/>
      <c r="M1" s="3341"/>
    </row>
    <row r="2" spans="1:13" ht="27" customHeight="1">
      <c r="A2" s="3340"/>
      <c r="B2" s="3340"/>
      <c r="C2" s="3340"/>
      <c r="D2" s="3341"/>
      <c r="E2" s="3341" t="s">
        <v>24</v>
      </c>
      <c r="F2" s="3341" t="s">
        <v>25</v>
      </c>
      <c r="G2" s="3341"/>
      <c r="H2" s="3341"/>
      <c r="I2" s="3341"/>
      <c r="J2" s="3341" t="s">
        <v>26</v>
      </c>
      <c r="K2" s="3341"/>
      <c r="L2" s="3341"/>
      <c r="M2" s="3341"/>
    </row>
    <row r="3" spans="1:13" ht="28.5">
      <c r="A3" s="3340"/>
      <c r="B3" s="3340"/>
      <c r="C3" s="3340"/>
      <c r="D3" s="3341"/>
      <c r="E3" s="334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41" t="s">
        <v>42</v>
      </c>
      <c r="B9" s="3341"/>
      <c r="C9" s="334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B36" sqref="B36"/>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51" t="s">
        <v>203</v>
      </c>
      <c r="B2" s="3351"/>
      <c r="C2" s="3351"/>
      <c r="D2" s="1975" t="s">
        <v>204</v>
      </c>
      <c r="E2" s="106" t="s">
        <v>205</v>
      </c>
      <c r="F2" s="1984"/>
      <c r="G2" s="1198"/>
      <c r="H2" s="1199"/>
      <c r="I2" s="1200" t="s">
        <v>857</v>
      </c>
      <c r="J2" s="1984"/>
      <c r="K2" s="1984"/>
      <c r="L2" s="1984"/>
    </row>
    <row r="3" spans="1:16" ht="15.75" thickBot="1">
      <c r="A3" s="3352" t="s">
        <v>206</v>
      </c>
      <c r="B3" s="3352"/>
      <c r="C3" s="3352"/>
      <c r="D3" s="107">
        <f>'数据-基础表'!AY6</f>
        <v>17105.2</v>
      </c>
      <c r="E3" s="107">
        <f>'数据-基础表'!AZ5</f>
        <v>171863.99999999997</v>
      </c>
      <c r="F3" s="1984"/>
      <c r="G3" s="280" t="s">
        <v>858</v>
      </c>
      <c r="H3" s="275" t="s">
        <v>859</v>
      </c>
      <c r="I3" s="1976">
        <f>ROUND('数据-基础表'!B3/'数据-基础表'!A3,2)</f>
        <v>10.050000000000001</v>
      </c>
      <c r="J3" s="1984"/>
      <c r="K3" s="1984"/>
      <c r="L3" s="1984"/>
    </row>
    <row r="4" spans="1:16" ht="15">
      <c r="A4" s="3353"/>
      <c r="B4" s="3354"/>
      <c r="C4" s="3355"/>
      <c r="D4" s="108" t="s">
        <v>204</v>
      </c>
      <c r="E4" s="109" t="s">
        <v>205</v>
      </c>
      <c r="F4" s="1984"/>
      <c r="G4" s="1201"/>
      <c r="H4" s="275" t="s">
        <v>860</v>
      </c>
      <c r="I4" s="1976">
        <f>ROUND(SUMIF('数据-基础表'!I9:AS9,"地上",'数据-基础表'!I5:AS5)/'数据-基础表'!A3,2)</f>
        <v>6.88</v>
      </c>
      <c r="J4" s="1984"/>
      <c r="K4" s="1984"/>
      <c r="L4" s="1984"/>
    </row>
    <row r="5" spans="1:16">
      <c r="A5" s="110" t="s">
        <v>207</v>
      </c>
      <c r="B5" s="3356" t="s">
        <v>230</v>
      </c>
      <c r="C5" s="3356"/>
      <c r="D5" s="111">
        <f>ROUND($D$3*E5/$E$3,2)</f>
        <v>6988.72</v>
      </c>
      <c r="E5" s="112">
        <f>SUMIF('数据-基础表'!$11:$11,"住宅",'数据-基础表'!$5:$5)</f>
        <v>70218.999999999985</v>
      </c>
      <c r="F5" s="1984"/>
      <c r="G5" s="280" t="s">
        <v>861</v>
      </c>
      <c r="H5" s="275" t="s">
        <v>859</v>
      </c>
      <c r="I5" s="1976">
        <f>ROUND(E31/D31,2)</f>
        <v>10.050000000000001</v>
      </c>
      <c r="J5" s="1984"/>
      <c r="K5" s="1984"/>
      <c r="L5" s="1984"/>
    </row>
    <row r="6" spans="1:16" ht="15" thickBot="1">
      <c r="A6" s="113"/>
      <c r="B6" s="3356" t="s">
        <v>208</v>
      </c>
      <c r="C6" s="3356"/>
      <c r="D6" s="111">
        <f>ROUND($D$3*E6/$E$3,2)</f>
        <v>10116.48</v>
      </c>
      <c r="E6" s="112">
        <f>E3-E5</f>
        <v>101644.99999999999</v>
      </c>
      <c r="F6" s="1984"/>
      <c r="G6" s="1201"/>
      <c r="H6" s="275" t="s">
        <v>860</v>
      </c>
      <c r="I6" s="1976">
        <f>ROUND(F31/D31,2)</f>
        <v>6.88</v>
      </c>
      <c r="J6" s="1984"/>
      <c r="K6" s="1984"/>
      <c r="L6" s="1984"/>
    </row>
    <row r="7" spans="1:16" ht="15">
      <c r="A7" s="3348"/>
      <c r="B7" s="3349"/>
      <c r="C7" s="3350"/>
      <c r="D7" s="108" t="s">
        <v>204</v>
      </c>
      <c r="E7" s="114" t="s">
        <v>231</v>
      </c>
      <c r="F7" s="1984"/>
      <c r="G7" s="1156" t="s">
        <v>1646</v>
      </c>
      <c r="H7" s="1157"/>
      <c r="I7" s="1846"/>
      <c r="J7" s="1984"/>
      <c r="K7" s="1984"/>
      <c r="L7" s="1984"/>
    </row>
    <row r="8" spans="1:16">
      <c r="A8" s="110" t="s">
        <v>209</v>
      </c>
      <c r="B8" s="115" t="s">
        <v>210</v>
      </c>
      <c r="C8" s="111" t="s">
        <v>211</v>
      </c>
      <c r="D8" s="111">
        <f t="shared" ref="D8:D15" si="0">ROUND($D$3*E8/$E$3,2)</f>
        <v>11557.34</v>
      </c>
      <c r="E8" s="116">
        <f>SUMIF('数据-基础表'!BB10:BK10,"地上",'数据-基础表'!BB5:BK5)</f>
        <v>116121.99999999997</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2330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2337</v>
      </c>
      <c r="D13" s="111">
        <f t="shared" si="0"/>
        <v>5380.26</v>
      </c>
      <c r="E13" s="116">
        <f>SUMPRODUCT(('数据-基础表'!BB10:BK10="地下")*('数据-基础表'!BB11:BK11="车库")*('数据-基础表'!BB5:BK5))</f>
        <v>54058</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16937.599999999999</v>
      </c>
      <c r="E16" s="120">
        <f>SUM(E8:E15)</f>
        <v>170179.99999999997</v>
      </c>
      <c r="F16" s="1984"/>
      <c r="G16" s="1986"/>
      <c r="H16" s="968" t="s">
        <v>219</v>
      </c>
      <c r="I16" s="969"/>
      <c r="J16" s="1984"/>
      <c r="K16" s="3342" t="s">
        <v>2569</v>
      </c>
      <c r="L16" s="3343"/>
      <c r="M16" s="3343"/>
      <c r="N16" s="3343"/>
      <c r="O16" s="3343"/>
      <c r="P16" s="3344"/>
    </row>
    <row r="17" spans="1:19" ht="15">
      <c r="A17" s="121" t="s">
        <v>216</v>
      </c>
      <c r="B17" s="122" t="s">
        <v>217</v>
      </c>
      <c r="C17" s="2298" t="s">
        <v>2316</v>
      </c>
      <c r="D17" s="108" t="s">
        <v>204</v>
      </c>
      <c r="E17" s="124" t="s">
        <v>205</v>
      </c>
      <c r="F17" s="125"/>
      <c r="G17" s="1365"/>
      <c r="H17" s="970" t="s">
        <v>218</v>
      </c>
      <c r="I17" s="971" t="s">
        <v>2315</v>
      </c>
      <c r="J17" s="1984"/>
      <c r="K17" s="3345" t="s">
        <v>2570</v>
      </c>
      <c r="L17" s="3346"/>
      <c r="M17" s="3347"/>
      <c r="N17" s="3345" t="s">
        <v>2571</v>
      </c>
      <c r="O17" s="3346"/>
      <c r="P17" s="3347"/>
      <c r="R17" s="2299" t="s">
        <v>2314</v>
      </c>
      <c r="S17" s="144"/>
    </row>
    <row r="18" spans="1:19" ht="15">
      <c r="A18" s="117"/>
      <c r="B18" s="128"/>
      <c r="C18" s="129"/>
      <c r="D18" s="2642"/>
      <c r="E18" s="130" t="s">
        <v>220</v>
      </c>
      <c r="F18" s="131" t="s">
        <v>221</v>
      </c>
      <c r="G18" s="1366" t="s">
        <v>222</v>
      </c>
      <c r="H18" s="972" t="s">
        <v>223</v>
      </c>
      <c r="I18" s="973" t="s">
        <v>224</v>
      </c>
      <c r="J18" s="1984"/>
      <c r="K18" s="2605" t="s">
        <v>2572</v>
      </c>
      <c r="L18" s="2606" t="s">
        <v>2573</v>
      </c>
      <c r="M18" s="2607" t="s">
        <v>2574</v>
      </c>
      <c r="N18" s="2605" t="s">
        <v>2572</v>
      </c>
      <c r="O18" s="2606" t="s">
        <v>2573</v>
      </c>
      <c r="P18" s="2607" t="s">
        <v>2574</v>
      </c>
      <c r="R18" s="2300" t="s">
        <v>2312</v>
      </c>
      <c r="S18" s="2300" t="s">
        <v>2313</v>
      </c>
    </row>
    <row r="19" spans="1:19">
      <c r="A19" s="133"/>
      <c r="B19" s="115" t="s">
        <v>225</v>
      </c>
      <c r="C19" s="3025" t="str">
        <f>'数据-基础表'!I11</f>
        <v>平层住宅</v>
      </c>
      <c r="D19" s="111">
        <f t="shared" ref="D19:D26" si="1">ROUND($D$3*E19/$E$3,2)</f>
        <v>6475.24</v>
      </c>
      <c r="E19" s="134">
        <f t="shared" ref="E19:E26" si="2">SUM(F19:G19)</f>
        <v>65059.829999999987</v>
      </c>
      <c r="F19" s="135">
        <f>'数据-基础表'!I13</f>
        <v>65059.829999999987</v>
      </c>
      <c r="G19" s="1367"/>
      <c r="H19" s="974">
        <f>ROUND($D$3*I19/$E$3,2)</f>
        <v>162.56</v>
      </c>
      <c r="I19" s="116">
        <f>IF($I$17="自定义",P19,M19)</f>
        <v>1633.35</v>
      </c>
      <c r="J19" s="1984"/>
      <c r="K19" s="2608">
        <f t="shared" ref="K19:K26" si="3">ROUND(E$28*E19/E$27,2)</f>
        <v>31.35</v>
      </c>
      <c r="L19" s="275">
        <f t="shared" ref="L19:L26" si="4">ROUND(IF(COUNTIF(C19,"*住宅*")&gt;0,E$29*E19/E$32,0),2)</f>
        <v>1602</v>
      </c>
      <c r="M19" s="2609">
        <f>K19+L19</f>
        <v>1633.35</v>
      </c>
      <c r="N19" s="2610"/>
      <c r="O19" s="2611"/>
      <c r="P19" s="2612">
        <f>N19+O19</f>
        <v>0</v>
      </c>
      <c r="R19" s="275">
        <f t="shared" ref="R19:S26" si="5">D19+H19</f>
        <v>6637.8</v>
      </c>
      <c r="S19" s="2301">
        <f t="shared" si="5"/>
        <v>66693.179999999993</v>
      </c>
    </row>
    <row r="20" spans="1:19">
      <c r="A20" s="138"/>
      <c r="B20" s="115" t="s">
        <v>226</v>
      </c>
      <c r="C20" s="3025" t="str">
        <f>'数据-基础表'!K11</f>
        <v>公寓</v>
      </c>
      <c r="D20" s="111">
        <f t="shared" si="1"/>
        <v>4517.55</v>
      </c>
      <c r="E20" s="134">
        <f t="shared" si="2"/>
        <v>45389.999999999985</v>
      </c>
      <c r="F20" s="135">
        <f>'数据-基础表'!K13</f>
        <v>45389.999999999985</v>
      </c>
      <c r="G20" s="1367"/>
      <c r="H20" s="974">
        <f t="shared" ref="H20:H26" si="6">ROUND($D$3*I20/$E$3,2)</f>
        <v>2.1800000000000002</v>
      </c>
      <c r="I20" s="116">
        <f t="shared" ref="I20:I26" si="7">IF($I$17="自定义",P20,M20)</f>
        <v>21.87</v>
      </c>
      <c r="J20" s="1984"/>
      <c r="K20" s="2608">
        <f t="shared" si="3"/>
        <v>21.87</v>
      </c>
      <c r="L20" s="275">
        <f t="shared" si="4"/>
        <v>0</v>
      </c>
      <c r="M20" s="2609">
        <f t="shared" ref="M20:M26" si="8">K20+L20</f>
        <v>21.87</v>
      </c>
      <c r="N20" s="2610"/>
      <c r="O20" s="2611"/>
      <c r="P20" s="2612">
        <f t="shared" ref="P20:P26" si="9">N20+O20</f>
        <v>0</v>
      </c>
      <c r="R20" s="275">
        <f t="shared" si="5"/>
        <v>4519.7300000000005</v>
      </c>
      <c r="S20" s="2301">
        <f t="shared" si="5"/>
        <v>45411.869999999988</v>
      </c>
    </row>
    <row r="21" spans="1:19">
      <c r="A21" s="138"/>
      <c r="B21" s="115" t="s">
        <v>226</v>
      </c>
      <c r="C21" s="3025" t="str">
        <f>'数据-基础表'!M11</f>
        <v>底商</v>
      </c>
      <c r="D21" s="111">
        <f t="shared" si="1"/>
        <v>51.06</v>
      </c>
      <c r="E21" s="134">
        <f t="shared" si="2"/>
        <v>513</v>
      </c>
      <c r="F21" s="135">
        <f>'数据-基础表'!M13</f>
        <v>513</v>
      </c>
      <c r="G21" s="1367"/>
      <c r="H21" s="974">
        <f t="shared" si="6"/>
        <v>0.02</v>
      </c>
      <c r="I21" s="116">
        <f t="shared" si="7"/>
        <v>0.25</v>
      </c>
      <c r="J21" s="1984"/>
      <c r="K21" s="2608">
        <f t="shared" si="3"/>
        <v>0.25</v>
      </c>
      <c r="L21" s="275">
        <f t="shared" si="4"/>
        <v>0</v>
      </c>
      <c r="M21" s="2609">
        <f t="shared" si="8"/>
        <v>0.25</v>
      </c>
      <c r="N21" s="2610"/>
      <c r="O21" s="2611"/>
      <c r="P21" s="2612">
        <f t="shared" si="9"/>
        <v>0</v>
      </c>
      <c r="R21" s="275">
        <f t="shared" si="5"/>
        <v>51.080000000000005</v>
      </c>
      <c r="S21" s="2301">
        <f t="shared" si="5"/>
        <v>513.25</v>
      </c>
    </row>
    <row r="22" spans="1:19">
      <c r="A22" s="138"/>
      <c r="B22" s="115" t="s">
        <v>226</v>
      </c>
      <c r="C22" s="3025" t="str">
        <f>'数据-基础表'!O11</f>
        <v>车库</v>
      </c>
      <c r="D22" s="111">
        <f t="shared" si="1"/>
        <v>5380.26</v>
      </c>
      <c r="E22" s="134">
        <f t="shared" si="2"/>
        <v>54058</v>
      </c>
      <c r="F22" s="140"/>
      <c r="G22" s="1368">
        <f>'数据-基础表'!O13</f>
        <v>54058</v>
      </c>
      <c r="H22" s="974">
        <f t="shared" si="6"/>
        <v>2.59</v>
      </c>
      <c r="I22" s="116">
        <f t="shared" si="7"/>
        <v>26.05</v>
      </c>
      <c r="J22" s="1984"/>
      <c r="K22" s="2608">
        <f t="shared" si="3"/>
        <v>26.05</v>
      </c>
      <c r="L22" s="275">
        <f t="shared" si="4"/>
        <v>0</v>
      </c>
      <c r="M22" s="2609">
        <f t="shared" si="8"/>
        <v>26.05</v>
      </c>
      <c r="N22" s="2610"/>
      <c r="O22" s="2611"/>
      <c r="P22" s="2612">
        <f t="shared" si="9"/>
        <v>0</v>
      </c>
      <c r="R22" s="275">
        <f t="shared" si="5"/>
        <v>5382.85</v>
      </c>
      <c r="S22" s="2301">
        <f t="shared" si="5"/>
        <v>54084.05</v>
      </c>
    </row>
    <row r="23" spans="1:19">
      <c r="A23" s="138"/>
      <c r="B23" s="115" t="s">
        <v>226</v>
      </c>
      <c r="C23" s="3025" t="str">
        <f>'数据-基础表'!Q11</f>
        <v>回迁房</v>
      </c>
      <c r="D23" s="111">
        <f>ROUND($D$3*E23/$E$3,2)</f>
        <v>513.48</v>
      </c>
      <c r="E23" s="134">
        <f>SUM(F23:G23)</f>
        <v>5159.17</v>
      </c>
      <c r="F23" s="140">
        <f>'数据-基础表'!Q13</f>
        <v>5159.17</v>
      </c>
      <c r="G23" s="1368"/>
      <c r="H23" s="974">
        <f>ROUND($D$3*I23/$E$3,2)</f>
        <v>0.25</v>
      </c>
      <c r="I23" s="116">
        <f t="shared" si="7"/>
        <v>2.4900000000000002</v>
      </c>
      <c r="J23" s="1984"/>
      <c r="K23" s="2608">
        <f t="shared" si="3"/>
        <v>2.4900000000000002</v>
      </c>
      <c r="L23" s="275">
        <f t="shared" si="4"/>
        <v>0</v>
      </c>
      <c r="M23" s="2609">
        <f t="shared" si="8"/>
        <v>2.4900000000000002</v>
      </c>
      <c r="N23" s="2610"/>
      <c r="O23" s="2611"/>
      <c r="P23" s="2612">
        <f t="shared" si="9"/>
        <v>0</v>
      </c>
      <c r="R23" s="275">
        <f t="shared" si="5"/>
        <v>513.73</v>
      </c>
      <c r="S23" s="2301">
        <f t="shared" si="5"/>
        <v>5161.66</v>
      </c>
    </row>
    <row r="24" spans="1:19">
      <c r="A24" s="138"/>
      <c r="B24" s="115" t="s">
        <v>226</v>
      </c>
      <c r="C24" s="139"/>
      <c r="D24" s="111">
        <f>ROUND($D$3*E24/$E$3,2)</f>
        <v>0</v>
      </c>
      <c r="E24" s="134">
        <f>SUM(F24:G24)</f>
        <v>0</v>
      </c>
      <c r="F24" s="140"/>
      <c r="G24" s="1368"/>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29.25" thickBot="1">
      <c r="A27" s="138"/>
      <c r="B27" s="111"/>
      <c r="C27" s="127" t="s">
        <v>215</v>
      </c>
      <c r="D27" s="134">
        <f>SUM(D19:D26)</f>
        <v>16937.59</v>
      </c>
      <c r="E27" s="143">
        <f>IF(SUM(E19:E26)='数据-基础表'!BA5,SUM(E19:E26),IF(F27="地上面积有误","面积有误","地下面积有误"))</f>
        <v>170179.99999999997</v>
      </c>
      <c r="F27" s="134">
        <f>IF(SUM(F19:F26)=E8,SUM(F19:F26),"地上面积有误")</f>
        <v>116121.99999999997</v>
      </c>
      <c r="G27" s="112">
        <f>SUM(G19:G26)</f>
        <v>54058</v>
      </c>
      <c r="H27" s="975">
        <f>SUM(H19:H26)</f>
        <v>167.60000000000002</v>
      </c>
      <c r="I27" s="976">
        <f>SUM(I19:I26)</f>
        <v>1684.0099999999998</v>
      </c>
      <c r="J27" s="1984"/>
      <c r="K27" s="2617">
        <f>SUM(K19:K26)</f>
        <v>82.009999999999991</v>
      </c>
      <c r="L27" s="2618">
        <f>SUM(L19:L26)</f>
        <v>1602</v>
      </c>
      <c r="M27" s="2619">
        <f>SUM(M19:M26)</f>
        <v>1684.0099999999998</v>
      </c>
      <c r="N27" s="2617">
        <f t="shared" ref="N27:O27" si="10">SUM(N19:N26)</f>
        <v>0</v>
      </c>
      <c r="O27" s="2618">
        <f t="shared" si="10"/>
        <v>0</v>
      </c>
      <c r="P27" s="2620">
        <f>SUM(P19:P26)</f>
        <v>0</v>
      </c>
      <c r="R27" s="2305" t="str">
        <f>IF(SUM(R19:R26)=$D$3,SUM(R19:R26),SUM(R19:R26)&amp;"误差"&amp;ROUND(SUM(R19:R26)-$D$3,2))</f>
        <v>17105.19误差-0.01</v>
      </c>
      <c r="S27" s="275" t="str">
        <f>IF(SUM(S19:S26)=$E$3,SUM(S19:S26),SUM(S19:S26)&amp;"误差"&amp;ROUND(SUM(S19:S26)-E3,2))</f>
        <v>171864.01误差0.01</v>
      </c>
    </row>
    <row r="28" spans="1:19">
      <c r="A28" s="138"/>
      <c r="B28" s="115" t="s">
        <v>227</v>
      </c>
      <c r="C28" s="136" t="s">
        <v>228</v>
      </c>
      <c r="D28" s="111">
        <f>ROUND($D$3*E28/$E$3,2)</f>
        <v>8.16</v>
      </c>
      <c r="E28" s="134">
        <f>SUM(F28:G28)</f>
        <v>82</v>
      </c>
      <c r="F28" s="144">
        <f>'数据-基础表'!BQ5+'数据-基础表'!BS5</f>
        <v>82</v>
      </c>
      <c r="G28" s="145">
        <f>'数据-基础表'!BR5+'数据-基础表'!BT5</f>
        <v>0</v>
      </c>
      <c r="H28" s="1984"/>
      <c r="I28" s="1984"/>
      <c r="J28" s="1984"/>
      <c r="K28" s="1984"/>
      <c r="L28" s="1984"/>
    </row>
    <row r="29" spans="1:19">
      <c r="A29" s="138"/>
      <c r="B29" s="115" t="s">
        <v>227</v>
      </c>
      <c r="C29" s="2313" t="s">
        <v>2323</v>
      </c>
      <c r="D29" s="111">
        <f>ROUND($D$3*E29/$E$3,2)</f>
        <v>159.44</v>
      </c>
      <c r="E29" s="134">
        <f>SUM(F29:G29)</f>
        <v>1602</v>
      </c>
      <c r="F29" s="144">
        <f>'数据-基础表'!BM5+'数据-基础表'!BO5</f>
        <v>1496</v>
      </c>
      <c r="G29" s="146">
        <f>'数据-基础表'!BN5+'数据-基础表'!BP5</f>
        <v>106</v>
      </c>
      <c r="H29" s="1984"/>
      <c r="I29" s="1984"/>
      <c r="J29" s="1984"/>
      <c r="K29" s="1984"/>
      <c r="L29" s="1984"/>
    </row>
    <row r="30" spans="1:19">
      <c r="A30" s="138"/>
      <c r="B30" s="111"/>
      <c r="C30" s="147" t="s">
        <v>215</v>
      </c>
      <c r="D30" s="134">
        <f>SUM(D28:D29)</f>
        <v>167.6</v>
      </c>
      <c r="E30" s="134">
        <f>SUM(E28:E29)</f>
        <v>1684</v>
      </c>
      <c r="F30" s="134">
        <f>SUM(F28:F29)</f>
        <v>1578</v>
      </c>
      <c r="G30" s="112">
        <f>SUM(G28:G29)</f>
        <v>106</v>
      </c>
      <c r="H30" s="1984"/>
      <c r="I30" s="1984"/>
      <c r="J30" s="1984"/>
      <c r="K30" s="1984"/>
      <c r="L30" s="1984"/>
    </row>
    <row r="31" spans="1:19" ht="32.25" customHeight="1" thickBot="1">
      <c r="A31" s="1369"/>
      <c r="B31" s="1370" t="s">
        <v>229</v>
      </c>
      <c r="C31" s="2330" t="s">
        <v>2325</v>
      </c>
      <c r="D31" s="1371">
        <f>D27+D30</f>
        <v>17105.189999999999</v>
      </c>
      <c r="E31" s="1371">
        <f>E27+E30</f>
        <v>171863.99999999997</v>
      </c>
      <c r="F31" s="1372">
        <f>F27+F30</f>
        <v>117699.99999999997</v>
      </c>
      <c r="G31" s="1373">
        <f>G27+G30</f>
        <v>54164</v>
      </c>
      <c r="H31" s="1984"/>
      <c r="I31" s="1984"/>
      <c r="J31" s="1984"/>
      <c r="K31" s="1984"/>
      <c r="L31" s="1984"/>
    </row>
    <row r="32" spans="1:19">
      <c r="A32" s="1984"/>
      <c r="B32" s="2363" t="s">
        <v>2324</v>
      </c>
      <c r="C32" s="2647"/>
      <c r="D32" s="1201"/>
      <c r="E32" s="1201">
        <f>SUMIF(C19:C26,"*住宅*",E19:E26)</f>
        <v>65059.829999999987</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T6" activePane="bottomRight" state="frozen"/>
      <selection pane="topRight" activeCell="D1" sqref="D1"/>
      <selection pane="bottomLeft" activeCell="A4" sqref="A4"/>
      <selection pane="bottomRight" activeCell="AG22" sqref="AG22:AM2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hidden="1" customWidth="1"/>
    <col min="32" max="32" width="7.25" style="1203" hidden="1" customWidth="1"/>
    <col min="33"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43383</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2831</v>
      </c>
      <c r="O5" s="163" t="s">
        <v>246</v>
      </c>
      <c r="P5" s="165" t="s">
        <v>247</v>
      </c>
      <c r="Q5" s="166" t="s">
        <v>248</v>
      </c>
      <c r="R5" s="167" t="s">
        <v>249</v>
      </c>
      <c r="S5" s="2621" t="s">
        <v>2575</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2326</v>
      </c>
      <c r="AI5" s="171" t="s">
        <v>2295</v>
      </c>
      <c r="AJ5" s="171" t="s">
        <v>258</v>
      </c>
      <c r="AK5" s="159" t="s">
        <v>259</v>
      </c>
      <c r="AL5" s="159" t="s">
        <v>260</v>
      </c>
      <c r="AM5" s="172" t="s">
        <v>261</v>
      </c>
      <c r="AN5" s="2391" t="s">
        <v>2376</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平层住宅</v>
      </c>
      <c r="B6" s="2337" t="str">
        <f>IF(A6=0,"","经营性")</f>
        <v>经营性</v>
      </c>
      <c r="C6" s="173" t="s">
        <v>923</v>
      </c>
      <c r="D6" s="2308">
        <f>SUMIF(项目基本情况!D$15:I$15,C6,项目基本情况!D$18:I$18)</f>
        <v>70</v>
      </c>
      <c r="E6" s="2309">
        <f>IF(B6="","",SUMIF(项目基本情况!D$15:I$15,C6,项目基本情况!D$17:I$17))</f>
        <v>68517</v>
      </c>
      <c r="F6" s="174">
        <f>SUMIF(项目基本情况!D$15:I$15,C6,项目基本情况!D$19:I$19)</f>
        <v>68.86</v>
      </c>
      <c r="G6" s="175">
        <f>IF(ISERROR(ROUND(POWER(1+H6,D6-F6)*(POWER(1+H6,F6)-1)/(POWER(1+H6,D6)-1),3)),0,ROUND(POWER(1+H6,D6-F6)*(POWER(1+H6,F6)-1)/(POWER(1+H6,D6)-1),3))</f>
        <v>0.998</v>
      </c>
      <c r="H6" s="3026">
        <v>4.4999999999999998E-2</v>
      </c>
      <c r="I6" s="3026">
        <v>0.05</v>
      </c>
      <c r="J6" s="176">
        <v>8.5000000000000006E-2</v>
      </c>
      <c r="K6" s="179">
        <f>SUMIF('数据-汇总表'!C$19:C$33,'数据-取费表'!A6,'数据-汇总表'!E$19:E$33)</f>
        <v>65059.829999999987</v>
      </c>
      <c r="L6" s="3027">
        <v>4500</v>
      </c>
      <c r="M6" s="177">
        <f t="shared" ref="M6:M14" si="0">ROUND(K6*L6/10000,0)</f>
        <v>29277</v>
      </c>
      <c r="N6" s="3028">
        <v>0</v>
      </c>
      <c r="O6" s="177">
        <f>IF($N$5="成新度","——",ROUND(M6*N6,0))</f>
        <v>0</v>
      </c>
      <c r="P6" s="178">
        <f>IF($N$5="成新度","——",M6-O6)</f>
        <v>29277</v>
      </c>
      <c r="Q6" s="3029">
        <v>0.15</v>
      </c>
      <c r="R6" s="179">
        <f>SUMIF('数据-汇总表'!C$19:C$33,A6,'数据-汇总表'!R$19:R$33)</f>
        <v>6637.8</v>
      </c>
      <c r="S6" s="132">
        <f>IF('数据-汇总表'!$I$17="按面积比例",SUMIF('数据-汇总表'!C$19:C$33,A6,'数据-汇总表'!K$19:K$33),SUMIF('数据-汇总表'!C$19:C$33,A6,'数据-汇总表'!N$19:N$33))</f>
        <v>31.35</v>
      </c>
      <c r="T6" s="2234">
        <f>IF($T$4="按面积比例",IF(ISERROR(ROUND($M$14*S6/S$16,0)),"0",ROUND($M$14*S6/S$16,0)),"需自行计算录入")</f>
        <v>8</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40"/>
      <c r="AN6" s="2392"/>
      <c r="AO6" s="2000"/>
      <c r="AP6" s="1204">
        <f>ROUND(1-1/(1+H6)^F6,3)</f>
        <v>0.95199999999999996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公寓</v>
      </c>
      <c r="B7" s="2337" t="str">
        <f t="shared" ref="B7:B13" si="1">IF(A7=0,"","经营性")</f>
        <v>经营性</v>
      </c>
      <c r="C7" s="173" t="s">
        <v>2996</v>
      </c>
      <c r="D7" s="2308">
        <f>SUMIF(项目基本情况!D$15:I$15,C7,项目基本情况!D$18:I$18)</f>
        <v>40</v>
      </c>
      <c r="E7" s="2309">
        <f>IF(B7="","",SUMIF(项目基本情况!D$15:I$15,C7,项目基本情况!D$17:I$17))</f>
        <v>57560</v>
      </c>
      <c r="F7" s="174">
        <f>SUMIF(项目基本情况!D$15:I$15,C7,项目基本情况!D$19:I$19)</f>
        <v>38.840000000000003</v>
      </c>
      <c r="G7" s="175">
        <f t="shared" ref="G7:G11" si="2">IF(ISERROR(ROUND(POWER(1+H7,D7-F7)*(POWER(1+H7,F7)-1)/(POWER(1+H7,D7)-1),3)),0,ROUND(POWER(1+H7,D7-F7)*(POWER(1+H7,F7)-1)/(POWER(1+H7,D7)-1),3))</f>
        <v>0.99</v>
      </c>
      <c r="H7" s="3026">
        <v>0.05</v>
      </c>
      <c r="I7" s="3026">
        <v>5.5E-2</v>
      </c>
      <c r="J7" s="176">
        <v>8.5000000000000006E-2</v>
      </c>
      <c r="K7" s="179">
        <f>SUMIF('数据-汇总表'!C$19:C$33,'数据-取费表'!A7,'数据-汇总表'!E$19:E$33)</f>
        <v>45389.999999999985</v>
      </c>
      <c r="L7" s="3027">
        <v>4500</v>
      </c>
      <c r="M7" s="177">
        <f t="shared" si="0"/>
        <v>20426</v>
      </c>
      <c r="N7" s="3028">
        <v>0</v>
      </c>
      <c r="O7" s="177">
        <f t="shared" ref="O7:O14" si="3">IF($N$5="成新度","——",ROUND(M7*N7,0))</f>
        <v>0</v>
      </c>
      <c r="P7" s="178">
        <f t="shared" ref="P7:P14" si="4">IF($N$5="成新度","——",M7-O7)</f>
        <v>20426</v>
      </c>
      <c r="Q7" s="3029">
        <v>0.1</v>
      </c>
      <c r="R7" s="179">
        <f>SUMIF('数据-汇总表'!C$19:C$33,A7,'数据-汇总表'!R$19:R$33)</f>
        <v>4519.7300000000005</v>
      </c>
      <c r="S7" s="132">
        <f>IF('数据-汇总表'!$I$17="按面积比例",SUMIF('数据-汇总表'!C$19:C$33,A7,'数据-汇总表'!K$19:K$33),SUMIF('数据-汇总表'!C$19:C$33,A7,'数据-汇总表'!N$19:N$33))</f>
        <v>21.87</v>
      </c>
      <c r="T7" s="2234">
        <f t="shared" ref="T7:T13" si="5">IF($T$4="按面积比例",IF(ISERROR(ROUND($M$14*S7/S$16,0)),"0",ROUND($M$14*S7/S$16,0)),"需自行计算录入")</f>
        <v>6</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90"/>
      <c r="AN7" s="2392"/>
      <c r="AO7" s="2000"/>
      <c r="AP7" s="1204">
        <f t="shared" ref="AP7:AP13" si="8">ROUND(1-1/(1+H7)^F7,3)</f>
        <v>0.85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底商</v>
      </c>
      <c r="B8" s="2337" t="str">
        <f t="shared" si="1"/>
        <v>经营性</v>
      </c>
      <c r="C8" s="173" t="s">
        <v>2996</v>
      </c>
      <c r="D8" s="2308">
        <f>SUMIF(项目基本情况!D$15:I$15,C8,项目基本情况!D$18:I$18)</f>
        <v>40</v>
      </c>
      <c r="E8" s="2309">
        <f>IF(B8="","",SUMIF(项目基本情况!D$15:I$15,C8,项目基本情况!D$17:I$17))</f>
        <v>57560</v>
      </c>
      <c r="F8" s="174">
        <f>SUMIF(项目基本情况!D$15:I$15,C8,项目基本情况!D$19:I$19)</f>
        <v>38.840000000000003</v>
      </c>
      <c r="G8" s="175">
        <f t="shared" si="2"/>
        <v>0.99</v>
      </c>
      <c r="H8" s="3026">
        <v>0.05</v>
      </c>
      <c r="I8" s="3026">
        <v>5.5E-2</v>
      </c>
      <c r="J8" s="176">
        <v>8.5000000000000006E-2</v>
      </c>
      <c r="K8" s="179">
        <f>SUMIF('数据-汇总表'!C$19:C$33,'数据-取费表'!A8,'数据-汇总表'!E$19:E$33)</f>
        <v>513</v>
      </c>
      <c r="L8" s="3027">
        <v>2500</v>
      </c>
      <c r="M8" s="177">
        <f>ROUND(K8*L8/10000,0)</f>
        <v>128</v>
      </c>
      <c r="N8" s="3028">
        <v>0</v>
      </c>
      <c r="O8" s="177">
        <f t="shared" si="3"/>
        <v>0</v>
      </c>
      <c r="P8" s="178">
        <f t="shared" si="4"/>
        <v>128</v>
      </c>
      <c r="Q8" s="3029">
        <v>0.25</v>
      </c>
      <c r="R8" s="179">
        <f>SUMIF('数据-汇总表'!C$19:C$33,A8,'数据-汇总表'!R$19:R$33)</f>
        <v>51.080000000000005</v>
      </c>
      <c r="S8" s="132">
        <f>IF('数据-汇总表'!$I$17="按面积比例",SUMIF('数据-汇总表'!C$19:C$33,A8,'数据-汇总表'!K$19:K$33),SUMIF('数据-汇总表'!C$19:C$33,A8,'数据-汇总表'!N$19:N$33))</f>
        <v>0.25</v>
      </c>
      <c r="T8" s="2234">
        <f t="shared" si="5"/>
        <v>0</v>
      </c>
      <c r="U8" s="180">
        <v>5</v>
      </c>
      <c r="V8" s="181">
        <v>0.03</v>
      </c>
      <c r="W8" s="181">
        <v>0.05</v>
      </c>
      <c r="X8" s="2321"/>
      <c r="Y8" s="182">
        <v>1</v>
      </c>
      <c r="Z8" s="183"/>
      <c r="AA8" s="176"/>
      <c r="AB8" s="176"/>
      <c r="AC8" s="2324"/>
      <c r="AD8" s="184"/>
      <c r="AE8" s="972">
        <f t="shared" ca="1" si="6"/>
        <v>36.840000000000003</v>
      </c>
      <c r="AF8" s="141"/>
      <c r="AG8" s="1213">
        <f t="shared" si="7"/>
        <v>0</v>
      </c>
      <c r="AH8" s="141"/>
      <c r="AI8" s="187">
        <v>365</v>
      </c>
      <c r="AJ8" s="188"/>
      <c r="AK8" s="189">
        <v>0.02</v>
      </c>
      <c r="AL8" s="190">
        <v>2E-3</v>
      </c>
      <c r="AM8" s="2390">
        <v>0.02</v>
      </c>
      <c r="AN8" s="2392" t="s">
        <v>3184</v>
      </c>
      <c r="AO8" s="2000"/>
      <c r="AP8" s="1204">
        <f t="shared" si="8"/>
        <v>0.85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车库</v>
      </c>
      <c r="B9" s="2337" t="str">
        <f t="shared" si="1"/>
        <v>经营性</v>
      </c>
      <c r="C9" s="173" t="s">
        <v>3101</v>
      </c>
      <c r="D9" s="2308">
        <f>SUMIF(项目基本情况!D$15:I$15,C9,项目基本情况!D$18:I$18)</f>
        <v>50</v>
      </c>
      <c r="E9" s="2309">
        <f>IF(B9="","",SUMIF(项目基本情况!D$15:I$15,C9,项目基本情况!D$17:I$17))</f>
        <v>61212</v>
      </c>
      <c r="F9" s="174">
        <f>SUMIF(项目基本情况!D$15:I$15,C9,项目基本情况!D$19:I$19)</f>
        <v>48.84</v>
      </c>
      <c r="G9" s="175">
        <f t="shared" si="2"/>
        <v>0.99299999999999999</v>
      </c>
      <c r="H9" s="176">
        <v>4.4999999999999998E-2</v>
      </c>
      <c r="I9" s="176">
        <v>0.05</v>
      </c>
      <c r="J9" s="176">
        <v>8.5000000000000006E-2</v>
      </c>
      <c r="K9" s="179">
        <f>SUMIF('数据-汇总表'!C$19:C$33,'数据-取费表'!A9,'数据-汇总表'!E$19:E$33)</f>
        <v>54058</v>
      </c>
      <c r="L9" s="193">
        <v>2500</v>
      </c>
      <c r="M9" s="177">
        <f t="shared" si="0"/>
        <v>13515</v>
      </c>
      <c r="N9" s="194">
        <v>0</v>
      </c>
      <c r="O9" s="177">
        <f t="shared" si="3"/>
        <v>0</v>
      </c>
      <c r="P9" s="178">
        <f t="shared" si="4"/>
        <v>13515</v>
      </c>
      <c r="Q9" s="192">
        <v>0.05</v>
      </c>
      <c r="R9" s="179">
        <f>SUMIF('数据-汇总表'!C$19:C$33,A9,'数据-汇总表'!R$19:R$33)</f>
        <v>5382.85</v>
      </c>
      <c r="S9" s="132">
        <f>IF('数据-汇总表'!$I$17="按面积比例",SUMIF('数据-汇总表'!C$19:C$33,A9,'数据-汇总表'!K$19:K$33),SUMIF('数据-汇总表'!C$19:C$33,A9,'数据-汇总表'!N$19:N$33))</f>
        <v>26.05</v>
      </c>
      <c r="T9" s="2234">
        <f t="shared" si="5"/>
        <v>7</v>
      </c>
      <c r="U9" s="180"/>
      <c r="V9" s="181"/>
      <c r="W9" s="181"/>
      <c r="X9" s="2321"/>
      <c r="Y9" s="182"/>
      <c r="Z9" s="183"/>
      <c r="AA9" s="176"/>
      <c r="AB9" s="176"/>
      <c r="AC9" s="2324"/>
      <c r="AD9" s="184"/>
      <c r="AE9" s="972">
        <f t="shared" ca="1" si="6"/>
        <v>0</v>
      </c>
      <c r="AF9" s="141"/>
      <c r="AG9" s="1213">
        <f t="shared" si="7"/>
        <v>0</v>
      </c>
      <c r="AH9" s="141">
        <v>1300</v>
      </c>
      <c r="AI9" s="187"/>
      <c r="AJ9" s="188"/>
      <c r="AK9" s="189"/>
      <c r="AL9" s="190"/>
      <c r="AM9" s="2390"/>
      <c r="AN9" s="2392"/>
      <c r="AO9" s="2000"/>
      <c r="AP9" s="1204">
        <f t="shared" si="8"/>
        <v>0.88300000000000001</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t="str">
        <f>'数据-汇总表'!C23</f>
        <v>回迁房</v>
      </c>
      <c r="B10" s="2337" t="str">
        <f t="shared" si="1"/>
        <v>经营性</v>
      </c>
      <c r="C10" s="173" t="s">
        <v>923</v>
      </c>
      <c r="D10" s="2308">
        <f>SUMIF(项目基本情况!D$15:I$15,C10,项目基本情况!D$18:I$18)</f>
        <v>70</v>
      </c>
      <c r="E10" s="2309">
        <f>IF(B10="","",SUMIF(项目基本情况!D$15:I$15,C10,项目基本情况!D$17:I$17))</f>
        <v>68517</v>
      </c>
      <c r="F10" s="174">
        <f>SUMIF(项目基本情况!D$15:I$15,C10,项目基本情况!D$19:I$19)</f>
        <v>68.86</v>
      </c>
      <c r="G10" s="175">
        <f t="shared" si="2"/>
        <v>0.998</v>
      </c>
      <c r="H10" s="176">
        <v>4.4999999999999998E-2</v>
      </c>
      <c r="I10" s="176">
        <v>0.05</v>
      </c>
      <c r="J10" s="176">
        <v>8.5000000000000006E-2</v>
      </c>
      <c r="K10" s="179">
        <f>SUMIF('数据-汇总表'!C$19:C$33,'数据-取费表'!A10,'数据-汇总表'!E$19:E$33)</f>
        <v>5159.17</v>
      </c>
      <c r="L10" s="3246">
        <v>2500</v>
      </c>
      <c r="M10" s="177">
        <f t="shared" si="0"/>
        <v>1290</v>
      </c>
      <c r="N10" s="194">
        <v>0</v>
      </c>
      <c r="O10" s="177">
        <f t="shared" si="3"/>
        <v>0</v>
      </c>
      <c r="P10" s="178">
        <f t="shared" si="4"/>
        <v>1290</v>
      </c>
      <c r="Q10" s="192">
        <v>1E-13</v>
      </c>
      <c r="R10" s="179">
        <f>SUMIF('数据-汇总表'!C$19:C$33,A10,'数据-汇总表'!R$19:R$33)</f>
        <v>513.73</v>
      </c>
      <c r="S10" s="132">
        <f>IF('数据-汇总表'!$I$17="按面积比例",SUMIF('数据-汇总表'!C$19:C$33,A10,'数据-汇总表'!K$19:K$33),SUMIF('数据-汇总表'!C$19:C$33,A10,'数据-汇总表'!N$19:N$33))</f>
        <v>2.4900000000000002</v>
      </c>
      <c r="T10" s="2234">
        <f t="shared" si="5"/>
        <v>1</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0.95199999999999996</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2317</v>
      </c>
      <c r="B14" s="2306" t="s">
        <v>1680</v>
      </c>
      <c r="C14" s="2307" t="s">
        <v>2317</v>
      </c>
      <c r="D14" s="2308"/>
      <c r="E14" s="2309"/>
      <c r="F14" s="174"/>
      <c r="G14" s="175"/>
      <c r="H14" s="2310"/>
      <c r="I14" s="2310"/>
      <c r="J14" s="2310"/>
      <c r="K14" s="179">
        <f>SUMIF('数据-汇总表'!C$19:C$33,'数据-取费表'!A14,'数据-汇总表'!E$19:E$33)</f>
        <v>82</v>
      </c>
      <c r="L14" s="193">
        <v>2500</v>
      </c>
      <c r="M14" s="177">
        <f t="shared" si="0"/>
        <v>21</v>
      </c>
      <c r="N14" s="194">
        <v>0</v>
      </c>
      <c r="O14" s="177">
        <f t="shared" si="3"/>
        <v>0</v>
      </c>
      <c r="P14" s="178">
        <f t="shared" si="4"/>
        <v>21</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2319</v>
      </c>
      <c r="B15" s="2306" t="s">
        <v>1680</v>
      </c>
      <c r="C15" s="2307" t="s">
        <v>2318</v>
      </c>
      <c r="D15" s="2308"/>
      <c r="E15" s="2309"/>
      <c r="F15" s="174"/>
      <c r="G15" s="175"/>
      <c r="H15" s="2310"/>
      <c r="I15" s="2310"/>
      <c r="J15" s="2310"/>
      <c r="K15" s="179">
        <f>SUMIF('数据-汇总表'!C$19:C$33,'数据-取费表'!A15,'数据-汇总表'!E$19:E$33)</f>
        <v>1602</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0.99399999999999999</v>
      </c>
      <c r="H16" s="203">
        <f>ROUND(SUMPRODUCT(H6:H13,K6:K13)/SUMPRODUCT((H6:H13&gt;0)*(K6:K13)),3)</f>
        <v>4.5999999999999999E-2</v>
      </c>
      <c r="I16" s="204"/>
      <c r="J16" s="204"/>
      <c r="K16" s="205">
        <f>SUM(K6:K15)</f>
        <v>171863.99999999997</v>
      </c>
      <c r="L16" s="206">
        <f>ROUND(M16*10000/SUM(K6:K14),0)</f>
        <v>3798</v>
      </c>
      <c r="M16" s="206">
        <f>SUM(M6:M14)</f>
        <v>64657</v>
      </c>
      <c r="N16" s="207">
        <f>ROUND(SUMPRODUCT(M6:M14,N6:N14)/M16,3)</f>
        <v>0</v>
      </c>
      <c r="O16" s="206">
        <f>SUM(O6:O14)</f>
        <v>0</v>
      </c>
      <c r="P16" s="206">
        <f>SUM(P6:P14)</f>
        <v>64657</v>
      </c>
      <c r="Q16" s="208">
        <f>ROUND(SUMPRODUCT(Q6:Q13,K6:K13)/SUMPRODUCT((Q6:Q13&gt;0)*(K6:K13)),2)</f>
        <v>0.1</v>
      </c>
      <c r="R16" s="2311">
        <f>SUM(R6:R13)</f>
        <v>17105.189999999999</v>
      </c>
      <c r="S16" s="209">
        <f>SUM(S6:S13)</f>
        <v>82.009999999999991</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0.90300000000000002</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2341</v>
      </c>
      <c r="B27" s="227">
        <v>80</v>
      </c>
      <c r="C27" s="2367" t="s">
        <v>2345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2342</v>
      </c>
      <c r="B28" s="229">
        <v>160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2340</v>
      </c>
      <c r="B29" s="232">
        <v>0</v>
      </c>
      <c r="C29" s="1552" t="s">
        <v>2343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0.03</v>
      </c>
      <c r="C33" s="2365" t="s">
        <v>2897</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2898</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2899</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2900</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0.03</v>
      </c>
      <c r="C37" s="2365" t="s">
        <v>2901</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2901</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2459</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2460</v>
      </c>
      <c r="B40" s="2481">
        <f ca="1">存贷款利率!E2</f>
        <v>4.7500000000000001E-2</v>
      </c>
      <c r="C40" s="2365" t="s">
        <v>2344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0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2902</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2903</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2904</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5" t="s">
        <v>2905</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6" t="s">
        <v>2906</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6" t="s">
        <v>2907</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077" t="s">
        <v>2908</v>
      </c>
      <c r="D53" s="3078" t="s">
        <v>2909</v>
      </c>
      <c r="E53" s="1992" t="s">
        <v>3319</v>
      </c>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2910</v>
      </c>
      <c r="B54" s="186">
        <v>22</v>
      </c>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2911</v>
      </c>
      <c r="B55" s="186"/>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2912</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2913</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2914</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2915</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2916</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2917</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2918</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2919</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B15" sqref="B15"/>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57" t="s">
        <v>1664</v>
      </c>
      <c r="B1" s="3358"/>
      <c r="C1" s="3358"/>
      <c r="D1" s="3358"/>
      <c r="E1" s="3358"/>
      <c r="F1" s="3358"/>
      <c r="G1" s="335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82" t="s">
        <v>2926</v>
      </c>
      <c r="D3" s="2009"/>
      <c r="E3" s="1229" t="s">
        <v>1667</v>
      </c>
      <c r="F3" s="1230" t="s">
        <v>1655</v>
      </c>
      <c r="G3" s="3086" t="s">
        <v>2925</v>
      </c>
      <c r="H3" s="2008"/>
      <c r="I3" s="2008"/>
      <c r="J3" s="2008"/>
      <c r="K3" s="2008"/>
      <c r="L3" s="2008"/>
      <c r="M3" s="2008"/>
      <c r="N3" s="2008"/>
      <c r="O3" s="2008"/>
      <c r="P3" s="2008"/>
      <c r="Q3" s="2008"/>
      <c r="R3" s="2008"/>
    </row>
    <row r="4" spans="1:18" ht="41.25">
      <c r="A4" s="1229"/>
      <c r="B4" s="1231" t="s">
        <v>1668</v>
      </c>
      <c r="C4" s="3083" t="s">
        <v>2927</v>
      </c>
      <c r="D4" s="2009"/>
      <c r="E4" s="1232"/>
      <c r="F4" s="1233" t="s">
        <v>1669</v>
      </c>
      <c r="G4" s="3084" t="s">
        <v>2922</v>
      </c>
      <c r="H4" s="2008"/>
      <c r="I4" s="2008"/>
      <c r="J4" s="2008"/>
      <c r="K4" s="2008"/>
      <c r="L4" s="2008"/>
      <c r="M4" s="2008"/>
      <c r="N4" s="2008"/>
      <c r="O4" s="2008"/>
      <c r="P4" s="2008"/>
      <c r="Q4" s="2008"/>
      <c r="R4" s="2008"/>
    </row>
    <row r="5" spans="1:18" ht="41.25">
      <c r="A5" s="1229"/>
      <c r="B5" s="1231" t="s">
        <v>1670</v>
      </c>
      <c r="C5" s="3083" t="s">
        <v>2928</v>
      </c>
      <c r="D5" s="2009"/>
      <c r="E5" s="1232"/>
      <c r="F5" s="1231" t="s">
        <v>2549</v>
      </c>
      <c r="G5" s="3084" t="s">
        <v>2923</v>
      </c>
      <c r="H5" s="2008"/>
      <c r="I5" s="2008"/>
      <c r="J5" s="2008"/>
      <c r="K5" s="2008"/>
      <c r="L5" s="2008"/>
      <c r="M5" s="2008"/>
      <c r="N5" s="2008"/>
      <c r="O5" s="2008"/>
      <c r="P5" s="2008"/>
      <c r="Q5" s="2008"/>
      <c r="R5" s="2008"/>
    </row>
    <row r="6" spans="1:18" ht="54">
      <c r="A6" s="1229"/>
      <c r="B6" s="1231" t="s">
        <v>1656</v>
      </c>
      <c r="C6" s="3084" t="s">
        <v>2922</v>
      </c>
      <c r="D6" s="2009"/>
      <c r="E6" s="1232"/>
      <c r="F6" s="1231" t="s">
        <v>2550</v>
      </c>
      <c r="G6" s="3084" t="s">
        <v>2920</v>
      </c>
      <c r="H6" s="2008"/>
      <c r="I6" s="2008"/>
      <c r="J6" s="2008"/>
      <c r="K6" s="2008"/>
      <c r="L6" s="2008"/>
      <c r="M6" s="2008"/>
      <c r="N6" s="2008"/>
      <c r="O6" s="2008"/>
      <c r="P6" s="2008"/>
      <c r="Q6" s="2008"/>
      <c r="R6" s="2008"/>
    </row>
    <row r="7" spans="1:18" ht="41.25" thickBot="1">
      <c r="A7" s="1229"/>
      <c r="B7" s="1231" t="s">
        <v>2549</v>
      </c>
      <c r="C7" s="3084" t="s">
        <v>2923</v>
      </c>
      <c r="D7" s="2010"/>
      <c r="E7" s="1234"/>
      <c r="F7" s="1235" t="s">
        <v>1671</v>
      </c>
      <c r="G7" s="3087" t="s">
        <v>2924</v>
      </c>
      <c r="H7" s="2008"/>
      <c r="I7" s="2008"/>
      <c r="J7" s="2008"/>
      <c r="K7" s="2008"/>
      <c r="L7" s="2008"/>
      <c r="M7" s="2008"/>
      <c r="N7" s="2008"/>
      <c r="O7" s="2008"/>
      <c r="P7" s="2008"/>
      <c r="Q7" s="2008"/>
      <c r="R7" s="2008"/>
    </row>
    <row r="8" spans="1:18" ht="27">
      <c r="A8" s="1229"/>
      <c r="B8" s="1231" t="s">
        <v>2550</v>
      </c>
      <c r="C8" s="3084" t="s">
        <v>2920</v>
      </c>
      <c r="D8" s="2010"/>
      <c r="E8" s="2010"/>
      <c r="F8" s="1553"/>
      <c r="G8" s="1553"/>
      <c r="H8" s="2008"/>
      <c r="I8" s="2008"/>
      <c r="J8" s="2008"/>
      <c r="K8" s="2008"/>
      <c r="L8" s="2008"/>
      <c r="M8" s="2008"/>
      <c r="N8" s="2008"/>
      <c r="O8" s="2008"/>
      <c r="P8" s="2008"/>
      <c r="Q8" s="2008"/>
      <c r="R8" s="2008"/>
    </row>
    <row r="9" spans="1:18" ht="40.5">
      <c r="A9" s="1229"/>
      <c r="B9" s="1231" t="s">
        <v>1657</v>
      </c>
      <c r="C9" s="3083" t="s">
        <v>2921</v>
      </c>
      <c r="D9" s="2009"/>
      <c r="E9" s="2010"/>
      <c r="F9" s="1553"/>
      <c r="G9" s="1553"/>
      <c r="H9" s="2008"/>
      <c r="I9" s="2008"/>
      <c r="J9" s="2008"/>
      <c r="K9" s="2008"/>
      <c r="L9" s="2008"/>
      <c r="M9" s="2008"/>
      <c r="N9" s="2008"/>
      <c r="O9" s="2008"/>
      <c r="P9" s="2008"/>
      <c r="Q9" s="2008"/>
      <c r="R9" s="2008"/>
    </row>
    <row r="10" spans="1:18" s="2016" customFormat="1" ht="15" thickBot="1">
      <c r="A10" s="1236"/>
      <c r="B10" s="1237" t="s">
        <v>1672</v>
      </c>
      <c r="C10" s="3085"/>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4"/>
      <c r="E13" s="2578"/>
      <c r="F13" s="2578"/>
      <c r="G13" s="2578"/>
    </row>
    <row r="14" spans="1:18" ht="14.25" thickBot="1">
      <c r="A14" s="1238"/>
      <c r="B14" s="1239"/>
      <c r="C14" s="1240" t="s">
        <v>1665</v>
      </c>
      <c r="D14" s="2009"/>
      <c r="E14" s="1241"/>
      <c r="F14" s="1241"/>
      <c r="G14" s="1223" t="s">
        <v>1666</v>
      </c>
    </row>
    <row r="15" spans="1:18" ht="54">
      <c r="A15" s="2588" t="s">
        <v>1658</v>
      </c>
      <c r="B15" s="1242" t="s">
        <v>1654</v>
      </c>
      <c r="C15" s="1243" t="str">
        <f>C3</f>
        <v>估价对象周边居住用地比例、居住小区规模和社区发展完善程度，综合评价居住社区成熟度一般</v>
      </c>
      <c r="D15" s="2009"/>
      <c r="E15" s="2585" t="s">
        <v>1659</v>
      </c>
      <c r="F15" s="1242" t="s">
        <v>1674</v>
      </c>
      <c r="G15" s="1244" t="str">
        <f>G3</f>
        <v>估价对象位于XX开发区，园区建设成熟度XX，产业集聚程度XX</v>
      </c>
    </row>
    <row r="16" spans="1:18" ht="40.5">
      <c r="A16" s="2589"/>
      <c r="B16" s="1245" t="s">
        <v>1668</v>
      </c>
      <c r="C16" s="1246" t="str">
        <f>C4</f>
        <v>估价对象位于XX商圈，周边商业氛围成熟，人流量大，商业繁华度好</v>
      </c>
      <c r="D16" s="2009"/>
      <c r="E16" s="2586"/>
      <c r="F16" s="1247" t="s">
        <v>1669</v>
      </c>
      <c r="G16" s="1005" t="str">
        <f>G4</f>
        <v>估价对象周边道路状况、公共交通通达情况、停车便捷程度，综合评价交通便捷度较好</v>
      </c>
    </row>
    <row r="17" spans="1:7" ht="40.5">
      <c r="A17" s="2589"/>
      <c r="B17" s="1245" t="s">
        <v>1670</v>
      </c>
      <c r="C17" s="1246" t="str">
        <f>C5</f>
        <v>估价对象位于XX商圈，周边办公楼项目较多，入驻率高，办公集聚程度较好</v>
      </c>
      <c r="D17" s="2010"/>
      <c r="E17" s="2586"/>
      <c r="F17" s="1247" t="s">
        <v>1675</v>
      </c>
      <c r="G17" s="2794"/>
    </row>
    <row r="18" spans="1:7" ht="54">
      <c r="A18" s="2589"/>
      <c r="B18" s="1247" t="s">
        <v>1656</v>
      </c>
      <c r="C18" s="1005" t="str">
        <f>C6</f>
        <v>估价对象周边道路状况、公共交通通达情况、停车便捷程度，综合评价交通便捷度较好</v>
      </c>
      <c r="D18" s="2010"/>
      <c r="E18" s="2586"/>
      <c r="F18" s="1247" t="s">
        <v>1671</v>
      </c>
      <c r="G18" s="1005" t="str">
        <f>G7</f>
        <v>该园区内是否有污染型企业，绿化情况，卫生条件，整体环境状况判断</v>
      </c>
    </row>
    <row r="19" spans="1:7" ht="27">
      <c r="A19" s="2589"/>
      <c r="B19" s="1247" t="s">
        <v>1660</v>
      </c>
      <c r="C19" s="2794"/>
      <c r="D19" s="2009"/>
      <c r="E19" s="2586"/>
      <c r="F19" s="1231" t="s">
        <v>2549</v>
      </c>
      <c r="G19" s="1005" t="str">
        <f>G5</f>
        <v>估价对象所在区域公共配套设施齐备情况</v>
      </c>
    </row>
    <row r="20" spans="1:7" ht="40.5">
      <c r="A20" s="2589"/>
      <c r="B20" s="1247" t="s">
        <v>1661</v>
      </c>
      <c r="C20" s="1246" t="str">
        <f>C9</f>
        <v>区域自然环境：；人文环境；综合评价环境状况一般</v>
      </c>
      <c r="D20" s="2010"/>
      <c r="E20" s="2586"/>
      <c r="F20" s="1231" t="s">
        <v>2550</v>
      </c>
      <c r="G20" s="1005" t="str">
        <f>G6</f>
        <v>估价对象所在区域基础设施水平</v>
      </c>
    </row>
    <row r="21" spans="1:7" ht="27">
      <c r="A21" s="2589"/>
      <c r="B21" s="1231" t="s">
        <v>2549</v>
      </c>
      <c r="C21" s="1005" t="str">
        <f>C7</f>
        <v>估价对象所在区域公共配套设施齐备情况</v>
      </c>
      <c r="D21" s="2009"/>
      <c r="E21" s="2586"/>
      <c r="F21" s="1247" t="s">
        <v>1662</v>
      </c>
      <c r="G21" s="3088"/>
    </row>
    <row r="22" spans="1:7" ht="27">
      <c r="A22" s="2589"/>
      <c r="B22" s="1231" t="s">
        <v>2550</v>
      </c>
      <c r="C22" s="1005" t="str">
        <f>C8</f>
        <v>估价对象所在区域基础设施水平</v>
      </c>
      <c r="D22" s="2009"/>
      <c r="E22" s="2586"/>
      <c r="F22" s="1247" t="s">
        <v>1672</v>
      </c>
      <c r="G22" s="2794"/>
    </row>
    <row r="23" spans="1:7" ht="15" thickBot="1">
      <c r="A23" s="2589"/>
      <c r="B23" s="1247" t="s">
        <v>1662</v>
      </c>
      <c r="C23" s="3088"/>
      <c r="E23" s="2587"/>
      <c r="F23" s="1248" t="s">
        <v>1676</v>
      </c>
      <c r="G23" s="3089"/>
    </row>
    <row r="24" spans="1:7" ht="14.25" thickBot="1">
      <c r="A24" s="2590"/>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5" sqref="G15"/>
    </sheetView>
  </sheetViews>
  <sheetFormatPr defaultColWidth="14.625" defaultRowHeight="13.5"/>
  <cols>
    <col min="1" max="1" width="24.375" customWidth="1"/>
  </cols>
  <sheetData>
    <row r="1" spans="1:9" ht="16.5">
      <c r="A1" s="3046" t="s">
        <v>2847</v>
      </c>
      <c r="B1" s="3046">
        <f>SUM(B14:B23)</f>
        <v>171863.99999999997</v>
      </c>
      <c r="C1" s="3047"/>
      <c r="D1" s="3047"/>
      <c r="E1" s="3047"/>
      <c r="F1" s="3047"/>
    </row>
    <row r="2" spans="1:9" ht="16.5">
      <c r="A2" s="3046" t="s">
        <v>2848</v>
      </c>
      <c r="B2" s="3046">
        <f>SUM(C14:C23)</f>
        <v>17105.2</v>
      </c>
      <c r="C2" s="3047"/>
      <c r="D2" s="3047"/>
      <c r="E2" s="3047"/>
      <c r="F2" s="3047"/>
    </row>
    <row r="3" spans="1:9" ht="16.5">
      <c r="A3" s="3046" t="s">
        <v>2849</v>
      </c>
      <c r="B3" s="3048">
        <f>项目基本情况!D3</f>
        <v>43383</v>
      </c>
      <c r="C3" s="3047"/>
      <c r="D3" s="3047"/>
      <c r="E3" s="3047"/>
      <c r="F3" s="3047"/>
    </row>
    <row r="4" spans="1:9" ht="33">
      <c r="A4" s="3046" t="s">
        <v>2850</v>
      </c>
      <c r="B4" s="3046" t="s">
        <v>2851</v>
      </c>
      <c r="C4" s="3046" t="s">
        <v>2852</v>
      </c>
      <c r="D4" s="3046" t="s">
        <v>2853</v>
      </c>
      <c r="E4" s="3047"/>
      <c r="F4" s="3047"/>
    </row>
    <row r="5" spans="1:9" ht="16.5">
      <c r="A5" s="3046" t="s">
        <v>2854</v>
      </c>
      <c r="B5" s="3046">
        <f ca="1">SUM(D14:D23)</f>
        <v>120453</v>
      </c>
      <c r="C5" s="3046">
        <f ca="1">ROUND(B5*10000/$B$1,0)</f>
        <v>7009</v>
      </c>
      <c r="D5" s="3046">
        <f ca="1">ROUND(B5*10000/$B$2,0)</f>
        <v>70419</v>
      </c>
      <c r="E5" s="3047"/>
      <c r="F5" s="3047"/>
    </row>
    <row r="6" spans="1:9" ht="16.5">
      <c r="A6" s="3046" t="s">
        <v>2855</v>
      </c>
      <c r="B6" s="3046">
        <f ca="1">SUM(G14:G23)</f>
        <v>120453</v>
      </c>
      <c r="C6" s="3046">
        <f t="shared" ref="C6:C8" ca="1" si="0">ROUND(B6*10000/$B$1,0)</f>
        <v>7009</v>
      </c>
      <c r="D6" s="3046">
        <f t="shared" ref="D6:D8" ca="1" si="1">ROUND(B6*10000/$B$2,0)</f>
        <v>70419</v>
      </c>
      <c r="E6" s="3047"/>
      <c r="F6" s="3047"/>
    </row>
    <row r="7" spans="1:9" ht="16.5">
      <c r="A7" s="3046" t="s">
        <v>2856</v>
      </c>
      <c r="B7" s="3046">
        <f>SUM(H14:H23)</f>
        <v>0</v>
      </c>
      <c r="C7" s="3046">
        <f t="shared" si="0"/>
        <v>0</v>
      </c>
      <c r="D7" s="3046">
        <f t="shared" si="1"/>
        <v>0</v>
      </c>
      <c r="E7" s="3047"/>
      <c r="F7" s="3047"/>
    </row>
    <row r="8" spans="1:9" ht="16.5">
      <c r="A8" s="3046" t="s">
        <v>2857</v>
      </c>
      <c r="B8" s="3046">
        <f>SUM(I14:I23)</f>
        <v>0</v>
      </c>
      <c r="C8" s="3046">
        <f t="shared" si="0"/>
        <v>0</v>
      </c>
      <c r="D8" s="3046">
        <f t="shared" si="1"/>
        <v>0</v>
      </c>
      <c r="E8" s="3047"/>
      <c r="F8" s="3047"/>
    </row>
    <row r="9" spans="1:9" ht="16.5">
      <c r="A9" s="3046" t="s">
        <v>2858</v>
      </c>
      <c r="B9" s="3049"/>
      <c r="C9" s="3047"/>
      <c r="D9" s="3047"/>
      <c r="E9" s="3047"/>
      <c r="F9" s="3047"/>
    </row>
    <row r="10" spans="1:9" ht="16.5">
      <c r="A10" s="3046" t="s">
        <v>2859</v>
      </c>
      <c r="B10" s="3049"/>
      <c r="C10" s="3047"/>
      <c r="D10" s="3047"/>
      <c r="E10" s="3047"/>
      <c r="F10" s="3047"/>
    </row>
    <row r="11" spans="1:9" ht="16.5">
      <c r="A11" s="3046" t="s">
        <v>2876</v>
      </c>
      <c r="B11" s="3049"/>
      <c r="C11" s="3047"/>
      <c r="D11" s="3047"/>
      <c r="E11" s="3047"/>
      <c r="F11" s="3047"/>
    </row>
    <row r="12" spans="1:9" ht="16.5">
      <c r="A12" s="3047"/>
      <c r="B12" s="3047"/>
      <c r="C12" s="3047"/>
      <c r="D12" s="3047"/>
      <c r="E12" s="3047"/>
      <c r="F12" s="3047"/>
    </row>
    <row r="13" spans="1:9" ht="33">
      <c r="A13" s="3052" t="s">
        <v>2875</v>
      </c>
      <c r="B13" s="3050" t="s">
        <v>2847</v>
      </c>
      <c r="C13" s="3050" t="s">
        <v>2848</v>
      </c>
      <c r="D13" s="3050" t="s">
        <v>2860</v>
      </c>
      <c r="E13" s="3046" t="s">
        <v>2874</v>
      </c>
      <c r="F13" s="3046" t="s">
        <v>2853</v>
      </c>
      <c r="G13" s="3050" t="s">
        <v>2861</v>
      </c>
      <c r="H13" s="3050" t="s">
        <v>2862</v>
      </c>
      <c r="I13" s="3050" t="s">
        <v>2863</v>
      </c>
    </row>
    <row r="14" spans="1:9" ht="16.5">
      <c r="A14" s="3053" t="s">
        <v>2873</v>
      </c>
      <c r="B14" s="3050">
        <f>结果表!L38</f>
        <v>171863.99999999997</v>
      </c>
      <c r="C14" s="3050">
        <f>结果表!K38</f>
        <v>17105.2</v>
      </c>
      <c r="D14" s="3050">
        <f ca="1">结果表!C42</f>
        <v>120453</v>
      </c>
      <c r="E14" s="3050">
        <f ca="1">ROUND(D14*10000/B14,0)</f>
        <v>7009</v>
      </c>
      <c r="F14" s="3050">
        <f ca="1">ROUND(D14*10000/C14,0)</f>
        <v>70419</v>
      </c>
      <c r="G14" s="3050">
        <f ca="1">结果表!C44</f>
        <v>120453</v>
      </c>
      <c r="H14" s="3050" t="str">
        <f>结果表!C45</f>
        <v>——</v>
      </c>
      <c r="I14" s="3050" t="str">
        <f>结果表!C46</f>
        <v>——</v>
      </c>
    </row>
    <row r="15" spans="1:9" ht="16.5">
      <c r="A15" s="3053" t="s">
        <v>2864</v>
      </c>
      <c r="B15" s="3054"/>
      <c r="C15" s="3054"/>
      <c r="D15" s="3054"/>
      <c r="E15" s="3050" t="e">
        <f t="shared" ref="E15:E23" si="2">ROUND(D15*10000/B15,0)</f>
        <v>#DIV/0!</v>
      </c>
      <c r="F15" s="3050" t="e">
        <f t="shared" ref="F15:F23" si="3">ROUND(D15*10000/C15,0)</f>
        <v>#DIV/0!</v>
      </c>
      <c r="G15" s="3051"/>
      <c r="H15" s="3051"/>
      <c r="I15" s="3054"/>
    </row>
    <row r="16" spans="1:9" ht="16.5">
      <c r="A16" s="3053" t="s">
        <v>2865</v>
      </c>
      <c r="B16" s="3054"/>
      <c r="C16" s="3054"/>
      <c r="D16" s="3054"/>
      <c r="E16" s="3050" t="e">
        <f t="shared" si="2"/>
        <v>#DIV/0!</v>
      </c>
      <c r="F16" s="3050" t="e">
        <f t="shared" si="3"/>
        <v>#DIV/0!</v>
      </c>
      <c r="G16" s="3051"/>
      <c r="H16" s="3051"/>
      <c r="I16" s="3054"/>
    </row>
    <row r="17" spans="1:9" ht="16.5">
      <c r="A17" s="3053" t="s">
        <v>2866</v>
      </c>
      <c r="B17" s="3054"/>
      <c r="C17" s="3054"/>
      <c r="D17" s="3054"/>
      <c r="E17" s="3050" t="e">
        <f t="shared" si="2"/>
        <v>#DIV/0!</v>
      </c>
      <c r="F17" s="3050" t="e">
        <f t="shared" si="3"/>
        <v>#DIV/0!</v>
      </c>
      <c r="G17" s="3051"/>
      <c r="H17" s="3051"/>
      <c r="I17" s="3054"/>
    </row>
    <row r="18" spans="1:9" ht="16.5">
      <c r="A18" s="3053" t="s">
        <v>2867</v>
      </c>
      <c r="B18" s="3054"/>
      <c r="C18" s="3054"/>
      <c r="D18" s="3054"/>
      <c r="E18" s="3050" t="e">
        <f t="shared" si="2"/>
        <v>#DIV/0!</v>
      </c>
      <c r="F18" s="3050" t="e">
        <f t="shared" si="3"/>
        <v>#DIV/0!</v>
      </c>
      <c r="G18" s="3054"/>
      <c r="H18" s="3054"/>
      <c r="I18" s="3054"/>
    </row>
    <row r="19" spans="1:9" ht="16.5">
      <c r="A19" s="3053" t="s">
        <v>2868</v>
      </c>
      <c r="B19" s="3054"/>
      <c r="C19" s="3054"/>
      <c r="D19" s="3054"/>
      <c r="E19" s="3050" t="e">
        <f t="shared" si="2"/>
        <v>#DIV/0!</v>
      </c>
      <c r="F19" s="3050" t="e">
        <f t="shared" si="3"/>
        <v>#DIV/0!</v>
      </c>
      <c r="G19" s="3054"/>
      <c r="H19" s="3054"/>
      <c r="I19" s="3054"/>
    </row>
    <row r="20" spans="1:9" ht="16.5">
      <c r="A20" s="3053" t="s">
        <v>2869</v>
      </c>
      <c r="B20" s="3054"/>
      <c r="C20" s="3054"/>
      <c r="D20" s="3054"/>
      <c r="E20" s="3050" t="e">
        <f t="shared" si="2"/>
        <v>#DIV/0!</v>
      </c>
      <c r="F20" s="3050" t="e">
        <f t="shared" si="3"/>
        <v>#DIV/0!</v>
      </c>
      <c r="G20" s="3054"/>
      <c r="H20" s="3054"/>
      <c r="I20" s="3054"/>
    </row>
    <row r="21" spans="1:9" ht="16.5">
      <c r="A21" s="3053" t="s">
        <v>2870</v>
      </c>
      <c r="B21" s="3054"/>
      <c r="C21" s="3054"/>
      <c r="D21" s="3054"/>
      <c r="E21" s="3050" t="e">
        <f t="shared" si="2"/>
        <v>#DIV/0!</v>
      </c>
      <c r="F21" s="3050" t="e">
        <f t="shared" si="3"/>
        <v>#DIV/0!</v>
      </c>
      <c r="G21" s="3054"/>
      <c r="H21" s="3054"/>
      <c r="I21" s="3054"/>
    </row>
    <row r="22" spans="1:9" ht="16.5">
      <c r="A22" s="3053" t="s">
        <v>2871</v>
      </c>
      <c r="B22" s="3054"/>
      <c r="C22" s="3054"/>
      <c r="D22" s="3054"/>
      <c r="E22" s="3050" t="e">
        <f t="shared" si="2"/>
        <v>#DIV/0!</v>
      </c>
      <c r="F22" s="3050" t="e">
        <f t="shared" si="3"/>
        <v>#DIV/0!</v>
      </c>
      <c r="G22" s="3054"/>
      <c r="H22" s="3054"/>
      <c r="I22" s="3054"/>
    </row>
    <row r="23" spans="1:9" ht="16.5">
      <c r="A23" s="3053" t="s">
        <v>2872</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5" sqref="I25"/>
    </sheetView>
  </sheetViews>
  <sheetFormatPr defaultColWidth="12.625" defaultRowHeight="21.75" customHeight="1"/>
  <cols>
    <col min="1" max="2" width="12.75" style="1250" bestFit="1" customWidth="1"/>
    <col min="3" max="4" width="12.625" style="1250" customWidth="1"/>
    <col min="5" max="9" width="12.75" style="1250" bestFit="1" customWidth="1"/>
    <col min="10" max="10" width="11.37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2058</v>
      </c>
      <c r="B1" s="1777"/>
      <c r="C1" s="1805" t="s">
        <v>2059</v>
      </c>
      <c r="D1" s="1806" t="s">
        <v>3130</v>
      </c>
      <c r="E1" s="1805" t="s">
        <v>2060</v>
      </c>
      <c r="F1" s="1807" t="s">
        <v>3131</v>
      </c>
      <c r="G1" s="311"/>
      <c r="H1" s="311"/>
      <c r="I1" s="311"/>
      <c r="J1" s="2029"/>
      <c r="K1" s="2029"/>
      <c r="L1" s="2029"/>
      <c r="M1" s="2029"/>
      <c r="N1" s="2029"/>
      <c r="O1" s="2029"/>
      <c r="P1" s="2029"/>
      <c r="Q1" s="2029"/>
      <c r="R1" s="2029"/>
      <c r="S1" s="2029"/>
      <c r="T1" s="2029"/>
      <c r="U1" s="2029"/>
      <c r="V1" s="2029"/>
    </row>
    <row r="2" spans="1:22" ht="21.75" customHeight="1" thickBot="1">
      <c r="A2" s="3395" t="str">
        <f>项目基本情况!K2</f>
        <v>出让国有建设用地使用权</v>
      </c>
      <c r="B2" s="3396"/>
      <c r="C2" s="3397"/>
      <c r="D2" s="3397"/>
      <c r="E2" s="3397"/>
      <c r="F2" s="3397"/>
      <c r="G2" s="3396"/>
      <c r="H2" s="3396"/>
      <c r="I2" s="3398"/>
      <c r="J2" s="2030"/>
      <c r="K2" s="2029"/>
      <c r="L2" s="2029"/>
      <c r="M2" s="2029"/>
      <c r="N2" s="2029"/>
      <c r="O2" s="2029"/>
      <c r="P2" s="2029"/>
      <c r="Q2" s="2029"/>
      <c r="R2" s="2029"/>
      <c r="S2" s="2029"/>
      <c r="T2" s="2029"/>
      <c r="U2" s="2029"/>
      <c r="V2" s="2029"/>
    </row>
    <row r="3" spans="1:22" ht="14.25">
      <c r="A3" s="3388" t="s">
        <v>298</v>
      </c>
      <c r="B3" s="3389"/>
      <c r="C3" s="3389"/>
      <c r="D3" s="3389"/>
      <c r="E3" s="3389"/>
      <c r="F3" s="3389"/>
      <c r="G3" s="3389"/>
      <c r="H3" s="3389"/>
      <c r="I3" s="3389"/>
      <c r="J3" s="2030"/>
      <c r="K3" s="2029"/>
      <c r="L3" s="2029"/>
      <c r="M3" s="2029"/>
      <c r="N3" s="2029"/>
      <c r="O3" s="2029"/>
      <c r="P3" s="2029"/>
      <c r="Q3" s="2029"/>
      <c r="R3" s="2029"/>
      <c r="S3" s="2029"/>
      <c r="T3" s="2029"/>
      <c r="U3" s="2029"/>
      <c r="V3" s="2029"/>
    </row>
    <row r="4" spans="1:22" ht="14.25">
      <c r="A4" s="258" t="s">
        <v>299</v>
      </c>
      <c r="B4" s="259" t="s">
        <v>300</v>
      </c>
      <c r="C4" s="260" t="s">
        <v>3103</v>
      </c>
      <c r="D4" s="260" t="s">
        <v>3102</v>
      </c>
      <c r="E4" s="3360" t="s">
        <v>301</v>
      </c>
      <c r="F4" s="3361"/>
      <c r="G4" s="3361"/>
      <c r="H4" s="3361"/>
      <c r="I4" s="3390"/>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59" t="s">
        <v>302</v>
      </c>
      <c r="B5" s="3385">
        <v>25</v>
      </c>
      <c r="C5" s="3383"/>
      <c r="D5" s="3387"/>
      <c r="E5" s="261" t="s">
        <v>303</v>
      </c>
      <c r="F5" s="262"/>
      <c r="G5" s="262"/>
      <c r="H5" s="262"/>
      <c r="I5" s="263"/>
      <c r="J5" s="2030"/>
      <c r="K5" s="2029"/>
      <c r="L5" s="2029"/>
      <c r="M5" s="2029"/>
      <c r="N5" s="2029"/>
      <c r="O5" s="2029"/>
      <c r="P5" s="2029"/>
      <c r="Q5" s="2029"/>
      <c r="R5" s="2029"/>
      <c r="S5" s="2029"/>
      <c r="T5" s="2029"/>
      <c r="U5" s="2029"/>
      <c r="V5" s="2029"/>
    </row>
    <row r="6" spans="1:22" ht="14.25">
      <c r="A6" s="3359"/>
      <c r="B6" s="3385"/>
      <c r="C6" s="3386"/>
      <c r="D6" s="3387"/>
      <c r="E6" s="261" t="s">
        <v>304</v>
      </c>
      <c r="F6" s="262"/>
      <c r="G6" s="262"/>
      <c r="H6" s="262"/>
      <c r="I6" s="263"/>
      <c r="J6" s="2030"/>
      <c r="K6" s="2029"/>
      <c r="L6" s="2029"/>
      <c r="M6" s="2029"/>
      <c r="N6" s="2029"/>
      <c r="O6" s="2029"/>
      <c r="P6" s="2029"/>
      <c r="Q6" s="2029"/>
      <c r="R6" s="2029"/>
      <c r="S6" s="2029"/>
      <c r="T6" s="2029"/>
      <c r="U6" s="2029"/>
      <c r="V6" s="2029"/>
    </row>
    <row r="7" spans="1:22" ht="14.25">
      <c r="A7" s="3359"/>
      <c r="B7" s="3385"/>
      <c r="C7" s="3384"/>
      <c r="D7" s="3387"/>
      <c r="E7" s="261" t="s">
        <v>305</v>
      </c>
      <c r="F7" s="262"/>
      <c r="G7" s="262"/>
      <c r="H7" s="262"/>
      <c r="I7" s="263"/>
      <c r="J7" s="2030"/>
      <c r="K7" s="2029"/>
      <c r="L7" s="2029"/>
      <c r="M7" s="2029"/>
      <c r="N7" s="2029"/>
      <c r="O7" s="2029"/>
      <c r="P7" s="2029"/>
      <c r="Q7" s="2029"/>
      <c r="R7" s="2029"/>
      <c r="S7" s="2029"/>
      <c r="T7" s="2029"/>
      <c r="U7" s="2029"/>
      <c r="V7" s="2029"/>
    </row>
    <row r="8" spans="1:22" ht="14.25">
      <c r="A8" s="3359" t="s">
        <v>306</v>
      </c>
      <c r="B8" s="3385">
        <v>15</v>
      </c>
      <c r="C8" s="3383"/>
      <c r="D8" s="3387"/>
      <c r="E8" s="261" t="s">
        <v>307</v>
      </c>
      <c r="F8" s="262"/>
      <c r="G8" s="262"/>
      <c r="H8" s="262"/>
      <c r="I8" s="263"/>
      <c r="J8" s="2030"/>
      <c r="K8" s="2029"/>
      <c r="L8" s="2029"/>
      <c r="M8" s="2029"/>
      <c r="N8" s="2029"/>
      <c r="O8" s="2029"/>
      <c r="P8" s="2029"/>
      <c r="Q8" s="2029"/>
      <c r="R8" s="2029"/>
      <c r="S8" s="2029"/>
      <c r="T8" s="2029"/>
      <c r="U8" s="2029"/>
      <c r="V8" s="2029"/>
    </row>
    <row r="9" spans="1:22" ht="14.25">
      <c r="A9" s="3359"/>
      <c r="B9" s="3385"/>
      <c r="C9" s="3384"/>
      <c r="D9" s="3387"/>
      <c r="E9" s="261" t="s">
        <v>308</v>
      </c>
      <c r="F9" s="262"/>
      <c r="G9" s="262"/>
      <c r="H9" s="262"/>
      <c r="I9" s="263"/>
      <c r="J9" s="2030"/>
      <c r="K9" s="2029"/>
      <c r="L9" s="2029"/>
      <c r="M9" s="2029"/>
      <c r="N9" s="2029"/>
      <c r="O9" s="2029"/>
      <c r="P9" s="2029"/>
      <c r="Q9" s="2029"/>
      <c r="R9" s="2029"/>
      <c r="S9" s="2029"/>
      <c r="T9" s="2029"/>
      <c r="U9" s="2029"/>
      <c r="V9" s="2029"/>
    </row>
    <row r="10" spans="1:22" ht="14.25">
      <c r="A10" s="3359" t="s">
        <v>309</v>
      </c>
      <c r="B10" s="3385">
        <v>15</v>
      </c>
      <c r="C10" s="3383"/>
      <c r="D10" s="3387"/>
      <c r="E10" s="261" t="s">
        <v>310</v>
      </c>
      <c r="F10" s="262"/>
      <c r="G10" s="262"/>
      <c r="H10" s="262"/>
      <c r="I10" s="263"/>
      <c r="J10" s="2030"/>
      <c r="K10" s="2029"/>
      <c r="L10" s="2029"/>
      <c r="M10" s="2029"/>
      <c r="N10" s="2029"/>
      <c r="O10" s="2029"/>
      <c r="P10" s="2029"/>
      <c r="Q10" s="2029"/>
      <c r="R10" s="2029"/>
      <c r="S10" s="2029"/>
      <c r="T10" s="2029"/>
      <c r="U10" s="2029"/>
      <c r="V10" s="2029"/>
    </row>
    <row r="11" spans="1:22" ht="14.25">
      <c r="A11" s="3359"/>
      <c r="B11" s="3385"/>
      <c r="C11" s="3384"/>
      <c r="D11" s="3387"/>
      <c r="E11" s="261" t="s">
        <v>311</v>
      </c>
      <c r="F11" s="262"/>
      <c r="G11" s="262"/>
      <c r="H11" s="262"/>
      <c r="I11" s="263"/>
      <c r="J11" s="2030"/>
      <c r="K11" s="2029"/>
      <c r="L11" s="2029"/>
      <c r="M11" s="2029"/>
      <c r="N11" s="2029"/>
      <c r="O11" s="2029"/>
      <c r="P11" s="2029"/>
      <c r="Q11" s="2029"/>
      <c r="R11" s="2029"/>
      <c r="S11" s="2029"/>
      <c r="T11" s="2029"/>
      <c r="U11" s="2029"/>
      <c r="V11" s="2029"/>
    </row>
    <row r="12" spans="1:22" ht="14.25">
      <c r="A12" s="3359" t="s">
        <v>312</v>
      </c>
      <c r="B12" s="3385">
        <v>15</v>
      </c>
      <c r="C12" s="3383"/>
      <c r="D12" s="3387"/>
      <c r="E12" s="261" t="s">
        <v>313</v>
      </c>
      <c r="F12" s="262"/>
      <c r="G12" s="262"/>
      <c r="H12" s="262"/>
      <c r="I12" s="263"/>
      <c r="J12" s="2030"/>
      <c r="K12" s="2029"/>
      <c r="L12" s="2029"/>
      <c r="M12" s="2029"/>
      <c r="N12" s="2029"/>
      <c r="O12" s="2029"/>
      <c r="P12" s="2029"/>
      <c r="Q12" s="2029"/>
      <c r="R12" s="2029"/>
      <c r="S12" s="2029"/>
      <c r="T12" s="2029"/>
      <c r="U12" s="2029"/>
      <c r="V12" s="2029"/>
    </row>
    <row r="13" spans="1:22" ht="14.25">
      <c r="A13" s="3359"/>
      <c r="B13" s="3385"/>
      <c r="C13" s="3384"/>
      <c r="D13" s="3387"/>
      <c r="E13" s="261" t="s">
        <v>314</v>
      </c>
      <c r="F13" s="262"/>
      <c r="G13" s="262"/>
      <c r="H13" s="262"/>
      <c r="I13" s="263"/>
      <c r="J13" s="2030"/>
      <c r="K13" s="2029"/>
      <c r="L13" s="2029"/>
      <c r="M13" s="2029"/>
      <c r="N13" s="2029"/>
      <c r="O13" s="2029"/>
      <c r="P13" s="2029"/>
      <c r="Q13" s="2029"/>
      <c r="R13" s="2029"/>
      <c r="S13" s="2029"/>
      <c r="T13" s="2029"/>
      <c r="U13" s="2029"/>
      <c r="V13" s="2029"/>
    </row>
    <row r="14" spans="1:22" ht="14.25">
      <c r="A14" s="3359" t="s">
        <v>315</v>
      </c>
      <c r="B14" s="3385">
        <v>30</v>
      </c>
      <c r="C14" s="3383">
        <v>5</v>
      </c>
      <c r="D14" s="3387">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59"/>
      <c r="B15" s="3385"/>
      <c r="C15" s="3386"/>
      <c r="D15" s="3387"/>
      <c r="E15" s="261" t="s">
        <v>317</v>
      </c>
      <c r="F15" s="262"/>
      <c r="G15" s="262"/>
      <c r="H15" s="262"/>
      <c r="I15" s="263"/>
      <c r="J15" s="2030"/>
      <c r="K15" s="2029"/>
      <c r="L15" s="2029"/>
      <c r="M15" s="2029"/>
      <c r="N15" s="2029"/>
      <c r="O15" s="2029"/>
      <c r="P15" s="2029"/>
      <c r="Q15" s="2029"/>
      <c r="R15" s="2029"/>
      <c r="S15" s="2029"/>
      <c r="T15" s="2029"/>
      <c r="U15" s="2029"/>
      <c r="V15" s="2029"/>
    </row>
    <row r="16" spans="1:22" ht="14.25">
      <c r="A16" s="3359"/>
      <c r="B16" s="3385"/>
      <c r="C16" s="3384"/>
      <c r="D16" s="338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114647</v>
      </c>
      <c r="D19" s="271">
        <f ca="1">SUMIF(INDIRECT("'"&amp;D4&amp;"'"&amp;"!A:A"),结果表!B19,INDIRECT("'"&amp;D4&amp;"'"&amp;"!B:B"))</f>
        <v>126258</v>
      </c>
      <c r="E19" s="268" t="s">
        <v>323</v>
      </c>
      <c r="F19" s="269" t="s">
        <v>322</v>
      </c>
      <c r="G19" s="272">
        <f ca="1">ROUND(C19*$C$18+D19*$D$18,0)</f>
        <v>120453</v>
      </c>
      <c r="H19" s="273" t="s">
        <v>324</v>
      </c>
      <c r="I19" s="311"/>
      <c r="J19" s="2029">
        <f ca="1">G19/'数据-汇总表'!F27</f>
        <v>1.037296980761613</v>
      </c>
      <c r="K19" s="2029">
        <f ca="1">G19/'剩余法-待开发'!C6</f>
        <v>0.45625790713706715</v>
      </c>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6671</v>
      </c>
      <c r="D20" s="277">
        <f ca="1">SUMIF(INDIRECT("'"&amp;D4&amp;"'"&amp;"!A:A"),结果表!B20,INDIRECT("'"&amp;D4&amp;"'"&amp;"!B:B"))</f>
        <v>7346</v>
      </c>
      <c r="E20" s="274"/>
      <c r="F20" s="275" t="s">
        <v>325</v>
      </c>
      <c r="G20" s="278">
        <f ca="1">ROUND(C20*$C$18+D20*$D$18,0)</f>
        <v>7009</v>
      </c>
      <c r="H20" s="279" t="s">
        <v>326</v>
      </c>
      <c r="I20" s="311"/>
      <c r="J20" s="2029">
        <f ca="1">C19/'数据-汇总表'!F27</f>
        <v>0.98729784192487235</v>
      </c>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67025</v>
      </c>
      <c r="D21" s="151">
        <f ca="1">SUMIF(INDIRECT("'"&amp;D4&amp;"'"&amp;"!A:A"),结果表!B21,INDIRECT("'"&amp;D4&amp;"'"&amp;"!B:B"))</f>
        <v>73813</v>
      </c>
      <c r="E21" s="274"/>
      <c r="F21" s="280" t="s">
        <v>327</v>
      </c>
      <c r="G21" s="282">
        <f ca="1">ROUND(C21*$C$18+D21*$D$18,0)</f>
        <v>70419</v>
      </c>
      <c r="H21" s="1251" t="s">
        <v>326</v>
      </c>
      <c r="I21" s="311"/>
      <c r="J21" s="2029">
        <f ca="1">D19/'数据-汇总表'!F27</f>
        <v>1.0872875079657605</v>
      </c>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0.10127609095746082</v>
      </c>
      <c r="E22" s="284"/>
      <c r="F22" s="285"/>
      <c r="G22" s="286">
        <f ca="1">ROUND(G19/('数据-汇总表'!D3/666.67),0)</f>
        <v>4695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6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66"/>
      <c r="B25" s="1321" t="s">
        <v>331</v>
      </c>
      <c r="C25" s="290">
        <f>IF(B30=0,0,C30)</f>
        <v>0</v>
      </c>
      <c r="D25" s="291"/>
      <c r="E25" s="311"/>
      <c r="F25" s="311"/>
      <c r="G25" s="311"/>
      <c r="H25" s="311"/>
      <c r="I25" s="311"/>
      <c r="J25" s="2029"/>
      <c r="K25" s="1255" t="str">
        <f ca="1">项目基本情况!B16&amp;"国有建设用地使用权价格："&amp;O38&amp;"万元"</f>
        <v>出让国有建设用地使用权价格：120453万元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大写金额：人民币壹拾贰亿零肆佰伍拾叁万元整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单位面积地价：70419元/平方米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楼面地价：7009元/平方米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抵押价格：120453万元</v>
      </c>
      <c r="L29" s="1252"/>
      <c r="M29" s="1252"/>
      <c r="N29" s="1252"/>
      <c r="O29" s="1251"/>
      <c r="P29" s="2029"/>
      <c r="V29" s="2029"/>
    </row>
    <row r="30" spans="1:26" ht="18.75" thickBot="1">
      <c r="A30" s="3131" t="s">
        <v>336</v>
      </c>
      <c r="B30" s="309"/>
      <c r="C30" s="309"/>
      <c r="D30" s="310"/>
      <c r="E30" s="3132" t="s">
        <v>2975</v>
      </c>
      <c r="F30" s="311"/>
      <c r="G30" s="311"/>
      <c r="H30" s="311"/>
      <c r="I30" s="311"/>
      <c r="J30" s="2029"/>
      <c r="K30" s="1258" t="str">
        <f ca="1">IF(K29="——","——","大写金额：人民币"&amp;NUMBERSTRING(INT(O39*10000),2)&amp;"元整")</f>
        <v>大写金额：人民币壹拾贰亿零肆佰伍拾叁万元整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1689</v>
      </c>
      <c r="C32" s="1382">
        <f ca="1">G19-C24</f>
        <v>120453</v>
      </c>
      <c r="D32" s="1383"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1691</v>
      </c>
      <c r="C33" s="264">
        <f ca="1">ROUND(C32*10000/'数据-汇总表'!E3,0)</f>
        <v>7009</v>
      </c>
      <c r="D33" s="1385" t="s">
        <v>1692</v>
      </c>
      <c r="E33" s="3365"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6" t="s">
        <v>1693</v>
      </c>
      <c r="C34" s="264">
        <f ca="1">ROUND(C32*10000/'数据-汇总表'!D3,0)</f>
        <v>70419</v>
      </c>
      <c r="D34" s="1387" t="s">
        <v>1692</v>
      </c>
      <c r="E34" s="3406"/>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4695</v>
      </c>
      <c r="D35" s="1390" t="s">
        <v>1694</v>
      </c>
      <c r="E35" s="3407"/>
      <c r="F35" s="301" t="s">
        <v>342</v>
      </c>
      <c r="G35" s="982"/>
      <c r="H35" s="981" t="s">
        <v>343</v>
      </c>
      <c r="I35" s="311"/>
      <c r="J35" s="2029"/>
      <c r="K35" s="3380" t="s">
        <v>350</v>
      </c>
      <c r="L35" s="3380" t="s">
        <v>351</v>
      </c>
      <c r="M35" s="1264" t="s">
        <v>352</v>
      </c>
      <c r="N35" s="3380" t="s">
        <v>353</v>
      </c>
      <c r="O35" s="3380" t="s">
        <v>354</v>
      </c>
      <c r="P35" s="2029"/>
      <c r="V35" s="2029"/>
    </row>
    <row r="36" spans="1:26" ht="16.5" customHeight="1">
      <c r="A36" s="303" t="s">
        <v>344</v>
      </c>
      <c r="B36" s="304" t="s">
        <v>333</v>
      </c>
      <c r="C36" s="305" t="s">
        <v>345</v>
      </c>
      <c r="D36" s="305" t="s">
        <v>346</v>
      </c>
      <c r="E36" s="306" t="s">
        <v>347</v>
      </c>
      <c r="F36" s="311"/>
      <c r="G36" s="311"/>
      <c r="H36" s="311"/>
      <c r="I36" s="311"/>
      <c r="J36" s="2031"/>
      <c r="K36" s="3381"/>
      <c r="L36" s="3381"/>
      <c r="M36" s="1266" t="s">
        <v>355</v>
      </c>
      <c r="N36" s="3381"/>
      <c r="O36" s="3381"/>
      <c r="P36" s="2029"/>
      <c r="V36" s="2029"/>
    </row>
    <row r="37" spans="1:26" ht="16.5" customHeight="1" thickBot="1">
      <c r="A37" s="1260" t="s">
        <v>348</v>
      </c>
      <c r="B37" s="307"/>
      <c r="C37" s="294"/>
      <c r="D37" s="294"/>
      <c r="E37" s="295"/>
      <c r="F37" s="311"/>
      <c r="G37" s="311"/>
      <c r="H37" s="311"/>
      <c r="I37" s="311"/>
      <c r="J37" s="2031"/>
      <c r="K37" s="3382"/>
      <c r="L37" s="3382"/>
      <c r="M37" s="1267"/>
      <c r="N37" s="3382"/>
      <c r="O37" s="3382"/>
      <c r="P37" s="2029"/>
      <c r="V37" s="2029"/>
    </row>
    <row r="38" spans="1:26" ht="16.5" customHeight="1" thickBot="1">
      <c r="A38" s="1260" t="s">
        <v>349</v>
      </c>
      <c r="B38" s="307"/>
      <c r="C38" s="294"/>
      <c r="D38" s="294"/>
      <c r="E38" s="295"/>
      <c r="F38" s="311"/>
      <c r="G38" s="311"/>
      <c r="H38" s="311"/>
      <c r="I38" s="311"/>
      <c r="J38" s="2031"/>
      <c r="K38" s="1268">
        <f>'数据-汇总表'!D3</f>
        <v>17105.2</v>
      </c>
      <c r="L38" s="1269">
        <f>'数据-汇总表'!E3</f>
        <v>171863.99999999997</v>
      </c>
      <c r="M38" s="1269">
        <f ca="1">C34</f>
        <v>70419</v>
      </c>
      <c r="N38" s="1269">
        <f ca="1">C33</f>
        <v>7009</v>
      </c>
      <c r="O38" s="1270">
        <f ca="1">C32</f>
        <v>120453</v>
      </c>
      <c r="P38" s="2029"/>
      <c r="V38" s="2029"/>
    </row>
    <row r="39" spans="1:26" ht="16.5" customHeight="1" thickBot="1">
      <c r="A39" s="1265"/>
      <c r="B39" s="308"/>
      <c r="C39" s="309"/>
      <c r="D39" s="309"/>
      <c r="E39" s="310"/>
      <c r="F39" s="311"/>
      <c r="G39" s="311"/>
      <c r="H39" s="311"/>
      <c r="I39" s="311"/>
      <c r="J39" s="2031"/>
      <c r="K39" s="3425" t="str">
        <f>MID(A44,3,LEN(A44)-2)</f>
        <v>抵押价格</v>
      </c>
      <c r="L39" s="3426"/>
      <c r="M39" s="3426"/>
      <c r="N39" s="3427"/>
      <c r="O39" s="1392">
        <f ca="1">C44</f>
        <v>120453</v>
      </c>
      <c r="P39" s="2029"/>
      <c r="V39" s="2029"/>
    </row>
    <row r="40" spans="1:26" ht="19.5" thickBot="1">
      <c r="A40" s="104" t="s">
        <v>873</v>
      </c>
      <c r="B40" s="311"/>
      <c r="C40" s="311"/>
      <c r="D40" s="311"/>
      <c r="E40" s="311"/>
      <c r="F40" s="311"/>
      <c r="G40" s="311"/>
      <c r="H40" s="311"/>
      <c r="I40" s="311"/>
      <c r="J40" s="2031"/>
      <c r="K40" s="3425" t="str">
        <f t="shared" ref="K40:K41" si="0">MID(A45,3,LEN(A45)-2)</f>
        <v/>
      </c>
      <c r="L40" s="3426"/>
      <c r="M40" s="3426"/>
      <c r="N40" s="3427"/>
      <c r="O40" s="1392" t="str">
        <f>C45</f>
        <v>——</v>
      </c>
      <c r="P40" s="2029"/>
      <c r="V40" s="2029"/>
    </row>
    <row r="41" spans="1:26" ht="16.5" thickBot="1">
      <c r="A41" s="312" t="s">
        <v>356</v>
      </c>
      <c r="B41" s="313"/>
      <c r="C41" s="314" t="s">
        <v>357</v>
      </c>
      <c r="D41" s="315" t="s">
        <v>358</v>
      </c>
      <c r="E41" s="315" t="s">
        <v>359</v>
      </c>
      <c r="F41" s="316" t="s">
        <v>360</v>
      </c>
      <c r="G41" s="311"/>
      <c r="H41" s="311"/>
      <c r="I41" s="311"/>
      <c r="J41" s="2031"/>
      <c r="K41" s="3425" t="str">
        <f t="shared" si="0"/>
        <v/>
      </c>
      <c r="L41" s="3426"/>
      <c r="M41" s="3426"/>
      <c r="N41" s="3427"/>
      <c r="O41" s="1392" t="str">
        <f>C46</f>
        <v>——</v>
      </c>
      <c r="P41" s="2029"/>
      <c r="V41" s="2029"/>
    </row>
    <row r="42" spans="1:26" ht="29.25">
      <c r="A42" s="3367" t="s">
        <v>2070</v>
      </c>
      <c r="B42" s="3368"/>
      <c r="C42" s="264">
        <f ca="1">C32</f>
        <v>120453</v>
      </c>
      <c r="D42" s="317">
        <f ca="1">C33</f>
        <v>7009</v>
      </c>
      <c r="E42" s="317">
        <f ca="1">C34</f>
        <v>70419</v>
      </c>
      <c r="F42" s="318">
        <f ca="1">C35</f>
        <v>4695</v>
      </c>
      <c r="G42" s="311"/>
      <c r="H42" s="311"/>
      <c r="I42" s="319"/>
      <c r="J42" s="2031"/>
      <c r="K42" s="1271" t="s">
        <v>361</v>
      </c>
      <c r="L42" s="2048" t="s">
        <v>362</v>
      </c>
      <c r="M42" s="1272" t="s">
        <v>363</v>
      </c>
      <c r="N42" s="2049" t="s">
        <v>364</v>
      </c>
      <c r="O42" s="2050" t="s">
        <v>365</v>
      </c>
      <c r="P42" s="2029"/>
      <c r="V42" s="2029"/>
    </row>
    <row r="43" spans="1:26" ht="30">
      <c r="A43" s="3378" t="s">
        <v>2733</v>
      </c>
      <c r="B43" s="3379"/>
      <c r="C43" s="264">
        <f>IF(H33="正常操作",G33+G34+G35,G34+G35)</f>
        <v>0</v>
      </c>
      <c r="D43" s="317" t="s">
        <v>43</v>
      </c>
      <c r="E43" s="317" t="s">
        <v>44</v>
      </c>
      <c r="F43" s="318" t="s">
        <v>44</v>
      </c>
      <c r="G43" s="2867" t="s">
        <v>952</v>
      </c>
      <c r="H43" s="311"/>
      <c r="I43" s="319"/>
      <c r="J43" s="2031"/>
      <c r="K43" s="1273" t="str">
        <f>C4</f>
        <v>比较法-住宅、综合</v>
      </c>
      <c r="L43" s="1274">
        <f ca="1">IF(L42="估价结果/万元",C19,C20)</f>
        <v>114647</v>
      </c>
      <c r="M43" s="1275">
        <f>C18</f>
        <v>0.5</v>
      </c>
      <c r="N43" s="1276">
        <f ca="1">IF(N42="测算结果/万元",G19,G20)</f>
        <v>120453</v>
      </c>
      <c r="O43" s="1277">
        <f ca="1">IF(O42="最终结果/万元",C32,C33)</f>
        <v>120453</v>
      </c>
      <c r="P43" s="2029"/>
      <c r="V43" s="2029"/>
    </row>
    <row r="44" spans="1:26" ht="30.75" thickBot="1">
      <c r="A44" s="3367" t="str">
        <f>IF(OR(项目基本情况!E8="抵押价格",项目基本情况!E8="已注销及未注销"),"3.抵押价格","——")</f>
        <v>3.抵押价格</v>
      </c>
      <c r="B44" s="3368"/>
      <c r="C44" s="264">
        <f ca="1">IF(A44="——","——",C42-C43)</f>
        <v>120453</v>
      </c>
      <c r="D44" s="317">
        <f ca="1">ROUND(C44*10000/'数据-汇总表'!E3,0)</f>
        <v>7009</v>
      </c>
      <c r="E44" s="317">
        <f ca="1">ROUND(C44*10000/'数据-汇总表'!D3,0)</f>
        <v>70419</v>
      </c>
      <c r="F44" s="318">
        <f ca="1">ROUND(C44/('数据-汇总表'!D3/666.67),0)</f>
        <v>4695</v>
      </c>
      <c r="G44" s="311"/>
      <c r="H44" s="311"/>
      <c r="I44" s="319"/>
      <c r="J44" s="2031"/>
      <c r="K44" s="1278" t="str">
        <f>D4</f>
        <v>剩余法-待开发</v>
      </c>
      <c r="L44" s="1279">
        <f ca="1">IF(L42="估价结果/万元",D19,D20)</f>
        <v>126258</v>
      </c>
      <c r="M44" s="1280">
        <f>D18</f>
        <v>0.5</v>
      </c>
      <c r="N44" s="1281"/>
      <c r="O44" s="1282"/>
      <c r="P44" s="2029"/>
      <c r="V44" s="2029"/>
    </row>
    <row r="45" spans="1:26" ht="15">
      <c r="A45" s="3373" t="str">
        <f>IF(项目基本情况!E8="已注销及未注销","4.抵押担保权已注销时的抵押价格",IF(项目基本情况!E8="已注销","3.抵押担保权已注销时的抵押价格","——"))</f>
        <v>——</v>
      </c>
      <c r="B45" s="337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69" t="str">
        <f>IF(项目基本情况!E9="抵押净值",IF(A45="——","4.抵押净值","5.抵押净值"),"——")</f>
        <v>——</v>
      </c>
      <c r="B46" s="337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414" t="s">
        <v>374</v>
      </c>
      <c r="B63" s="3415"/>
      <c r="C63" s="3416"/>
      <c r="D63" s="341">
        <f ca="1">ROUND(C42*F63,0)</f>
        <v>72272</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75" t="s">
        <v>378</v>
      </c>
      <c r="B64" s="3376"/>
      <c r="C64" s="3376"/>
      <c r="D64" s="3376"/>
      <c r="E64" s="3376"/>
      <c r="F64" s="3376"/>
      <c r="G64" s="3377"/>
      <c r="H64" s="1288"/>
      <c r="I64" s="948"/>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71" t="s">
        <v>386</v>
      </c>
      <c r="B66" s="3372"/>
      <c r="C66" s="3372"/>
      <c r="D66" s="261">
        <f ca="1">IF(H66="情况1",0,IF(H66="情况2",D70,IF(H66="情况3",D71,IF(H66="情况4",D72))))</f>
        <v>3855</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429" t="s">
        <v>385</v>
      </c>
      <c r="M66" s="3430"/>
      <c r="N66" s="2459"/>
      <c r="O66" s="2460"/>
      <c r="P66" s="2461"/>
      <c r="Q66" s="2029"/>
      <c r="R66" s="2029"/>
      <c r="S66" s="2029"/>
      <c r="T66" s="2029"/>
      <c r="U66" s="2029"/>
      <c r="V66" s="2029"/>
    </row>
    <row r="67" spans="1:22" ht="25.5" customHeight="1">
      <c r="A67" s="352" t="s">
        <v>390</v>
      </c>
      <c r="B67" s="3362" t="s">
        <v>391</v>
      </c>
      <c r="C67" s="3362"/>
      <c r="D67" s="353">
        <v>0</v>
      </c>
      <c r="E67" s="41" t="s">
        <v>392</v>
      </c>
      <c r="F67" s="62" t="s">
        <v>21</v>
      </c>
      <c r="G67" s="3417"/>
      <c r="H67" s="311"/>
      <c r="I67" s="1292"/>
      <c r="J67" s="2036"/>
      <c r="K67" s="1977">
        <v>2</v>
      </c>
      <c r="L67" s="3428" t="s">
        <v>389</v>
      </c>
      <c r="M67" s="3428"/>
      <c r="N67" s="1325">
        <f>'数据-取费表'!B2</f>
        <v>43383</v>
      </c>
      <c r="O67" s="1325"/>
      <c r="P67" s="1325"/>
      <c r="Q67" s="2029"/>
      <c r="R67" s="2029"/>
      <c r="S67" s="2029"/>
      <c r="T67" s="2029"/>
      <c r="U67" s="2029"/>
      <c r="V67" s="2029"/>
    </row>
    <row r="68" spans="1:22" ht="25.5" customHeight="1">
      <c r="A68" s="354"/>
      <c r="B68" s="3362" t="s">
        <v>394</v>
      </c>
      <c r="C68" s="3362"/>
      <c r="D68" s="355"/>
      <c r="E68" s="77"/>
      <c r="F68" s="356"/>
      <c r="G68" s="3418"/>
      <c r="H68" s="311"/>
      <c r="I68" s="1292"/>
      <c r="J68" s="2036"/>
      <c r="K68" s="1977">
        <v>3</v>
      </c>
      <c r="L68" s="3428" t="s">
        <v>393</v>
      </c>
      <c r="M68" s="3428"/>
      <c r="N68" s="1293">
        <f ca="1">C42</f>
        <v>120453</v>
      </c>
      <c r="O68" s="1293"/>
      <c r="P68" s="1293"/>
      <c r="Q68" s="2029"/>
      <c r="R68" s="2029"/>
      <c r="S68" s="2029"/>
      <c r="T68" s="2029"/>
      <c r="U68" s="2029"/>
      <c r="V68" s="2029"/>
    </row>
    <row r="69" spans="1:22" ht="12" customHeight="1">
      <c r="A69" s="357"/>
      <c r="B69" s="3362" t="s">
        <v>395</v>
      </c>
      <c r="C69" s="3362"/>
      <c r="D69" s="358"/>
      <c r="E69" s="73"/>
      <c r="F69" s="356"/>
      <c r="G69" s="3419"/>
      <c r="H69" s="311"/>
      <c r="I69" s="1292"/>
      <c r="J69" s="2036"/>
      <c r="K69" s="1294">
        <v>4</v>
      </c>
      <c r="L69" s="3433" t="s">
        <v>2886</v>
      </c>
      <c r="M69" s="3434"/>
      <c r="N69" s="1295">
        <f ca="1">C44</f>
        <v>120453</v>
      </c>
      <c r="O69" s="1295"/>
      <c r="P69" s="1295"/>
      <c r="Q69" s="2029"/>
      <c r="R69" s="2029"/>
      <c r="S69" s="2029"/>
      <c r="T69" s="2029"/>
      <c r="U69" s="2029"/>
      <c r="V69" s="2029"/>
    </row>
    <row r="70" spans="1:22" ht="24" customHeight="1">
      <c r="A70" s="359" t="s">
        <v>396</v>
      </c>
      <c r="B70" s="3362" t="s">
        <v>397</v>
      </c>
      <c r="C70" s="3362"/>
      <c r="D70" s="358">
        <f ca="1">ROUND(D63*'数据-取费表'!B41/(1+'数据-取费表'!C42),0)</f>
        <v>3855</v>
      </c>
      <c r="E70" s="17" t="s">
        <v>398</v>
      </c>
      <c r="F70" s="360">
        <f>'数据-取费表'!B41</f>
        <v>5.6000000000000001E-2</v>
      </c>
      <c r="G70" s="361"/>
      <c r="H70" s="311"/>
      <c r="I70" s="1292"/>
      <c r="J70" s="2036"/>
      <c r="K70" s="3063"/>
      <c r="L70" s="3064"/>
      <c r="M70" s="3064"/>
      <c r="N70" s="3065" t="s">
        <v>2891</v>
      </c>
      <c r="O70" s="3064"/>
      <c r="P70" s="3066"/>
      <c r="Q70" s="2029"/>
      <c r="R70" s="2029"/>
      <c r="S70" s="2029"/>
      <c r="T70" s="2029"/>
      <c r="U70" s="2029"/>
      <c r="V70" s="2029"/>
    </row>
    <row r="71" spans="1:22" ht="12" customHeight="1">
      <c r="A71" s="359" t="s">
        <v>404</v>
      </c>
      <c r="B71" s="3363" t="s">
        <v>405</v>
      </c>
      <c r="C71" s="3364"/>
      <c r="D71" s="358">
        <f ca="1">ROUND(D63*'数据-取费表'!B41/(1+'数据-取费表'!C42),0)</f>
        <v>3855</v>
      </c>
      <c r="E71" s="17" t="s">
        <v>398</v>
      </c>
      <c r="F71" s="360">
        <f>'数据-取费表'!B41</f>
        <v>5.6000000000000001E-2</v>
      </c>
      <c r="G71" s="361"/>
      <c r="H71" s="311"/>
      <c r="I71" s="1292"/>
      <c r="J71" s="2036"/>
      <c r="K71" s="3062" t="s">
        <v>399</v>
      </c>
      <c r="L71" s="3435" t="s">
        <v>400</v>
      </c>
      <c r="M71" s="3435"/>
      <c r="N71" s="3062" t="s">
        <v>401</v>
      </c>
      <c r="O71" s="3062" t="s">
        <v>402</v>
      </c>
      <c r="P71" s="3062" t="s">
        <v>403</v>
      </c>
      <c r="Q71" s="2029"/>
      <c r="R71" s="2029"/>
      <c r="S71" s="2029"/>
      <c r="T71" s="2029"/>
      <c r="U71" s="2029"/>
      <c r="V71" s="2029"/>
    </row>
    <row r="72" spans="1:22" ht="12" customHeight="1">
      <c r="A72" s="359" t="s">
        <v>407</v>
      </c>
      <c r="B72" s="3363" t="s">
        <v>408</v>
      </c>
      <c r="C72" s="3364"/>
      <c r="D72" s="358">
        <f ca="1">C86</f>
        <v>3742</v>
      </c>
      <c r="E72" s="73" t="s">
        <v>409</v>
      </c>
      <c r="F72" s="360">
        <f>'数据-取费表'!B41</f>
        <v>5.6000000000000001E-2</v>
      </c>
      <c r="G72" s="361"/>
      <c r="H72" s="1298"/>
      <c r="I72" s="1292"/>
      <c r="J72" s="2036"/>
      <c r="K72" s="1977">
        <v>1</v>
      </c>
      <c r="L72" s="3410" t="s">
        <v>406</v>
      </c>
      <c r="M72" s="3410"/>
      <c r="N72" s="1296">
        <f ca="1">D66</f>
        <v>3855</v>
      </c>
      <c r="O72" s="1860" t="str">
        <f>E66</f>
        <v>销售额×税（费）率</v>
      </c>
      <c r="P72" s="1297">
        <f>F66</f>
        <v>5.6000000000000001E-2</v>
      </c>
      <c r="Q72" s="2029"/>
      <c r="R72" s="2029"/>
      <c r="S72" s="2029"/>
      <c r="T72" s="2029"/>
      <c r="U72" s="2029"/>
      <c r="V72" s="2029"/>
    </row>
    <row r="73" spans="1:22" ht="24" customHeight="1">
      <c r="A73" s="3404" t="s">
        <v>411</v>
      </c>
      <c r="B73" s="3372"/>
      <c r="C73" s="3372"/>
      <c r="D73" s="362">
        <f>IF(H73="个人住宅",0,ROUND(D63*I73,0))</f>
        <v>0</v>
      </c>
      <c r="E73" s="17" t="s">
        <v>412</v>
      </c>
      <c r="F73" s="360" t="str">
        <f>IF(H73="正常",I73,"免征")</f>
        <v>免征</v>
      </c>
      <c r="G73" s="361"/>
      <c r="H73" s="191" t="s">
        <v>2458</v>
      </c>
      <c r="I73" s="360">
        <f>'数据-取费表'!B49</f>
        <v>5.0000000000000001E-4</v>
      </c>
      <c r="J73" s="2036"/>
      <c r="K73" s="1977">
        <v>2</v>
      </c>
      <c r="L73" s="3410" t="s">
        <v>410</v>
      </c>
      <c r="M73" s="3410"/>
      <c r="N73" s="1296">
        <f t="shared" ref="N73:P74" si="1">D73</f>
        <v>0</v>
      </c>
      <c r="O73" s="1860" t="str">
        <f t="shared" si="1"/>
        <v>销售额×税（费）率</v>
      </c>
      <c r="P73" s="1297" t="str">
        <f t="shared" si="1"/>
        <v>免征</v>
      </c>
      <c r="Q73" s="2029"/>
      <c r="R73" s="2029"/>
      <c r="S73" s="2029"/>
      <c r="T73" s="2029"/>
      <c r="U73" s="2029"/>
      <c r="V73" s="2029"/>
    </row>
    <row r="74" spans="1:22" ht="24.75">
      <c r="A74" s="3404" t="s">
        <v>415</v>
      </c>
      <c r="B74" s="3372"/>
      <c r="C74" s="3372"/>
      <c r="D74" s="362">
        <f ca="1">IF(H74="个人住宅",D75,D76)</f>
        <v>40250</v>
      </c>
      <c r="E74" s="17" t="s">
        <v>416</v>
      </c>
      <c r="F74" s="360" t="str">
        <f>IF(H74="正常",F76,"免征")</f>
        <v>——</v>
      </c>
      <c r="G74" s="983" t="s">
        <v>417</v>
      </c>
      <c r="H74" s="363" t="s">
        <v>413</v>
      </c>
      <c r="I74" s="42"/>
      <c r="J74" s="2036"/>
      <c r="K74" s="1977">
        <v>3</v>
      </c>
      <c r="L74" s="3410" t="s">
        <v>414</v>
      </c>
      <c r="M74" s="3410"/>
      <c r="N74" s="1296">
        <f t="shared" ca="1" si="1"/>
        <v>40250</v>
      </c>
      <c r="O74" s="1860" t="str">
        <f t="shared" si="1"/>
        <v>增值额×税（费）率</v>
      </c>
      <c r="P74" s="1299" t="str">
        <f t="shared" si="1"/>
        <v>——</v>
      </c>
      <c r="Q74" s="2029"/>
      <c r="R74" s="2029"/>
      <c r="S74" s="2029"/>
      <c r="T74" s="2029"/>
      <c r="U74" s="2029"/>
      <c r="V74" s="2029"/>
    </row>
    <row r="75" spans="1:22" ht="24">
      <c r="A75" s="359" t="s">
        <v>418</v>
      </c>
      <c r="B75" s="3360" t="s">
        <v>419</v>
      </c>
      <c r="C75" s="3390"/>
      <c r="D75" s="364">
        <v>0</v>
      </c>
      <c r="E75" s="41" t="s">
        <v>420</v>
      </c>
      <c r="F75" s="365"/>
      <c r="G75" s="361"/>
      <c r="H75" s="42"/>
      <c r="I75" s="42"/>
      <c r="J75" s="2036"/>
      <c r="K75" s="3055">
        <f>IF(H77="非个人房产","",4)</f>
        <v>4</v>
      </c>
      <c r="L75" s="3410" t="str">
        <f>IF(H77="非个人房产","——","个人所得税")</f>
        <v>个人所得税</v>
      </c>
      <c r="M75" s="3410"/>
      <c r="N75" s="1300">
        <f ca="1">D77</f>
        <v>723</v>
      </c>
      <c r="O75" s="1873" t="str">
        <f>E77</f>
        <v>销售额×税（费）率</v>
      </c>
      <c r="P75" s="1301">
        <f>F77</f>
        <v>0.01</v>
      </c>
      <c r="Q75" s="2029"/>
      <c r="R75" s="2029"/>
      <c r="S75" s="2029"/>
      <c r="T75" s="2029"/>
      <c r="U75" s="2029"/>
      <c r="V75" s="2029"/>
    </row>
    <row r="76" spans="1:22" ht="24.75">
      <c r="A76" s="359" t="s">
        <v>396</v>
      </c>
      <c r="B76" s="3360" t="s">
        <v>422</v>
      </c>
      <c r="C76" s="3361"/>
      <c r="D76" s="362">
        <f ca="1">IF(H76="转让取得",C99,C115)</f>
        <v>40250</v>
      </c>
      <c r="E76" s="17" t="s">
        <v>423</v>
      </c>
      <c r="F76" s="53" t="s">
        <v>21</v>
      </c>
      <c r="G76" s="361"/>
      <c r="H76" s="363" t="s">
        <v>424</v>
      </c>
      <c r="I76" s="42"/>
      <c r="J76" s="2036"/>
      <c r="K76" s="3055" t="str">
        <f>IF(项目基本情况!K6="上海银行",IF(K75="",4,K75+1),"")</f>
        <v/>
      </c>
      <c r="L76" s="3421" t="str">
        <f>IF(项目基本情况!K6="上海银行","其他处置费用","")</f>
        <v/>
      </c>
      <c r="M76" s="3422"/>
      <c r="N76" s="1296" t="str">
        <f>IF(项目基本情况!K6="上海银行",N89,"")</f>
        <v/>
      </c>
      <c r="O76" s="3423" t="str">
        <f>IF(项目基本情况!K6="上海银行","包含处置中涉及的律师、诉讼、拍卖、评估等费用","")</f>
        <v/>
      </c>
      <c r="P76" s="3424"/>
      <c r="Q76" s="2029"/>
      <c r="R76" s="2029"/>
      <c r="S76" s="2029"/>
      <c r="T76" s="2029"/>
      <c r="U76" s="2029"/>
      <c r="V76" s="2029"/>
    </row>
    <row r="77" spans="1:22" ht="26.25" thickBot="1">
      <c r="A77" s="3412" t="s">
        <v>426</v>
      </c>
      <c r="B77" s="3413"/>
      <c r="C77" s="3413"/>
      <c r="D77" s="366">
        <f ca="1">IF(H77="非个人房产","——",IF(H77="个人住宅",0,ROUND(D63*I77,0)))</f>
        <v>723</v>
      </c>
      <c r="E77" s="367" t="str">
        <f>IF(H77="非个人房产","——","销售额×税（费）率")</f>
        <v>销售额×税（费）率</v>
      </c>
      <c r="F77" s="368">
        <f>IF(H77="非个人房产","——",IF(H77="个人住宅","免征",I77))</f>
        <v>0.01</v>
      </c>
      <c r="G77" s="984" t="s">
        <v>417</v>
      </c>
      <c r="H77" s="363" t="s">
        <v>2887</v>
      </c>
      <c r="I77" s="369">
        <v>0.01</v>
      </c>
      <c r="J77" s="2036"/>
      <c r="K77" s="3411">
        <f>IF(AND(K75="",K76=""),4,IF(项目基本情况!K6="上海银行",K76+1,K75+1))</f>
        <v>5</v>
      </c>
      <c r="L77" s="3410" t="s">
        <v>2888</v>
      </c>
      <c r="M77" s="3061" t="s">
        <v>421</v>
      </c>
      <c r="N77" s="1302"/>
      <c r="O77" s="1303">
        <f ca="1">SUMIF(N72:N76,"&lt;9e307")</f>
        <v>44828</v>
      </c>
      <c r="P77" s="1304"/>
      <c r="Q77" s="3059">
        <f ca="1">O77/N69</f>
        <v>0.37216175603762464</v>
      </c>
      <c r="R77" s="2029"/>
      <c r="S77" s="2029"/>
      <c r="T77" s="2029"/>
      <c r="U77" s="2029"/>
      <c r="V77" s="2029"/>
    </row>
    <row r="78" spans="1:22" ht="12" customHeight="1">
      <c r="A78" s="1305"/>
      <c r="B78" s="311"/>
      <c r="C78" s="311"/>
      <c r="D78" s="311"/>
      <c r="E78" s="42"/>
      <c r="F78" s="42"/>
      <c r="G78" s="42"/>
      <c r="H78" s="1003"/>
      <c r="I78" s="311"/>
      <c r="J78" s="2036"/>
      <c r="K78" s="3411"/>
      <c r="L78" s="3410"/>
      <c r="M78" s="3061" t="s">
        <v>425</v>
      </c>
      <c r="N78" s="1302"/>
      <c r="O78" s="1303" t="str">
        <f ca="1">NUMBERSTRING(INT(O77*10000),2)&amp;"元整"</f>
        <v>肆亿肆仟捌佰贰拾捌万元整</v>
      </c>
      <c r="P78" s="1304"/>
      <c r="Q78" s="2029"/>
      <c r="R78" s="2029"/>
      <c r="S78" s="2029"/>
      <c r="T78" s="2029"/>
      <c r="U78" s="2029"/>
      <c r="V78" s="2029"/>
    </row>
    <row r="79" spans="1:22" ht="13.5" thickBot="1">
      <c r="A79" s="3405" t="s">
        <v>427</v>
      </c>
      <c r="B79" s="3405"/>
      <c r="C79" s="3405"/>
      <c r="D79" s="3405"/>
      <c r="E79" s="3405"/>
      <c r="F79" s="42"/>
      <c r="G79" s="42"/>
      <c r="H79" s="1003"/>
      <c r="I79" s="311"/>
      <c r="J79" s="2036"/>
      <c r="K79" s="3431">
        <f>K77+1</f>
        <v>6</v>
      </c>
      <c r="L79" s="3410" t="s">
        <v>2889</v>
      </c>
      <c r="M79" s="3061" t="s">
        <v>421</v>
      </c>
      <c r="N79" s="1302"/>
      <c r="O79" s="1303">
        <f ca="1">N69-O77</f>
        <v>75625</v>
      </c>
      <c r="P79" s="1304"/>
      <c r="Q79" s="2029"/>
      <c r="R79" s="2029"/>
      <c r="S79" s="2029"/>
      <c r="T79" s="2029"/>
      <c r="U79" s="2029"/>
      <c r="V79" s="2029"/>
    </row>
    <row r="80" spans="1:22" ht="25.5">
      <c r="A80" s="3400" t="s">
        <v>428</v>
      </c>
      <c r="B80" s="3401"/>
      <c r="C80" s="994"/>
      <c r="D80" s="994" t="s">
        <v>429</v>
      </c>
      <c r="E80" s="370" t="s">
        <v>430</v>
      </c>
      <c r="F80" s="42"/>
      <c r="G80" s="42"/>
      <c r="H80" s="1003"/>
      <c r="I80" s="311"/>
      <c r="J80" s="2029"/>
      <c r="K80" s="3432"/>
      <c r="L80" s="3410"/>
      <c r="M80" s="3061" t="s">
        <v>425</v>
      </c>
      <c r="N80" s="1302"/>
      <c r="O80" s="1303" t="str">
        <f ca="1">NUMBERSTRING(INT(O79*10000),2)&amp;"元整"</f>
        <v>柒亿伍仟陆佰贰拾伍万元整</v>
      </c>
      <c r="P80" s="1304"/>
      <c r="Q80" s="2029"/>
      <c r="R80" s="2029"/>
      <c r="S80" s="2029"/>
      <c r="T80" s="2029"/>
      <c r="U80" s="2029"/>
      <c r="V80" s="2029"/>
    </row>
    <row r="81" spans="1:26" ht="13.5" thickBot="1">
      <c r="A81" s="381" t="s">
        <v>1824</v>
      </c>
      <c r="B81" s="371" t="s">
        <v>431</v>
      </c>
      <c r="C81" s="372">
        <f ca="1">ROUND((C82+C83)/(1+'数据-取费表'!C42),0)</f>
        <v>68830</v>
      </c>
      <c r="D81" s="373"/>
      <c r="E81" s="374"/>
      <c r="F81" s="42"/>
      <c r="G81" s="42"/>
      <c r="H81" s="1003"/>
      <c r="I81" s="311"/>
      <c r="J81" s="2029"/>
      <c r="K81" s="3055">
        <f>K79+1</f>
        <v>7</v>
      </c>
      <c r="L81" s="3408" t="s">
        <v>2890</v>
      </c>
      <c r="M81" s="3409"/>
      <c r="N81" s="1306"/>
      <c r="O81" s="1307">
        <f ca="1">ROUND(O79*10000/'数据-汇总表'!E3,0)</f>
        <v>4400</v>
      </c>
      <c r="P81" s="1308"/>
      <c r="Q81" s="2029"/>
      <c r="R81" s="2029"/>
      <c r="S81" s="2029"/>
      <c r="T81" s="2029"/>
      <c r="U81" s="2029"/>
      <c r="V81" s="2029"/>
    </row>
    <row r="82" spans="1:26" ht="13.5" thickTop="1">
      <c r="A82" s="375" t="s">
        <v>1825</v>
      </c>
      <c r="B82" s="376" t="s">
        <v>432</v>
      </c>
      <c r="C82" s="377">
        <f ca="1">D63</f>
        <v>72272</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420" t="s">
        <v>2877</v>
      </c>
      <c r="L83" s="3067" t="s">
        <v>2878</v>
      </c>
      <c r="M83" s="3057">
        <f ca="1">IF(N69&gt;10000,N69*0.5%,IF(AND(N69&gt;1000,N69&lt;=10000),N69*1%,IF(AND(N69&gt;100,N69&lt;=1000),N69*3%,IF(AND(N69&gt;10,N69&lt;=100),N69*5%,N69*8%))))</f>
        <v>602.26499999999999</v>
      </c>
      <c r="N83" s="53">
        <f ca="1">ROUND(M83,1)</f>
        <v>602.29999999999995</v>
      </c>
      <c r="O83" s="3060"/>
      <c r="P83" s="2029"/>
      <c r="Q83" s="2029"/>
      <c r="R83" s="2029"/>
      <c r="S83" s="2029"/>
      <c r="T83" s="2029"/>
      <c r="U83" s="2029"/>
      <c r="V83" s="2029"/>
    </row>
    <row r="84" spans="1:26" ht="12.75">
      <c r="A84" s="381" t="s">
        <v>1827</v>
      </c>
      <c r="B84" s="382" t="s">
        <v>434</v>
      </c>
      <c r="C84" s="383">
        <v>2000</v>
      </c>
      <c r="D84" s="384" t="s">
        <v>19</v>
      </c>
      <c r="E84" s="3102" t="s">
        <v>2947</v>
      </c>
      <c r="F84" s="42"/>
      <c r="G84" s="42"/>
      <c r="H84" s="1003"/>
      <c r="I84" s="311"/>
      <c r="J84" s="2029"/>
      <c r="K84" s="3420"/>
      <c r="L84" s="3067" t="s">
        <v>2879</v>
      </c>
      <c r="M84" s="3057">
        <f ca="1">IF(N69&gt;2000,N69*0.5%,IF(AND(N69&gt;1000,N69&lt;=2000),N69*0.6%,IF(AND(N69&gt;500,N69&lt;=1000),N69*0.7%,IF(AND(N69&gt;200,N69&lt;=500),N69*0.8%,IF(AND(N69&gt;100,N69&lt;=200),N69*0.9%,IF(AND(N69&gt;50,N69&lt;=100),N69*1%,IF(AND(N69&gt;20,N69&lt;=50),N69*1.5%,IF(AND(N69&gt;10,N69&lt;=20),N69*2%,IF(AND(N69&gt;1,N69&lt;=10),N69*2.5%)))))))))</f>
        <v>602.26499999999999</v>
      </c>
      <c r="N84" s="53">
        <f t="shared" ref="N84:N85" ca="1" si="2">ROUND(M84,1)</f>
        <v>602.29999999999995</v>
      </c>
      <c r="O84" s="2029" t="s">
        <v>2880</v>
      </c>
      <c r="P84" s="2029"/>
      <c r="Q84" s="2029"/>
      <c r="R84" s="2029"/>
      <c r="S84" s="2029"/>
      <c r="T84" s="2029"/>
      <c r="U84" s="2029"/>
      <c r="V84" s="2029"/>
    </row>
    <row r="85" spans="1:26" ht="12.75">
      <c r="A85" s="381" t="s">
        <v>1828</v>
      </c>
      <c r="B85" s="382" t="s">
        <v>435</v>
      </c>
      <c r="C85" s="385">
        <f ca="1">C81-C84</f>
        <v>66830</v>
      </c>
      <c r="D85" s="378" t="s">
        <v>19</v>
      </c>
      <c r="E85" s="379"/>
      <c r="F85" s="42"/>
      <c r="G85" s="42"/>
      <c r="H85" s="1003"/>
      <c r="I85" s="311"/>
      <c r="J85" s="2029"/>
      <c r="K85" s="3420"/>
      <c r="L85" s="3067" t="s">
        <v>2881</v>
      </c>
      <c r="M85" s="3057">
        <f ca="1">IF(N69&gt;1000,N69*0.1%,IF(AND(N69&gt;500,N69&lt;=1000),N69*0.5%,IF(AND(N69&gt;50,N69&lt;=500),N69*1%,IF(AND(N69&gt;1,N69&lt;=50),N69*1.5%))))</f>
        <v>120.453</v>
      </c>
      <c r="N85" s="53">
        <f t="shared" ca="1" si="2"/>
        <v>120.5</v>
      </c>
      <c r="O85" s="2029" t="s">
        <v>2880</v>
      </c>
      <c r="P85" s="2029"/>
      <c r="Q85" s="2029"/>
      <c r="R85" s="2029"/>
      <c r="S85" s="2029"/>
      <c r="T85" s="2029"/>
      <c r="U85" s="2029"/>
      <c r="V85" s="2029"/>
    </row>
    <row r="86" spans="1:26" ht="13.5" thickBot="1">
      <c r="A86" s="386" t="s">
        <v>1829</v>
      </c>
      <c r="B86" s="387" t="s">
        <v>436</v>
      </c>
      <c r="C86" s="388">
        <f ca="1">IF(C85&lt;=0,0,ROUND(C85*D86,0))</f>
        <v>3742</v>
      </c>
      <c r="D86" s="389">
        <f>'数据-取费表'!B41</f>
        <v>5.6000000000000001E-2</v>
      </c>
      <c r="E86" s="390"/>
      <c r="F86" s="42"/>
      <c r="G86" s="42"/>
      <c r="H86" s="1003"/>
      <c r="I86" s="311"/>
      <c r="J86" s="2029"/>
      <c r="K86" s="3420"/>
      <c r="L86" s="3067" t="s">
        <v>2882</v>
      </c>
      <c r="M86" s="3057">
        <f ca="1">N69*0.5%</f>
        <v>602.26499999999999</v>
      </c>
      <c r="N86" s="53">
        <f ca="1">IF(M86&gt;0.5,0.5,ROUND(M86,0))</f>
        <v>0.5</v>
      </c>
      <c r="O86" s="2029" t="s">
        <v>2883</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420"/>
      <c r="L87" s="3067" t="s">
        <v>2884</v>
      </c>
      <c r="M87" s="3057">
        <f ca="1">IF(N69&gt;=10000,(8.25+(N69-10000)*0.01%),IF(AND(N69&gt;=8000,N69&lt;10000),(7.85+(N69-8000)*0.02%),IF(AND(N69&gt;=5000,N69&lt;8000),(6.65+(N69-5000)*0.04%),IF(AND(N69&gt;=2000,N69&lt;5000),(4.25+(PN69-2000)*0.08%),IF(AND(N69&gt;=1000,N69&lt;2000),(2.75+(N69-1000)*0.15%),IF(AND(N69&gt;=100,N69&lt;1000),(0.5+(N69-100)*0.25%),IF(AND(N69&gt;0,N69&lt;100),N69*0.5%)))))))</f>
        <v>19.295300000000001</v>
      </c>
      <c r="N87" s="53">
        <f ca="1">ROUND(M87*0.9,1)</f>
        <v>17.399999999999999</v>
      </c>
      <c r="O87" s="3060"/>
      <c r="P87" s="311"/>
      <c r="Q87" s="2029"/>
      <c r="R87" s="2029"/>
      <c r="S87" s="2029"/>
      <c r="T87" s="2029"/>
      <c r="U87" s="2029"/>
      <c r="V87" s="2029"/>
      <c r="W87" s="292"/>
      <c r="X87" s="292"/>
      <c r="Y87" s="292"/>
      <c r="Z87" s="292"/>
    </row>
    <row r="88" spans="1:26" s="1314" customFormat="1" ht="15" thickBot="1">
      <c r="A88" s="3402" t="s">
        <v>437</v>
      </c>
      <c r="B88" s="3403"/>
      <c r="C88" s="3403"/>
      <c r="D88" s="3403"/>
      <c r="E88" s="3403"/>
      <c r="F88" s="3403"/>
      <c r="G88" s="3403"/>
      <c r="H88" s="3403"/>
      <c r="I88" s="1315"/>
      <c r="J88" s="2037"/>
      <c r="K88" s="3420"/>
      <c r="L88" s="3067" t="s">
        <v>2885</v>
      </c>
      <c r="M88" s="3057">
        <f ca="1">IF(N69&gt;10000,N69*0.5%,IF(AND(N69&gt;5000,N69&lt;=10000),N69*1%,IF(AND(N69&gt;1000,N69&lt;=5000),N69*2%,IF(AND(N69&gt;200,N69&lt;=1000),N69*3%,N69*5%))))</f>
        <v>602.26499999999999</v>
      </c>
      <c r="N88" s="53">
        <f ca="1">ROUND(M88,1)</f>
        <v>602.29999999999995</v>
      </c>
      <c r="O88" s="3060"/>
      <c r="P88" s="11"/>
      <c r="Q88" s="2034"/>
      <c r="R88" s="2034"/>
      <c r="S88" s="2034"/>
      <c r="T88" s="2034"/>
      <c r="U88" s="2034"/>
      <c r="V88" s="2034"/>
      <c r="W88" s="2038"/>
      <c r="X88" s="2038"/>
      <c r="Y88" s="2038"/>
      <c r="Z88" s="2038"/>
    </row>
    <row r="89" spans="1:26" s="1314" customFormat="1" ht="14.25">
      <c r="A89" s="3400" t="s">
        <v>428</v>
      </c>
      <c r="B89" s="3401"/>
      <c r="C89" s="994"/>
      <c r="D89" s="994" t="s">
        <v>429</v>
      </c>
      <c r="E89" s="391" t="s">
        <v>438</v>
      </c>
      <c r="F89" s="392"/>
      <c r="G89" s="392"/>
      <c r="H89" s="393"/>
      <c r="I89" s="1316"/>
      <c r="J89" s="2039"/>
      <c r="K89" s="3420"/>
      <c r="L89" s="3067" t="s">
        <v>27</v>
      </c>
      <c r="M89" s="3058"/>
      <c r="N89" s="53">
        <f ca="1">ROUND(SUM(N83:N88),0)</f>
        <v>1945</v>
      </c>
      <c r="O89" s="3068">
        <f ca="1">N89/N69</f>
        <v>1.6147376985214151E-2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68830</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2974</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63" t="s">
        <v>447</v>
      </c>
      <c r="F94" s="3362"/>
      <c r="G94" s="3362"/>
      <c r="H94" s="339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413</v>
      </c>
      <c r="D96" s="406">
        <f>'数据-取费表'!B43</f>
        <v>6.000000000000001E-3</v>
      </c>
      <c r="E96" s="3391" t="s">
        <v>2431</v>
      </c>
      <c r="F96" s="3392"/>
      <c r="G96" s="3392"/>
      <c r="H96" s="339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1836</v>
      </c>
      <c r="B97" s="382" t="s">
        <v>451</v>
      </c>
      <c r="C97" s="385">
        <f ca="1">C90-C91</f>
        <v>65856</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1837</v>
      </c>
      <c r="B98" s="382" t="s">
        <v>452</v>
      </c>
      <c r="C98" s="407">
        <f ca="1">IF(C97&lt;=0,0,C97/C91)</f>
        <v>22.143913920645595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1838</v>
      </c>
      <c r="B99" s="387" t="s">
        <v>453</v>
      </c>
      <c r="C99" s="408">
        <f ca="1">ROUND(IF(C97&lt;=0,0,IF(C98&gt;=200%,C97*60%-C91*35%,IF(C98&gt;=100%,C97*50%-C91*15%,IF(C98&gt;=50%,C97*40%-C91*5%,IF(C98&lt;50%,C97*30%,0))))),0)</f>
        <v>38473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402" t="s">
        <v>454</v>
      </c>
      <c r="B101" s="3403"/>
      <c r="C101" s="3403"/>
      <c r="D101" s="3403"/>
      <c r="E101" s="3403"/>
      <c r="F101" s="3403"/>
      <c r="G101" s="3403"/>
      <c r="H101" s="340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400" t="s">
        <v>428</v>
      </c>
      <c r="B102" s="3401"/>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68830</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1103</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2442</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1839</v>
      </c>
      <c r="B109" s="376" t="s">
        <v>461</v>
      </c>
      <c r="C109" s="405">
        <f>IF(H109="——",IF(F1="现房",'剩余法-现房'!C18,'剩余法-待开发'!C18),I109)</f>
        <v>55</v>
      </c>
      <c r="D109" s="406"/>
      <c r="E109" s="3394" t="s">
        <v>462</v>
      </c>
      <c r="F109" s="3392"/>
      <c r="G109" s="3392"/>
      <c r="H109" s="1942" t="s">
        <v>2282</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1840</v>
      </c>
      <c r="B110" s="376" t="s">
        <v>463</v>
      </c>
      <c r="C110" s="405">
        <f>ROUND((C105+C108+C109)*D110,0)</f>
        <v>63</v>
      </c>
      <c r="D110" s="406">
        <v>0.1</v>
      </c>
      <c r="E110" s="3394" t="s">
        <v>464</v>
      </c>
      <c r="F110" s="3392"/>
      <c r="G110" s="3392"/>
      <c r="H110" s="339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1841</v>
      </c>
      <c r="B111" s="376" t="s">
        <v>450</v>
      </c>
      <c r="C111" s="405">
        <f ca="1">ROUND(D63*D111/(1+'数据-取费表'!C42),0)</f>
        <v>413</v>
      </c>
      <c r="D111" s="406">
        <f>'数据-取费表'!B43</f>
        <v>6.000000000000001E-3</v>
      </c>
      <c r="E111" s="3391" t="s">
        <v>2431</v>
      </c>
      <c r="F111" s="3392"/>
      <c r="G111" s="3392"/>
      <c r="H111" s="339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1842</v>
      </c>
      <c r="B112" s="376" t="s">
        <v>465</v>
      </c>
      <c r="C112" s="405">
        <f>ROUND(C108*D112,0)</f>
        <v>0</v>
      </c>
      <c r="D112" s="406">
        <v>0.2</v>
      </c>
      <c r="E112" s="3394" t="s">
        <v>2456</v>
      </c>
      <c r="F112" s="3392"/>
      <c r="G112" s="3392"/>
      <c r="H112" s="339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1836</v>
      </c>
      <c r="B113" s="382" t="s">
        <v>451</v>
      </c>
      <c r="C113" s="385">
        <f ca="1">ROUND(C103-C104,0)</f>
        <v>67727</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1837</v>
      </c>
      <c r="B114" s="382" t="s">
        <v>452</v>
      </c>
      <c r="C114" s="407">
        <f ca="1">IF(C113&lt;=0,0,C113/C104)</f>
        <v>61.402538531278331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1838</v>
      </c>
      <c r="B115" s="387" t="s">
        <v>453</v>
      </c>
      <c r="C115" s="408">
        <f ca="1">ROUND(IF(C113&lt;=0,0,IF(C114&gt;=200%,C113*60%-C104*35%,IF(C114&gt;=100%,C113*50%-C104*15%,IF(C114&gt;=50%,C113*40%-C104*5%,IF(C114&lt;50%,C113*30%,0))))),0)</f>
        <v>40250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11</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2655</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64657</v>
      </c>
      <c r="D13" s="451"/>
      <c r="E13" s="365"/>
      <c r="F13" s="452"/>
      <c r="G13" s="444"/>
      <c r="H13" s="447"/>
      <c r="I13" s="447"/>
      <c r="J13" s="447"/>
      <c r="K13" s="448"/>
    </row>
    <row r="14" spans="1:41" s="2117" customFormat="1" ht="13.5" customHeight="1">
      <c r="A14" s="1633" t="s">
        <v>1850</v>
      </c>
      <c r="B14" s="449" t="s">
        <v>480</v>
      </c>
      <c r="C14" s="53">
        <f ca="1">ROUND(C13*F14,0)</f>
        <v>1940</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1528</v>
      </c>
      <c r="D15" s="451"/>
      <c r="E15" s="365"/>
      <c r="F15" s="453">
        <f>'数据-取费表'!B34</f>
        <v>0.05</v>
      </c>
      <c r="G15" s="444" t="s">
        <v>502</v>
      </c>
      <c r="H15" s="447"/>
      <c r="I15" s="447"/>
      <c r="J15" s="447"/>
      <c r="K15" s="448"/>
    </row>
    <row r="16" spans="1:41" s="2118" customFormat="1" ht="13.5" customHeight="1">
      <c r="A16" s="1633" t="s">
        <v>1852</v>
      </c>
      <c r="B16" s="449" t="s">
        <v>484</v>
      </c>
      <c r="C16" s="53">
        <f ca="1">ROUND(D16*E16/10000,0)</f>
        <v>3437</v>
      </c>
      <c r="D16" s="451">
        <f ca="1">IF(B1="",'数据-汇总表'!E3,INDIRECT("'数据-取费表'!K"&amp;$K$1)+INDIRECT("'数据-取费表'!S"&amp;$K$1))</f>
        <v>171863.99999999997</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970</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72532</v>
      </c>
      <c r="D18" s="461"/>
      <c r="E18" s="462"/>
      <c r="F18" s="462"/>
      <c r="G18" s="1327" t="s">
        <v>2435</v>
      </c>
      <c r="H18" s="447"/>
      <c r="I18" s="447"/>
      <c r="J18" s="447"/>
      <c r="K18" s="448"/>
    </row>
    <row r="19" spans="1:14" s="2120" customFormat="1" ht="13.5" customHeight="1">
      <c r="A19" s="1634" t="s">
        <v>1855</v>
      </c>
      <c r="B19" s="459" t="s">
        <v>493</v>
      </c>
      <c r="C19" s="460">
        <f ca="1">ROUND(C18*F19,0)</f>
        <v>2176</v>
      </c>
      <c r="D19" s="462"/>
      <c r="E19" s="462"/>
      <c r="F19" s="466">
        <f>'数据-取费表'!B37</f>
        <v>0.03</v>
      </c>
      <c r="G19" s="444" t="s">
        <v>503</v>
      </c>
      <c r="H19" s="447"/>
      <c r="I19" s="447"/>
      <c r="J19" s="447"/>
      <c r="K19" s="448"/>
      <c r="L19" s="2122"/>
      <c r="M19" s="2122"/>
      <c r="N19" s="2122"/>
    </row>
    <row r="20" spans="1:14" s="2120" customFormat="1" ht="13.5" customHeight="1">
      <c r="A20" s="1634" t="s">
        <v>1856</v>
      </c>
      <c r="B20" s="459" t="s">
        <v>504</v>
      </c>
      <c r="C20" s="3031">
        <f>F20</f>
        <v>0.02</v>
      </c>
      <c r="D20" s="469" t="s">
        <v>505</v>
      </c>
      <c r="E20" s="469"/>
      <c r="F20" s="486">
        <f>'数据-取费表'!B38</f>
        <v>0.02</v>
      </c>
      <c r="G20" s="1327" t="s">
        <v>506</v>
      </c>
      <c r="H20" s="447"/>
      <c r="I20" s="447"/>
      <c r="J20" s="447"/>
      <c r="K20" s="448"/>
      <c r="L20" s="2122"/>
      <c r="M20" s="2122"/>
      <c r="N20" s="2122"/>
    </row>
    <row r="21" spans="1:14" s="2122" customFormat="1" ht="13.5" customHeight="1">
      <c r="A21" s="1634" t="s">
        <v>1859</v>
      </c>
      <c r="B21" s="461" t="s">
        <v>494</v>
      </c>
      <c r="C21" s="470">
        <f ca="1">C22</f>
        <v>3549</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2457</v>
      </c>
    </row>
    <row r="22" spans="1:14" s="2121" customFormat="1" ht="13.5" customHeight="1">
      <c r="A22" s="1633" t="s">
        <v>1849</v>
      </c>
      <c r="B22" s="1328" t="s">
        <v>2438</v>
      </c>
      <c r="C22" s="487">
        <f ca="1">ROUND(IF('数据-取费表'!B22&lt;=1,(C18+C19)*F21*'数据-取费表'!B20/2,(C18+C19)*(POWER((1+F21),'数据-取费表'!B20/2)-1)),0)</f>
        <v>3549</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8"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3" t="s">
        <v>2835</v>
      </c>
      <c r="C24" s="478">
        <f ca="1">C25</f>
        <v>7471</v>
      </c>
      <c r="D24" s="489">
        <f ca="1">C26</f>
        <v>2E-3</v>
      </c>
      <c r="E24" s="469" t="s">
        <v>507</v>
      </c>
      <c r="F24" s="479">
        <f ca="1">IF(B1="",'数据-取费表'!Q16,INDIRECT("'数据-取费表'!q"&amp;$K$1))</f>
        <v>0.1</v>
      </c>
      <c r="G24" s="444"/>
      <c r="H24" s="447"/>
      <c r="I24" s="447"/>
      <c r="J24" s="447"/>
      <c r="K24" s="448"/>
    </row>
    <row r="25" spans="1:14" s="2121" customFormat="1" ht="13.5" customHeight="1">
      <c r="A25" s="1633" t="s">
        <v>1849</v>
      </c>
      <c r="B25" s="1328" t="s">
        <v>2439</v>
      </c>
      <c r="C25" s="490">
        <f ca="1">ROUND((C18+C19)*F24,0)</f>
        <v>7471</v>
      </c>
      <c r="D25" s="472"/>
      <c r="E25" s="473"/>
      <c r="F25" s="480"/>
      <c r="G25" s="1326" t="s">
        <v>2436</v>
      </c>
      <c r="H25" s="457"/>
      <c r="I25" s="457"/>
      <c r="J25" s="457"/>
      <c r="K25" s="458"/>
    </row>
    <row r="26" spans="1:14" s="2121" customFormat="1" ht="13.5" customHeight="1">
      <c r="A26" s="1633" t="s">
        <v>1850</v>
      </c>
      <c r="B26" s="1328" t="s">
        <v>509</v>
      </c>
      <c r="C26" s="491">
        <f ca="1">ROUND(F20*F24,4)</f>
        <v>2E-3</v>
      </c>
      <c r="D26" s="472"/>
      <c r="E26" s="481"/>
      <c r="F26" s="480"/>
      <c r="G26" s="1326" t="s">
        <v>510</v>
      </c>
      <c r="H26" s="457"/>
      <c r="I26" s="457"/>
      <c r="J26" s="457"/>
      <c r="K26" s="458"/>
    </row>
    <row r="27" spans="1:14" s="2121" customFormat="1" ht="13.5" customHeight="1">
      <c r="A27" s="1637" t="s">
        <v>1868</v>
      </c>
      <c r="B27" s="459" t="s">
        <v>511</v>
      </c>
      <c r="C27" s="3032">
        <f>ROUND(F27/(1+'数据-取费表'!C42),4)</f>
        <v>5.33E-2</v>
      </c>
      <c r="D27" s="462" t="s">
        <v>2833</v>
      </c>
      <c r="E27" s="462"/>
      <c r="F27" s="466">
        <f>'数据-取费表'!B41</f>
        <v>5.6000000000000001E-2</v>
      </c>
      <c r="G27" s="1961" t="s">
        <v>2294</v>
      </c>
      <c r="H27" s="447"/>
      <c r="I27" s="447"/>
      <c r="J27" s="447"/>
      <c r="K27" s="448"/>
    </row>
    <row r="28" spans="1:14" s="2122" customFormat="1" ht="13.5" customHeight="1">
      <c r="A28" s="1637" t="s">
        <v>1869</v>
      </c>
      <c r="B28" s="476" t="s">
        <v>512</v>
      </c>
      <c r="C28" s="470">
        <f ca="1">ROUND((C18+C19+C21+C24)/(1-C20-D21-D24-C27),0)</f>
        <v>92809</v>
      </c>
      <c r="D28" s="477"/>
      <c r="E28" s="469"/>
      <c r="F28" s="471"/>
      <c r="G28" s="1327" t="s">
        <v>2437</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83"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2980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I7" sqref="I7:J7"/>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114647</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6671</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67025</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4468</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445" t="s">
        <v>522</v>
      </c>
      <c r="D6" s="3446"/>
      <c r="E6" s="3445" t="s">
        <v>523</v>
      </c>
      <c r="F6" s="3446"/>
      <c r="G6" s="3445" t="s">
        <v>524</v>
      </c>
      <c r="H6" s="3446"/>
      <c r="I6" s="3445" t="s">
        <v>525</v>
      </c>
      <c r="J6" s="3446"/>
      <c r="K6" s="514" t="s">
        <v>526</v>
      </c>
      <c r="L6" s="2134"/>
      <c r="M6" s="2133"/>
      <c r="N6" s="2133"/>
      <c r="O6" s="2135"/>
      <c r="P6" s="3447" t="s">
        <v>527</v>
      </c>
      <c r="Q6" s="3448"/>
      <c r="R6" s="3453" t="s">
        <v>523</v>
      </c>
      <c r="S6" s="3454"/>
      <c r="T6" s="3453" t="s">
        <v>524</v>
      </c>
      <c r="U6" s="3454"/>
      <c r="V6" s="3440" t="s">
        <v>525</v>
      </c>
      <c r="W6" s="3440"/>
      <c r="X6" s="1567"/>
      <c r="Y6" s="3453" t="s">
        <v>527</v>
      </c>
      <c r="Z6" s="3454"/>
      <c r="AA6" s="3442" t="s">
        <v>523</v>
      </c>
      <c r="AB6" s="3443" t="s">
        <v>524</v>
      </c>
      <c r="AC6" s="3442" t="s">
        <v>525</v>
      </c>
    </row>
    <row r="7" spans="1:30" ht="47.25" customHeight="1">
      <c r="A7" s="515"/>
      <c r="B7" s="516"/>
      <c r="C7" s="3461" t="s">
        <v>2934</v>
      </c>
      <c r="D7" s="3462"/>
      <c r="E7" s="3461" t="s">
        <v>3310</v>
      </c>
      <c r="F7" s="3462"/>
      <c r="G7" s="3461" t="str">
        <f>土地案例!A2</f>
        <v>昆明市盘龙区青云街道办事处</v>
      </c>
      <c r="H7" s="3462"/>
      <c r="I7" s="3461" t="str">
        <f>土地案例!A3</f>
        <v>昆明市盘龙区青云街道办事处</v>
      </c>
      <c r="J7" s="3462"/>
      <c r="K7" s="514"/>
      <c r="L7" s="2134"/>
      <c r="M7" s="2133"/>
      <c r="N7" s="2133"/>
      <c r="O7" s="2135"/>
      <c r="P7" s="3449"/>
      <c r="Q7" s="3450"/>
      <c r="R7" s="3455"/>
      <c r="S7" s="3456"/>
      <c r="T7" s="3455"/>
      <c r="U7" s="3456"/>
      <c r="V7" s="3440"/>
      <c r="W7" s="3440"/>
      <c r="X7" s="1567"/>
      <c r="Y7" s="3455"/>
      <c r="Z7" s="3456"/>
      <c r="AA7" s="3443"/>
      <c r="AB7" s="3443"/>
      <c r="AC7" s="3443"/>
    </row>
    <row r="8" spans="1:30" ht="21" thickBot="1">
      <c r="A8" s="515"/>
      <c r="B8" s="516"/>
      <c r="C8" s="3463" t="s">
        <v>2938</v>
      </c>
      <c r="D8" s="3464"/>
      <c r="E8" s="3463" t="s">
        <v>2938</v>
      </c>
      <c r="F8" s="3464"/>
      <c r="G8" s="3465" t="s">
        <v>3322</v>
      </c>
      <c r="H8" s="3460"/>
      <c r="I8" s="3459" t="s">
        <v>2938</v>
      </c>
      <c r="J8" s="3460"/>
      <c r="K8" s="514" t="s">
        <v>528</v>
      </c>
      <c r="L8" s="2134"/>
      <c r="M8" s="2133"/>
      <c r="N8" s="2133"/>
      <c r="O8" s="2135"/>
      <c r="P8" s="3451"/>
      <c r="Q8" s="3452"/>
      <c r="R8" s="3455"/>
      <c r="S8" s="3456"/>
      <c r="T8" s="3457"/>
      <c r="U8" s="3458"/>
      <c r="V8" s="3440"/>
      <c r="W8" s="3440"/>
      <c r="X8" s="1567"/>
      <c r="Y8" s="3457"/>
      <c r="Z8" s="3458"/>
      <c r="AA8" s="3444"/>
      <c r="AB8" s="3444"/>
      <c r="AC8" s="3444"/>
    </row>
    <row r="9" spans="1:30" s="1220" customFormat="1" ht="21" thickBot="1">
      <c r="A9" s="2913"/>
      <c r="B9" s="2920" t="s">
        <v>529</v>
      </c>
      <c r="C9" s="2912">
        <f>'数据-取费表'!B2</f>
        <v>43383</v>
      </c>
      <c r="D9" s="520">
        <v>100</v>
      </c>
      <c r="E9" s="521" t="str">
        <f>土地案例!I4</f>
        <v>2018-01-05</v>
      </c>
      <c r="F9" s="522">
        <f>SUMIF(72:72,YEAR(E9)&amp;"-"&amp;INT((MONTH(E9)+2)/3),73:73)</f>
        <v>97</v>
      </c>
      <c r="G9" s="521" t="str">
        <f>土地案例!I2</f>
        <v>2017-08-03</v>
      </c>
      <c r="H9" s="520">
        <f>SUMIF(72:72,YEAR(G9)&amp;"-"&amp;INT((MONTH(G9)+2)/3),73:73)</f>
        <v>95</v>
      </c>
      <c r="I9" s="521" t="str">
        <f>G9</f>
        <v>2017-08-03</v>
      </c>
      <c r="J9" s="520">
        <f>SUMIF(72:72,YEAR(I9)&amp;"-"&amp;INT((MONTH(I9)+2)/3),73:73)</f>
        <v>95</v>
      </c>
      <c r="K9" s="524"/>
      <c r="L9" s="2136"/>
      <c r="M9" s="2133"/>
      <c r="N9" s="2133"/>
      <c r="O9" s="2137"/>
      <c r="P9" s="3471" t="s">
        <v>530</v>
      </c>
      <c r="Q9" s="3473"/>
      <c r="R9" s="1568" t="s">
        <v>8</v>
      </c>
      <c r="S9" s="1569">
        <f t="shared" ref="S9:S17" si="0">F9</f>
        <v>97</v>
      </c>
      <c r="T9" s="1568" t="s">
        <v>8</v>
      </c>
      <c r="U9" s="1569">
        <f t="shared" ref="U9:U17" si="1">H9</f>
        <v>95</v>
      </c>
      <c r="V9" s="1568" t="s">
        <v>8</v>
      </c>
      <c r="W9" s="1569">
        <f t="shared" ref="W9:W17" si="2">J9</f>
        <v>95</v>
      </c>
      <c r="X9" s="1570"/>
      <c r="Y9" s="3471" t="s">
        <v>530</v>
      </c>
      <c r="Z9" s="3472"/>
      <c r="AA9" s="1571">
        <f>D9/F9</f>
        <v>1.0309278350515463</v>
      </c>
      <c r="AB9" s="1571">
        <f>D9/H9</f>
        <v>1.0526315789473684</v>
      </c>
      <c r="AC9" s="1571">
        <f>D9/J9</f>
        <v>1.0526315789473684</v>
      </c>
    </row>
    <row r="10" spans="1:30" s="1220" customFormat="1" ht="21" thickBot="1">
      <c r="A10" s="2914"/>
      <c r="B10" s="2921" t="s">
        <v>531</v>
      </c>
      <c r="C10" s="856" t="s">
        <v>532</v>
      </c>
      <c r="D10" s="520">
        <v>100</v>
      </c>
      <c r="E10" s="525" t="s">
        <v>3106</v>
      </c>
      <c r="F10" s="522">
        <f>SUMIF(75:75,E10,76:76)-SUMIF(75:75,C10,76:76)+100</f>
        <v>100</v>
      </c>
      <c r="G10" s="525" t="s">
        <v>3106</v>
      </c>
      <c r="H10" s="520">
        <f>SUMIF(75:75,G10,76:76)-SUMIF(75:75,C10,76:76)+100</f>
        <v>100</v>
      </c>
      <c r="I10" s="525" t="s">
        <v>3106</v>
      </c>
      <c r="J10" s="520">
        <f>SUMIF(75:75,I10,76:76)-SUMIF(75:75,C10,76:76)+100</f>
        <v>100</v>
      </c>
      <c r="K10" s="524"/>
      <c r="L10" s="2136"/>
      <c r="M10" s="2133"/>
      <c r="N10" s="2133"/>
      <c r="O10" s="2137"/>
      <c r="P10" s="3471" t="s">
        <v>533</v>
      </c>
      <c r="Q10" s="3472"/>
      <c r="R10" s="1568" t="s">
        <v>8</v>
      </c>
      <c r="S10" s="1569">
        <f t="shared" si="0"/>
        <v>100</v>
      </c>
      <c r="T10" s="1568" t="s">
        <v>8</v>
      </c>
      <c r="U10" s="1569">
        <f t="shared" si="1"/>
        <v>100</v>
      </c>
      <c r="V10" s="1568" t="s">
        <v>8</v>
      </c>
      <c r="W10" s="1569">
        <f t="shared" si="2"/>
        <v>100</v>
      </c>
      <c r="X10" s="1570"/>
      <c r="Y10" s="3471" t="s">
        <v>533</v>
      </c>
      <c r="Z10" s="3472"/>
      <c r="AA10" s="1571">
        <f t="shared" ref="AA10:AA47" si="3">D10/F10</f>
        <v>1</v>
      </c>
      <c r="AB10" s="1571">
        <f t="shared" ref="AB10:AB47" si="4">D10/H10</f>
        <v>1</v>
      </c>
      <c r="AC10" s="1571">
        <f t="shared" ref="AC10:AC47" si="5">D10/J10</f>
        <v>1</v>
      </c>
    </row>
    <row r="11" spans="1:30" s="1220" customFormat="1" ht="20.25">
      <c r="A11" s="2915"/>
      <c r="B11" s="2922" t="s">
        <v>2759</v>
      </c>
      <c r="C11" s="2909"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6"/>
      <c r="M11" s="2133"/>
      <c r="N11" s="2133"/>
      <c r="O11" s="2138"/>
      <c r="P11" s="3439" t="s">
        <v>535</v>
      </c>
      <c r="Q11" s="1151" t="str">
        <f t="shared" ref="Q11:Q17" si="6">B11</f>
        <v>用途</v>
      </c>
      <c r="R11" s="1568" t="s">
        <v>8</v>
      </c>
      <c r="S11" s="1569">
        <f t="shared" si="0"/>
        <v>100</v>
      </c>
      <c r="T11" s="1568" t="s">
        <v>8</v>
      </c>
      <c r="U11" s="1569">
        <f t="shared" si="1"/>
        <v>100</v>
      </c>
      <c r="V11" s="1568" t="s">
        <v>8</v>
      </c>
      <c r="W11" s="1569">
        <f t="shared" si="2"/>
        <v>100</v>
      </c>
      <c r="X11" s="1570"/>
      <c r="Y11" s="3385" t="s">
        <v>536</v>
      </c>
      <c r="Z11" s="1150" t="str">
        <f t="shared" ref="Z11:Z17" si="7">Q11</f>
        <v>用途</v>
      </c>
      <c r="AA11" s="1571">
        <f t="shared" si="3"/>
        <v>1</v>
      </c>
      <c r="AB11" s="1571">
        <f t="shared" si="4"/>
        <v>1</v>
      </c>
      <c r="AC11" s="1571">
        <f t="shared" si="5"/>
        <v>1</v>
      </c>
    </row>
    <row r="12" spans="1:30" s="1338" customFormat="1" ht="27">
      <c r="A12" s="2916"/>
      <c r="B12" s="2921" t="s">
        <v>2760</v>
      </c>
      <c r="C12" s="910"/>
      <c r="D12" s="255">
        <v>100</v>
      </c>
      <c r="E12" s="529" t="s">
        <v>3309</v>
      </c>
      <c r="F12" s="255">
        <f>ROUND(100/'数据-取费表'!G16,0)</f>
        <v>101</v>
      </c>
      <c r="G12" s="530" t="s">
        <v>3309</v>
      </c>
      <c r="H12" s="255">
        <f>ROUND(100/'数据-取费表'!G16,0)</f>
        <v>101</v>
      </c>
      <c r="I12" s="530" t="s">
        <v>3309</v>
      </c>
      <c r="J12" s="255">
        <f>ROUND(100/'数据-取费表'!G16,0)</f>
        <v>101</v>
      </c>
      <c r="K12" s="531"/>
      <c r="L12" s="2139"/>
      <c r="M12" s="2133"/>
      <c r="N12" s="2133"/>
      <c r="O12" s="2140"/>
      <c r="P12" s="3439"/>
      <c r="Q12" s="1151" t="str">
        <f t="shared" si="6"/>
        <v>土地使用年限（年）</v>
      </c>
      <c r="R12" s="1568" t="s">
        <v>8</v>
      </c>
      <c r="S12" s="1569">
        <f t="shared" si="0"/>
        <v>101</v>
      </c>
      <c r="T12" s="1568" t="s">
        <v>8</v>
      </c>
      <c r="U12" s="1569">
        <f t="shared" si="1"/>
        <v>101</v>
      </c>
      <c r="V12" s="1568" t="s">
        <v>8</v>
      </c>
      <c r="W12" s="1569">
        <f t="shared" si="2"/>
        <v>101</v>
      </c>
      <c r="X12" s="1570"/>
      <c r="Y12" s="3385"/>
      <c r="Z12" s="1150" t="str">
        <f t="shared" si="7"/>
        <v>土地使用年限（年）</v>
      </c>
      <c r="AA12" s="1571">
        <f t="shared" si="3"/>
        <v>0.99009900990099009</v>
      </c>
      <c r="AB12" s="1571">
        <f t="shared" si="4"/>
        <v>0.99009900990099009</v>
      </c>
      <c r="AC12" s="1571">
        <f t="shared" si="5"/>
        <v>0.99009900990099009</v>
      </c>
    </row>
    <row r="13" spans="1:30" ht="20.25">
      <c r="A13" s="3568"/>
      <c r="B13" s="3567" t="s">
        <v>2761</v>
      </c>
      <c r="C13" s="534">
        <v>6.88</v>
      </c>
      <c r="D13" s="255">
        <v>100</v>
      </c>
      <c r="E13" s="533">
        <v>2.5</v>
      </c>
      <c r="F13" s="255">
        <f>LOOKUP(E13,82:82,83:83)-LOOKUP(C13,82:82,83:83)+100</f>
        <v>140</v>
      </c>
      <c r="G13" s="534">
        <v>1.1000000000000001</v>
      </c>
      <c r="H13" s="255">
        <f>LOOKUP(G13,82:82,83:83)-LOOKUP(C13,82:82,83:83)+100</f>
        <v>150</v>
      </c>
      <c r="I13" s="534">
        <v>1.2</v>
      </c>
      <c r="J13" s="255">
        <f>LOOKUP(I13,82:82,83:83)-LOOKUP(C13,82:82,83:83)+100</f>
        <v>150</v>
      </c>
      <c r="K13" s="535">
        <v>10</v>
      </c>
      <c r="L13" s="2141"/>
      <c r="M13" s="2133"/>
      <c r="N13" s="2133"/>
      <c r="O13" s="2142"/>
      <c r="P13" s="3439"/>
      <c r="Q13" s="1151" t="str">
        <f t="shared" si="6"/>
        <v>容积率</v>
      </c>
      <c r="R13" s="1568" t="s">
        <v>8</v>
      </c>
      <c r="S13" s="1569">
        <f t="shared" si="0"/>
        <v>140</v>
      </c>
      <c r="T13" s="1568" t="s">
        <v>8</v>
      </c>
      <c r="U13" s="1569">
        <f t="shared" si="1"/>
        <v>150</v>
      </c>
      <c r="V13" s="1568" t="s">
        <v>8</v>
      </c>
      <c r="W13" s="1569">
        <f t="shared" si="2"/>
        <v>150</v>
      </c>
      <c r="X13" s="1570"/>
      <c r="Y13" s="3385"/>
      <c r="Z13" s="1150" t="str">
        <f t="shared" si="7"/>
        <v>容积率</v>
      </c>
      <c r="AA13" s="1571">
        <f t="shared" si="3"/>
        <v>0.7142857142857143</v>
      </c>
      <c r="AB13" s="1571">
        <f t="shared" si="4"/>
        <v>0.66666666666666663</v>
      </c>
      <c r="AC13" s="1571">
        <f t="shared" si="5"/>
        <v>0.66666666666666663</v>
      </c>
    </row>
    <row r="14" spans="1:30" s="1220" customFormat="1" ht="20.25">
      <c r="A14" s="2914"/>
      <c r="B14" s="2923" t="s">
        <v>2762</v>
      </c>
      <c r="C14" s="2910" t="s">
        <v>3329</v>
      </c>
      <c r="D14" s="538">
        <v>100</v>
      </c>
      <c r="E14" s="1374" t="s">
        <v>3328</v>
      </c>
      <c r="F14" s="255">
        <f>SUMIF(84:84,E14,85:85)-SUMIF(84:84,C14,85:85)+100</f>
        <v>90</v>
      </c>
      <c r="G14" s="3241" t="s">
        <v>3329</v>
      </c>
      <c r="H14" s="255">
        <f>SUMIF(84:84,G14,85:85)-SUMIF(84:84,C14,85:85)+100</f>
        <v>100</v>
      </c>
      <c r="I14" s="3248" t="s">
        <v>3329</v>
      </c>
      <c r="J14" s="255">
        <f>SUMIF(84:84,I14,85:85)-SUMIF(84:84,C14,85:85)+100</f>
        <v>100</v>
      </c>
      <c r="K14" s="531"/>
      <c r="L14" s="2136"/>
      <c r="M14" s="2133"/>
      <c r="N14" s="2133"/>
      <c r="O14" s="2138"/>
      <c r="P14" s="3439"/>
      <c r="Q14" s="1151" t="str">
        <f t="shared" si="6"/>
        <v>配建</v>
      </c>
      <c r="R14" s="1568" t="s">
        <v>8</v>
      </c>
      <c r="S14" s="1569">
        <f t="shared" si="0"/>
        <v>90</v>
      </c>
      <c r="T14" s="1568" t="s">
        <v>8</v>
      </c>
      <c r="U14" s="1569">
        <f t="shared" si="1"/>
        <v>100</v>
      </c>
      <c r="V14" s="1568" t="s">
        <v>8</v>
      </c>
      <c r="W14" s="1569">
        <f t="shared" si="2"/>
        <v>100</v>
      </c>
      <c r="X14" s="1570"/>
      <c r="Y14" s="3385"/>
      <c r="Z14" s="1150" t="str">
        <f t="shared" si="7"/>
        <v>配建</v>
      </c>
      <c r="AA14" s="1571">
        <f>D14/F14</f>
        <v>1.1111111111111112</v>
      </c>
      <c r="AB14" s="1571">
        <f>D14/H14</f>
        <v>1</v>
      </c>
      <c r="AC14" s="1571">
        <f>D14/J14</f>
        <v>1</v>
      </c>
    </row>
    <row r="15" spans="1:30" ht="20.25">
      <c r="A15" s="2918"/>
      <c r="B15" s="2924">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439"/>
      <c r="Q15" s="1151">
        <f t="shared" si="6"/>
        <v>111</v>
      </c>
      <c r="R15" s="1568" t="s">
        <v>8</v>
      </c>
      <c r="S15" s="1569">
        <f t="shared" si="0"/>
        <v>100</v>
      </c>
      <c r="T15" s="1568" t="s">
        <v>8</v>
      </c>
      <c r="U15" s="1569">
        <f t="shared" si="1"/>
        <v>100</v>
      </c>
      <c r="V15" s="1568" t="s">
        <v>8</v>
      </c>
      <c r="W15" s="1569">
        <f t="shared" si="2"/>
        <v>100</v>
      </c>
      <c r="X15" s="1570"/>
      <c r="Y15" s="3385"/>
      <c r="Z15" s="1150">
        <f t="shared" si="7"/>
        <v>111</v>
      </c>
      <c r="AA15" s="1571">
        <f>D15/F15</f>
        <v>1</v>
      </c>
      <c r="AB15" s="1571">
        <f>D15/H15</f>
        <v>1</v>
      </c>
      <c r="AC15" s="1571">
        <f>D15/J15</f>
        <v>1</v>
      </c>
    </row>
    <row r="16" spans="1:30" ht="2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39"/>
      <c r="Q16" s="1151">
        <f t="shared" si="6"/>
        <v>111</v>
      </c>
      <c r="R16" s="1568" t="s">
        <v>8</v>
      </c>
      <c r="S16" s="1569">
        <f t="shared" si="0"/>
        <v>100</v>
      </c>
      <c r="T16" s="1568" t="s">
        <v>8</v>
      </c>
      <c r="U16" s="1569">
        <f t="shared" si="1"/>
        <v>100</v>
      </c>
      <c r="V16" s="1568" t="s">
        <v>8</v>
      </c>
      <c r="W16" s="1569">
        <f t="shared" si="2"/>
        <v>100</v>
      </c>
      <c r="X16" s="1570"/>
      <c r="Y16" s="3385"/>
      <c r="Z16" s="1150">
        <f t="shared" si="7"/>
        <v>111</v>
      </c>
      <c r="AA16" s="1571">
        <f>D16/F16</f>
        <v>1</v>
      </c>
      <c r="AB16" s="1571">
        <f>D16/H16</f>
        <v>1</v>
      </c>
      <c r="AC16" s="1571">
        <f>D16/J16</f>
        <v>1</v>
      </c>
    </row>
    <row r="17" spans="1:29" ht="99.75">
      <c r="A17" s="2911" t="s">
        <v>2757</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90</v>
      </c>
      <c r="G17" s="552"/>
      <c r="H17" s="549">
        <f>SUMIF(90:90,G18,91:91)-SUMIF(90:90,C18,91:91)+100</f>
        <v>90</v>
      </c>
      <c r="I17" s="552"/>
      <c r="J17" s="549">
        <f>SUMIF(90:90,I18,91:91)-SUMIF(90:90,C18,91:91)+100</f>
        <v>90</v>
      </c>
      <c r="K17" s="535">
        <v>5</v>
      </c>
      <c r="L17" s="2143"/>
      <c r="M17" s="2133"/>
      <c r="N17" s="2133"/>
      <c r="O17" s="2142"/>
      <c r="P17" s="3474" t="s">
        <v>540</v>
      </c>
      <c r="Q17" s="1572" t="str">
        <f t="shared" si="6"/>
        <v>居住社区成熟度</v>
      </c>
      <c r="R17" s="1573" t="s">
        <v>8</v>
      </c>
      <c r="S17" s="1574">
        <f t="shared" si="0"/>
        <v>90</v>
      </c>
      <c r="T17" s="1573" t="s">
        <v>8</v>
      </c>
      <c r="U17" s="1574">
        <f t="shared" si="1"/>
        <v>90</v>
      </c>
      <c r="V17" s="1573" t="s">
        <v>8</v>
      </c>
      <c r="W17" s="1574">
        <f t="shared" si="2"/>
        <v>90</v>
      </c>
      <c r="X17" s="1567"/>
      <c r="Y17" s="3474" t="s">
        <v>540</v>
      </c>
      <c r="Z17" s="1575" t="str">
        <f t="shared" si="7"/>
        <v>居住社区成熟度</v>
      </c>
      <c r="AA17" s="1576">
        <f t="shared" si="3"/>
        <v>1.1111111111111112</v>
      </c>
      <c r="AB17" s="1576">
        <f t="shared" si="4"/>
        <v>1.1111111111111112</v>
      </c>
      <c r="AC17" s="1576">
        <f t="shared" si="5"/>
        <v>1.1111111111111112</v>
      </c>
    </row>
    <row r="18" spans="1:29" ht="20.25">
      <c r="A18" s="532"/>
      <c r="B18" s="553"/>
      <c r="C18" s="554" t="s">
        <v>3127</v>
      </c>
      <c r="D18" s="557"/>
      <c r="E18" s="558" t="s">
        <v>3128</v>
      </c>
      <c r="F18" s="555"/>
      <c r="G18" s="558" t="s">
        <v>3128</v>
      </c>
      <c r="H18" s="559"/>
      <c r="I18" s="558" t="s">
        <v>3128</v>
      </c>
      <c r="J18" s="555"/>
      <c r="K18" s="531"/>
      <c r="L18" s="2143"/>
      <c r="M18" s="2133"/>
      <c r="N18" s="2133"/>
      <c r="O18" s="2142"/>
      <c r="P18" s="3475"/>
      <c r="Q18" s="1572"/>
      <c r="R18" s="1573"/>
      <c r="S18" s="1574"/>
      <c r="T18" s="1573"/>
      <c r="U18" s="1574"/>
      <c r="V18" s="1573"/>
      <c r="W18" s="1574"/>
      <c r="X18" s="1567"/>
      <c r="Y18" s="3475"/>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97</v>
      </c>
      <c r="G19" s="564"/>
      <c r="H19" s="565">
        <f>SUMIF(92:92,G20,93:93)-SUMIF(92:92,C20,93:93)+100</f>
        <v>94</v>
      </c>
      <c r="I19" s="564"/>
      <c r="J19" s="565">
        <f>SUMIF(92:92,I20,93:93)-SUMIF(92:92,C20,93:93)+100</f>
        <v>94</v>
      </c>
      <c r="K19" s="535">
        <v>3</v>
      </c>
      <c r="L19" s="2143"/>
      <c r="M19" s="2133"/>
      <c r="N19" s="2133"/>
      <c r="O19" s="2142"/>
      <c r="P19" s="3475"/>
      <c r="Q19" s="1572" t="str">
        <f>B19</f>
        <v>商业繁华度</v>
      </c>
      <c r="R19" s="1573" t="s">
        <v>8</v>
      </c>
      <c r="S19" s="1574">
        <f>F19</f>
        <v>97</v>
      </c>
      <c r="T19" s="1573" t="s">
        <v>8</v>
      </c>
      <c r="U19" s="1574">
        <f>H19</f>
        <v>94</v>
      </c>
      <c r="V19" s="1573" t="s">
        <v>8</v>
      </c>
      <c r="W19" s="1574">
        <f>J19</f>
        <v>94</v>
      </c>
      <c r="X19" s="1567"/>
      <c r="Y19" s="3475"/>
      <c r="Z19" s="1575" t="str">
        <f>Q19</f>
        <v>商业繁华度</v>
      </c>
      <c r="AA19" s="1576">
        <f t="shared" si="3"/>
        <v>1.0309278350515463</v>
      </c>
      <c r="AB19" s="1576">
        <f t="shared" si="4"/>
        <v>1.0638297872340425</v>
      </c>
      <c r="AC19" s="1576">
        <f t="shared" si="5"/>
        <v>1.0638297872340425</v>
      </c>
    </row>
    <row r="20" spans="1:29" ht="20.25">
      <c r="A20" s="532"/>
      <c r="B20" s="566"/>
      <c r="C20" s="567" t="s">
        <v>3107</v>
      </c>
      <c r="D20" s="563"/>
      <c r="E20" s="569" t="s">
        <v>3128</v>
      </c>
      <c r="F20" s="559"/>
      <c r="G20" s="569" t="s">
        <v>3311</v>
      </c>
      <c r="H20" s="555"/>
      <c r="I20" s="569" t="s">
        <v>3311</v>
      </c>
      <c r="J20" s="555"/>
      <c r="K20" s="531"/>
      <c r="L20" s="2143"/>
      <c r="M20" s="2133"/>
      <c r="N20" s="2133"/>
      <c r="O20" s="2142"/>
      <c r="P20" s="3475"/>
      <c r="Q20" s="1572"/>
      <c r="R20" s="1573"/>
      <c r="S20" s="1574"/>
      <c r="T20" s="1573"/>
      <c r="U20" s="1574"/>
      <c r="V20" s="1573"/>
      <c r="W20" s="1574"/>
      <c r="X20" s="1567"/>
      <c r="Y20" s="3475"/>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97</v>
      </c>
      <c r="G21" s="572"/>
      <c r="H21" s="559">
        <f>SUMIF(94:94,G22,95:95)-SUMIF(94:94,C22,95:95)+100</f>
        <v>97</v>
      </c>
      <c r="I21" s="572"/>
      <c r="J21" s="559">
        <f>SUMIF(94:94,I22,95:95)-SUMIF(94:94,C22,95:95)+100</f>
        <v>97</v>
      </c>
      <c r="K21" s="535">
        <v>3</v>
      </c>
      <c r="L21" s="2143"/>
      <c r="M21" s="2133"/>
      <c r="N21" s="2133"/>
      <c r="O21" s="2142"/>
      <c r="P21" s="3475"/>
      <c r="Q21" s="1572" t="str">
        <f>B21</f>
        <v>办公集聚程度</v>
      </c>
      <c r="R21" s="1573" t="s">
        <v>8</v>
      </c>
      <c r="S21" s="1574">
        <f>F21</f>
        <v>97</v>
      </c>
      <c r="T21" s="1573" t="s">
        <v>8</v>
      </c>
      <c r="U21" s="1574">
        <f>H21</f>
        <v>97</v>
      </c>
      <c r="V21" s="1573" t="s">
        <v>8</v>
      </c>
      <c r="W21" s="1574">
        <f>J21</f>
        <v>97</v>
      </c>
      <c r="X21" s="1567"/>
      <c r="Y21" s="3475"/>
      <c r="Z21" s="1575" t="str">
        <f>Q21</f>
        <v>办公集聚程度</v>
      </c>
      <c r="AA21" s="1576">
        <f t="shared" si="3"/>
        <v>1.0309278350515463</v>
      </c>
      <c r="AB21" s="1576">
        <f t="shared" si="4"/>
        <v>1.0309278350515463</v>
      </c>
      <c r="AC21" s="1576">
        <f t="shared" si="5"/>
        <v>1.0309278350515463</v>
      </c>
    </row>
    <row r="22" spans="1:29" ht="20.25">
      <c r="A22" s="532"/>
      <c r="B22" s="566"/>
      <c r="C22" s="554" t="s">
        <v>3128</v>
      </c>
      <c r="D22" s="557"/>
      <c r="E22" s="558" t="s">
        <v>3311</v>
      </c>
      <c r="F22" s="555"/>
      <c r="G22" s="558" t="s">
        <v>3311</v>
      </c>
      <c r="H22" s="555"/>
      <c r="I22" s="558" t="s">
        <v>3311</v>
      </c>
      <c r="J22" s="555"/>
      <c r="K22" s="531"/>
      <c r="L22" s="2143"/>
      <c r="M22" s="2133"/>
      <c r="N22" s="2133"/>
      <c r="O22" s="2142"/>
      <c r="P22" s="3475"/>
      <c r="Q22" s="1572"/>
      <c r="R22" s="1573"/>
      <c r="S22" s="1574"/>
      <c r="T22" s="1573"/>
      <c r="U22" s="1574"/>
      <c r="V22" s="1573"/>
      <c r="W22" s="1574"/>
      <c r="X22" s="1567"/>
      <c r="Y22" s="3475"/>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95</v>
      </c>
      <c r="G23" s="564"/>
      <c r="H23" s="559">
        <f>SUMIF(96:96,G24,97:97)-SUMIF(96:96,C24,97:97)+100</f>
        <v>95</v>
      </c>
      <c r="I23" s="564"/>
      <c r="J23" s="559">
        <f>SUMIF(96:96,I24,97:97)-SUMIF(96:96,C24,97:97)+100</f>
        <v>95</v>
      </c>
      <c r="K23" s="535">
        <v>5</v>
      </c>
      <c r="L23" s="2143"/>
      <c r="M23" s="2133"/>
      <c r="N23" s="2133"/>
      <c r="O23" s="2142"/>
      <c r="P23" s="3475"/>
      <c r="Q23" s="1572" t="str">
        <f>B23</f>
        <v>交通便捷度</v>
      </c>
      <c r="R23" s="1573" t="s">
        <v>8</v>
      </c>
      <c r="S23" s="1574">
        <f>F23</f>
        <v>95</v>
      </c>
      <c r="T23" s="1573" t="s">
        <v>8</v>
      </c>
      <c r="U23" s="1574">
        <f>H23</f>
        <v>95</v>
      </c>
      <c r="V23" s="1573" t="s">
        <v>8</v>
      </c>
      <c r="W23" s="1574">
        <f>J23</f>
        <v>95</v>
      </c>
      <c r="X23" s="1567"/>
      <c r="Y23" s="3475"/>
      <c r="Z23" s="1575" t="str">
        <f>Q23</f>
        <v>交通便捷度</v>
      </c>
      <c r="AA23" s="1576">
        <f t="shared" si="3"/>
        <v>1.0526315789473684</v>
      </c>
      <c r="AB23" s="1576">
        <f t="shared" si="4"/>
        <v>1.0526315789473684</v>
      </c>
      <c r="AC23" s="1576">
        <f t="shared" si="5"/>
        <v>1.0526315789473684</v>
      </c>
    </row>
    <row r="24" spans="1:29" ht="20.25">
      <c r="A24" s="532"/>
      <c r="B24" s="578"/>
      <c r="C24" s="554" t="s">
        <v>3107</v>
      </c>
      <c r="D24" s="557"/>
      <c r="E24" s="558" t="s">
        <v>3128</v>
      </c>
      <c r="F24" s="555"/>
      <c r="G24" s="558" t="s">
        <v>3128</v>
      </c>
      <c r="H24" s="555"/>
      <c r="I24" s="558" t="s">
        <v>3128</v>
      </c>
      <c r="J24" s="555"/>
      <c r="K24" s="531"/>
      <c r="L24" s="2143"/>
      <c r="M24" s="2133"/>
      <c r="N24" s="2133"/>
      <c r="O24" s="2142"/>
      <c r="P24" s="3475"/>
      <c r="Q24" s="1572"/>
      <c r="R24" s="1573"/>
      <c r="S24" s="1574"/>
      <c r="T24" s="1573"/>
      <c r="U24" s="1574"/>
      <c r="V24" s="1573"/>
      <c r="W24" s="1574"/>
      <c r="X24" s="1567"/>
      <c r="Y24" s="3475"/>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3"/>
      <c r="M25" s="2133"/>
      <c r="N25" s="2133"/>
      <c r="O25" s="2142"/>
      <c r="P25" s="3475"/>
      <c r="Q25" s="1572" t="str">
        <f t="shared" ref="Q25:Q39" si="8">B25</f>
        <v>区域土地利用方向</v>
      </c>
      <c r="R25" s="1573" t="s">
        <v>8</v>
      </c>
      <c r="S25" s="1574">
        <f>F25</f>
        <v>100</v>
      </c>
      <c r="T25" s="1573" t="s">
        <v>8</v>
      </c>
      <c r="U25" s="1574">
        <f>H25</f>
        <v>100</v>
      </c>
      <c r="V25" s="1573" t="s">
        <v>8</v>
      </c>
      <c r="W25" s="1574">
        <f>J25</f>
        <v>100</v>
      </c>
      <c r="X25" s="1567"/>
      <c r="Y25" s="3475"/>
      <c r="Z25" s="1575" t="str">
        <f>Q25</f>
        <v>区域土地利用方向</v>
      </c>
      <c r="AA25" s="1576">
        <f t="shared" si="3"/>
        <v>1</v>
      </c>
      <c r="AB25" s="1576">
        <f t="shared" si="4"/>
        <v>1</v>
      </c>
      <c r="AC25" s="1576">
        <f t="shared" si="5"/>
        <v>1</v>
      </c>
    </row>
    <row r="26" spans="1:29" ht="20.25">
      <c r="A26" s="515"/>
      <c r="B26" s="1007"/>
      <c r="C26" s="554" t="s">
        <v>3107</v>
      </c>
      <c r="D26" s="557"/>
      <c r="E26" s="558" t="s">
        <v>3107</v>
      </c>
      <c r="F26" s="555"/>
      <c r="G26" s="558" t="s">
        <v>3107</v>
      </c>
      <c r="H26" s="555"/>
      <c r="I26" s="558" t="s">
        <v>3107</v>
      </c>
      <c r="J26" s="555"/>
      <c r="K26" s="531"/>
      <c r="L26" s="2143"/>
      <c r="M26" s="2133"/>
      <c r="N26" s="2133"/>
      <c r="O26" s="2142"/>
      <c r="P26" s="3475"/>
      <c r="Q26" s="1572"/>
      <c r="R26" s="1573"/>
      <c r="S26" s="1574"/>
      <c r="T26" s="1573"/>
      <c r="U26" s="1574"/>
      <c r="V26" s="1573"/>
      <c r="W26" s="1574"/>
      <c r="X26" s="1567"/>
      <c r="Y26" s="3475"/>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110</v>
      </c>
      <c r="G27" s="564"/>
      <c r="H27" s="559">
        <f>SUMIF(100:100,G28,101:101)-SUMIF(100:100,C28,101:101)+100</f>
        <v>110</v>
      </c>
      <c r="I27" s="564"/>
      <c r="J27" s="559">
        <f>SUMIF(100:100,I28,101:101)-SUMIF(100:100,C28,101:101)+100</f>
        <v>110</v>
      </c>
      <c r="K27" s="535">
        <v>5</v>
      </c>
      <c r="L27" s="2143"/>
      <c r="M27" s="2133"/>
      <c r="N27" s="2133"/>
      <c r="O27" s="2142"/>
      <c r="P27" s="3475"/>
      <c r="Q27" s="1572" t="str">
        <f t="shared" si="8"/>
        <v>自然及人文环境状况</v>
      </c>
      <c r="R27" s="1573" t="s">
        <v>8</v>
      </c>
      <c r="S27" s="1574">
        <f>F27</f>
        <v>110</v>
      </c>
      <c r="T27" s="1573" t="s">
        <v>8</v>
      </c>
      <c r="U27" s="1574">
        <f>H27</f>
        <v>110</v>
      </c>
      <c r="V27" s="1573" t="s">
        <v>8</v>
      </c>
      <c r="W27" s="1574">
        <f>J27</f>
        <v>110</v>
      </c>
      <c r="X27" s="1567"/>
      <c r="Y27" s="3475"/>
      <c r="Z27" s="1575" t="str">
        <f>Q27</f>
        <v>自然及人文环境状况</v>
      </c>
      <c r="AA27" s="1576">
        <f t="shared" si="3"/>
        <v>0.90909090909090906</v>
      </c>
      <c r="AB27" s="1576">
        <f t="shared" si="4"/>
        <v>0.90909090909090906</v>
      </c>
      <c r="AC27" s="1576">
        <f t="shared" si="5"/>
        <v>0.90909090909090906</v>
      </c>
    </row>
    <row r="28" spans="1:29" ht="20.25">
      <c r="A28" s="515"/>
      <c r="B28" s="566"/>
      <c r="C28" s="554" t="s">
        <v>3128</v>
      </c>
      <c r="D28" s="557"/>
      <c r="E28" s="576" t="s">
        <v>3127</v>
      </c>
      <c r="F28" s="555"/>
      <c r="G28" s="576" t="s">
        <v>3127</v>
      </c>
      <c r="H28" s="555"/>
      <c r="I28" s="576" t="s">
        <v>3127</v>
      </c>
      <c r="J28" s="555"/>
      <c r="K28" s="531"/>
      <c r="L28" s="2143"/>
      <c r="M28" s="2133"/>
      <c r="N28" s="2133"/>
      <c r="O28" s="2142"/>
      <c r="P28" s="3475"/>
      <c r="Q28" s="1572"/>
      <c r="R28" s="1573"/>
      <c r="S28" s="1574"/>
      <c r="T28" s="1573"/>
      <c r="U28" s="1574"/>
      <c r="V28" s="1573"/>
      <c r="W28" s="1574"/>
      <c r="X28" s="1567"/>
      <c r="Y28" s="3475"/>
      <c r="Z28" s="1575"/>
      <c r="AA28" s="1576">
        <v>1</v>
      </c>
      <c r="AB28" s="1576">
        <v>1</v>
      </c>
      <c r="AC28" s="1576">
        <v>1</v>
      </c>
    </row>
    <row r="29" spans="1:29" s="1220" customFormat="1" ht="42.75">
      <c r="A29" s="577"/>
      <c r="B29" s="2592" t="s">
        <v>2551</v>
      </c>
      <c r="C29" s="573" t="str">
        <f>估价对象房地状况!C21</f>
        <v>估价对象所在区域公共配套设施齐备情况</v>
      </c>
      <c r="D29" s="563">
        <v>100</v>
      </c>
      <c r="E29" s="564"/>
      <c r="F29" s="559">
        <f>SUMIF(102:102,E30,103:103)-SUMIF(102:102,C30,103:103)+100</f>
        <v>90</v>
      </c>
      <c r="G29" s="564"/>
      <c r="H29" s="559">
        <f>SUMIF(102:102,G30,103:103)-SUMIF(102:102,C30,103:103)+100</f>
        <v>90</v>
      </c>
      <c r="I29" s="564"/>
      <c r="J29" s="559">
        <f>SUMIF(102:102,I30,103:103)-SUMIF(102:102,C30,103:103)+100</f>
        <v>90</v>
      </c>
      <c r="K29" s="535">
        <v>5</v>
      </c>
      <c r="L29" s="2136"/>
      <c r="M29" s="2133"/>
      <c r="N29" s="2133"/>
      <c r="O29" s="2138"/>
      <c r="P29" s="3475"/>
      <c r="Q29" s="1151" t="str">
        <f t="shared" si="8"/>
        <v>公共配套设施</v>
      </c>
      <c r="R29" s="1568" t="s">
        <v>8</v>
      </c>
      <c r="S29" s="1569">
        <f>F29</f>
        <v>90</v>
      </c>
      <c r="T29" s="1568" t="s">
        <v>8</v>
      </c>
      <c r="U29" s="1569">
        <f>H29</f>
        <v>90</v>
      </c>
      <c r="V29" s="1568" t="s">
        <v>8</v>
      </c>
      <c r="W29" s="1569">
        <f>J29</f>
        <v>90</v>
      </c>
      <c r="X29" s="1570"/>
      <c r="Y29" s="3475"/>
      <c r="Z29" s="1150" t="str">
        <f>Q29</f>
        <v>公共配套设施</v>
      </c>
      <c r="AA29" s="1576">
        <f>D29/F29</f>
        <v>1.1111111111111112</v>
      </c>
      <c r="AB29" s="1576">
        <f>D29/H29</f>
        <v>1.1111111111111112</v>
      </c>
      <c r="AC29" s="1576">
        <f>D29/J29</f>
        <v>1.1111111111111112</v>
      </c>
    </row>
    <row r="30" spans="1:29" s="1220" customFormat="1" ht="20.25">
      <c r="A30" s="577"/>
      <c r="B30" s="566"/>
      <c r="C30" s="579" t="s">
        <v>3127</v>
      </c>
      <c r="D30" s="557"/>
      <c r="E30" s="576" t="s">
        <v>3128</v>
      </c>
      <c r="F30" s="555"/>
      <c r="G30" s="576" t="s">
        <v>3128</v>
      </c>
      <c r="H30" s="555"/>
      <c r="I30" s="576" t="s">
        <v>3128</v>
      </c>
      <c r="J30" s="555"/>
      <c r="K30" s="531"/>
      <c r="L30" s="2136"/>
      <c r="M30" s="2133"/>
      <c r="N30" s="2133"/>
      <c r="O30" s="2138"/>
      <c r="P30" s="3475"/>
      <c r="Q30" s="1151"/>
      <c r="R30" s="1568"/>
      <c r="S30" s="1569"/>
      <c r="T30" s="1568"/>
      <c r="U30" s="1569"/>
      <c r="V30" s="1568"/>
      <c r="W30" s="1569"/>
      <c r="X30" s="1570"/>
      <c r="Y30" s="3475"/>
      <c r="Z30" s="1150"/>
      <c r="AA30" s="1576">
        <v>1</v>
      </c>
      <c r="AB30" s="1576">
        <v>1</v>
      </c>
      <c r="AC30" s="1576">
        <v>1</v>
      </c>
    </row>
    <row r="31" spans="1:29" s="1220" customFormat="1" ht="28.5">
      <c r="A31" s="577"/>
      <c r="B31" s="2592" t="s">
        <v>2552</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6"/>
      <c r="M31" s="2133"/>
      <c r="N31" s="2133"/>
      <c r="O31" s="2138"/>
      <c r="P31" s="3475"/>
      <c r="Q31" s="2579" t="str">
        <f t="shared" ref="Q31" si="9">B31</f>
        <v>基础设施水平</v>
      </c>
      <c r="R31" s="1568" t="s">
        <v>8</v>
      </c>
      <c r="S31" s="1569">
        <f>F31</f>
        <v>100</v>
      </c>
      <c r="T31" s="1568" t="s">
        <v>8</v>
      </c>
      <c r="U31" s="1569">
        <f>H31</f>
        <v>100</v>
      </c>
      <c r="V31" s="1568" t="s">
        <v>8</v>
      </c>
      <c r="W31" s="1569">
        <f>J31</f>
        <v>100</v>
      </c>
      <c r="X31" s="1570"/>
      <c r="Y31" s="3475"/>
      <c r="Z31" s="2576" t="str">
        <f>Q31</f>
        <v>基础设施水平</v>
      </c>
      <c r="AA31" s="1576">
        <f>D31/F31</f>
        <v>1</v>
      </c>
      <c r="AB31" s="1576">
        <f>D31/H31</f>
        <v>1</v>
      </c>
      <c r="AC31" s="1576">
        <f>D31/J31</f>
        <v>1</v>
      </c>
    </row>
    <row r="32" spans="1:29" s="1220" customFormat="1" ht="20.25">
      <c r="A32" s="577"/>
      <c r="B32" s="566"/>
      <c r="C32" s="579" t="s">
        <v>3108</v>
      </c>
      <c r="D32" s="557"/>
      <c r="E32" s="2593" t="s">
        <v>3108</v>
      </c>
      <c r="F32" s="555"/>
      <c r="G32" s="2593" t="s">
        <v>3108</v>
      </c>
      <c r="H32" s="555"/>
      <c r="I32" s="2593" t="s">
        <v>3108</v>
      </c>
      <c r="J32" s="555"/>
      <c r="K32" s="531"/>
      <c r="L32" s="2136"/>
      <c r="M32" s="2133"/>
      <c r="N32" s="2133"/>
      <c r="O32" s="2138"/>
      <c r="P32" s="3475"/>
      <c r="Q32" s="2579"/>
      <c r="R32" s="1568"/>
      <c r="S32" s="1569"/>
      <c r="T32" s="1568"/>
      <c r="U32" s="1569"/>
      <c r="V32" s="1568"/>
      <c r="W32" s="1569"/>
      <c r="X32" s="1570"/>
      <c r="Y32" s="3475"/>
      <c r="Z32" s="2576"/>
      <c r="AA32" s="1576">
        <v>1</v>
      </c>
      <c r="AB32" s="1576">
        <v>1</v>
      </c>
      <c r="AC32" s="1576">
        <v>1</v>
      </c>
    </row>
    <row r="33" spans="1:29" ht="20.25">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v>1</v>
      </c>
      <c r="L33" s="2143"/>
      <c r="M33" s="2133"/>
      <c r="N33" s="2133"/>
      <c r="O33" s="2142"/>
      <c r="P33" s="347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75"/>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4"/>
      <c r="H34" s="559">
        <f>SUMIF(108:108,G35,109:109)-SUMIF(108:108,C35,109:109)+100</f>
        <v>99</v>
      </c>
      <c r="I34" s="564"/>
      <c r="J34" s="559">
        <f>SUMIF(108:108,I35,109:109)-SUMIF(108:108,C35,109:109)+100</f>
        <v>99</v>
      </c>
      <c r="K34" s="535">
        <v>1</v>
      </c>
      <c r="L34" s="2143"/>
      <c r="M34" s="2133"/>
      <c r="N34" s="2133"/>
      <c r="O34" s="2142"/>
      <c r="P34" s="3475"/>
      <c r="Q34" s="1572" t="str">
        <f t="shared" si="8"/>
        <v>毗邻道路的类型与等级</v>
      </c>
      <c r="R34" s="1573" t="s">
        <v>8</v>
      </c>
      <c r="S34" s="1574">
        <f t="shared" si="10"/>
        <v>100</v>
      </c>
      <c r="T34" s="1573" t="s">
        <v>8</v>
      </c>
      <c r="U34" s="1574">
        <f t="shared" si="11"/>
        <v>99</v>
      </c>
      <c r="V34" s="1573" t="s">
        <v>8</v>
      </c>
      <c r="W34" s="1574">
        <f t="shared" si="12"/>
        <v>99</v>
      </c>
      <c r="X34" s="1567"/>
      <c r="Y34" s="3475"/>
      <c r="Z34" s="1575" t="str">
        <f t="shared" si="13"/>
        <v>毗邻道路的类型与等级</v>
      </c>
      <c r="AA34" s="1576">
        <f t="shared" si="3"/>
        <v>1</v>
      </c>
      <c r="AB34" s="1576">
        <f t="shared" si="4"/>
        <v>1.0101010101010102</v>
      </c>
      <c r="AC34" s="1576">
        <f t="shared" si="5"/>
        <v>1.0101010101010102</v>
      </c>
    </row>
    <row r="35" spans="1:29" ht="20.25">
      <c r="A35" s="532"/>
      <c r="B35" s="566"/>
      <c r="C35" s="554" t="s">
        <v>3109</v>
      </c>
      <c r="D35" s="557"/>
      <c r="E35" s="576" t="s">
        <v>3109</v>
      </c>
      <c r="F35" s="555"/>
      <c r="G35" s="576" t="s">
        <v>3323</v>
      </c>
      <c r="H35" s="555"/>
      <c r="I35" s="576" t="s">
        <v>3323</v>
      </c>
      <c r="J35" s="555"/>
      <c r="K35" s="581"/>
      <c r="L35" s="2143"/>
      <c r="M35" s="2133"/>
      <c r="N35" s="2133"/>
      <c r="O35" s="2142"/>
      <c r="P35" s="3475"/>
      <c r="Q35" s="1572"/>
      <c r="R35" s="1573"/>
      <c r="S35" s="1574"/>
      <c r="T35" s="1573"/>
      <c r="U35" s="1574"/>
      <c r="V35" s="1573"/>
      <c r="W35" s="1574"/>
      <c r="X35" s="1567"/>
      <c r="Y35" s="3475"/>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75"/>
      <c r="Q36" s="1572" t="str">
        <f t="shared" si="8"/>
        <v>土地级别</v>
      </c>
      <c r="R36" s="1573" t="s">
        <v>8</v>
      </c>
      <c r="S36" s="1574">
        <f t="shared" si="10"/>
        <v>100</v>
      </c>
      <c r="T36" s="1573" t="s">
        <v>8</v>
      </c>
      <c r="U36" s="1574">
        <f t="shared" si="11"/>
        <v>100</v>
      </c>
      <c r="V36" s="1573" t="s">
        <v>8</v>
      </c>
      <c r="W36" s="1574">
        <f t="shared" si="12"/>
        <v>100</v>
      </c>
      <c r="X36" s="1567"/>
      <c r="Y36" s="3475"/>
      <c r="Z36" s="1575" t="str">
        <f t="shared" si="13"/>
        <v>土地级别</v>
      </c>
      <c r="AA36" s="1576">
        <f t="shared" si="3"/>
        <v>1</v>
      </c>
      <c r="AB36" s="1576">
        <f t="shared" si="4"/>
        <v>1</v>
      </c>
      <c r="AC36" s="1576">
        <f t="shared" si="5"/>
        <v>1</v>
      </c>
    </row>
    <row r="37" spans="1:29" ht="20.25">
      <c r="A37" s="515"/>
      <c r="B37" s="585">
        <v>111</v>
      </c>
      <c r="C37" s="586" t="s">
        <v>3327</v>
      </c>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75"/>
      <c r="Q37" s="1572">
        <f t="shared" si="8"/>
        <v>111</v>
      </c>
      <c r="R37" s="1573" t="s">
        <v>8</v>
      </c>
      <c r="S37" s="1574">
        <f t="shared" si="10"/>
        <v>100</v>
      </c>
      <c r="T37" s="1573" t="s">
        <v>8</v>
      </c>
      <c r="U37" s="1574">
        <f t="shared" si="11"/>
        <v>100</v>
      </c>
      <c r="V37" s="1573" t="s">
        <v>8</v>
      </c>
      <c r="W37" s="1574">
        <f t="shared" si="12"/>
        <v>100</v>
      </c>
      <c r="X37" s="1567"/>
      <c r="Y37" s="3475"/>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76" t="s">
        <v>550</v>
      </c>
      <c r="Q38" s="1572">
        <f t="shared" si="8"/>
        <v>111</v>
      </c>
      <c r="R38" s="1573" t="s">
        <v>8</v>
      </c>
      <c r="S38" s="1574">
        <f t="shared" si="10"/>
        <v>100</v>
      </c>
      <c r="T38" s="1573" t="s">
        <v>8</v>
      </c>
      <c r="U38" s="1574">
        <f t="shared" si="11"/>
        <v>100</v>
      </c>
      <c r="V38" s="1573" t="s">
        <v>8</v>
      </c>
      <c r="W38" s="1574">
        <f t="shared" si="12"/>
        <v>100</v>
      </c>
      <c r="X38" s="1567"/>
      <c r="Y38" s="3477" t="s">
        <v>550</v>
      </c>
      <c r="Z38" s="1575">
        <f t="shared" si="13"/>
        <v>111</v>
      </c>
      <c r="AA38" s="1576">
        <f t="shared" si="3"/>
        <v>1</v>
      </c>
      <c r="AB38" s="1576">
        <f t="shared" si="4"/>
        <v>1</v>
      </c>
      <c r="AC38" s="1576">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77"/>
      <c r="Q39" s="1572">
        <f t="shared" si="8"/>
        <v>111</v>
      </c>
      <c r="R39" s="1577" t="s">
        <v>8</v>
      </c>
      <c r="S39" s="1578">
        <f t="shared" si="10"/>
        <v>100</v>
      </c>
      <c r="T39" s="1577" t="s">
        <v>8</v>
      </c>
      <c r="U39" s="1578">
        <f t="shared" si="11"/>
        <v>100</v>
      </c>
      <c r="V39" s="1577" t="s">
        <v>8</v>
      </c>
      <c r="W39" s="1578">
        <f t="shared" si="12"/>
        <v>100</v>
      </c>
      <c r="X39" s="1579"/>
      <c r="Y39" s="3477"/>
      <c r="Z39" s="1580">
        <f t="shared" si="13"/>
        <v>111</v>
      </c>
      <c r="AA39" s="1576">
        <f t="shared" si="3"/>
        <v>1</v>
      </c>
      <c r="AB39" s="1576">
        <f t="shared" si="4"/>
        <v>1</v>
      </c>
      <c r="AC39" s="1576">
        <f t="shared" si="5"/>
        <v>1</v>
      </c>
    </row>
    <row r="40" spans="1:29" ht="20.25">
      <c r="A40" s="2908" t="s">
        <v>2758</v>
      </c>
      <c r="B40" s="595" t="s">
        <v>552</v>
      </c>
      <c r="C40" s="596">
        <f>'数据-基础表'!A3</f>
        <v>17105.2</v>
      </c>
      <c r="D40" s="597">
        <v>100</v>
      </c>
      <c r="E40" s="596">
        <f>土地案例!E4</f>
        <v>5655.95</v>
      </c>
      <c r="F40" s="597">
        <f>LOOKUP(E40,119:119,120:120)-LOOKUP(C40,119:119,120:120)+100</f>
        <v>100</v>
      </c>
      <c r="G40" s="596">
        <f>土地案例!E2</f>
        <v>136776.20000000001</v>
      </c>
      <c r="H40" s="597">
        <f>LOOKUP(G40,119:119,120:120)-LOOKUP(C40,119:119,120:120)+100</f>
        <v>104</v>
      </c>
      <c r="I40" s="598">
        <f>土地案例!E3</f>
        <v>54956.09</v>
      </c>
      <c r="J40" s="597">
        <f>LOOKUP(I40,119:119,120:120)-LOOKUP(C40,119:119,120:120)+100</f>
        <v>102</v>
      </c>
      <c r="K40" s="581"/>
      <c r="L40" s="2143"/>
      <c r="M40" s="2133"/>
      <c r="N40" s="2133"/>
      <c r="O40" s="2142"/>
      <c r="P40" s="3477"/>
      <c r="Q40" s="1572" t="str">
        <f>B40</f>
        <v>宗地面积</v>
      </c>
      <c r="R40" s="1573" t="s">
        <v>8</v>
      </c>
      <c r="S40" s="1574">
        <f t="shared" si="10"/>
        <v>100</v>
      </c>
      <c r="T40" s="1573" t="s">
        <v>8</v>
      </c>
      <c r="U40" s="1574">
        <f t="shared" si="11"/>
        <v>104</v>
      </c>
      <c r="V40" s="1573" t="s">
        <v>8</v>
      </c>
      <c r="W40" s="1574">
        <f t="shared" si="12"/>
        <v>102</v>
      </c>
      <c r="X40" s="1567"/>
      <c r="Y40" s="3477"/>
      <c r="Z40" s="1575" t="str">
        <f t="shared" si="13"/>
        <v>宗地面积</v>
      </c>
      <c r="AA40" s="1576">
        <f t="shared" si="3"/>
        <v>1</v>
      </c>
      <c r="AB40" s="1576">
        <f t="shared" si="4"/>
        <v>0.96153846153846156</v>
      </c>
      <c r="AC40" s="1576">
        <f t="shared" si="5"/>
        <v>0.98039215686274506</v>
      </c>
    </row>
    <row r="41" spans="1:29" ht="20.25">
      <c r="A41" s="594"/>
      <c r="B41" s="527" t="s">
        <v>553</v>
      </c>
      <c r="C41" s="599" t="s">
        <v>3302</v>
      </c>
      <c r="D41" s="540">
        <v>100</v>
      </c>
      <c r="E41" s="599" t="s">
        <v>3302</v>
      </c>
      <c r="F41" s="540">
        <f>SUMIF(121:121,E41,122:122)-SUMIF(121:121,C41,122:122)+100</f>
        <v>100</v>
      </c>
      <c r="G41" s="599" t="s">
        <v>3302</v>
      </c>
      <c r="H41" s="540">
        <f>SUMIF(121:121,G41,122:122)-SUMIF(121:121,C41,122:122)+100</f>
        <v>100</v>
      </c>
      <c r="I41" s="599" t="s">
        <v>3302</v>
      </c>
      <c r="J41" s="540">
        <f>SUMIF(121:121,I41,122:122)-SUMIF(121:121,C41,122:122)+100</f>
        <v>100</v>
      </c>
      <c r="K41" s="584">
        <v>3</v>
      </c>
      <c r="L41" s="2143"/>
      <c r="M41" s="2133"/>
      <c r="N41" s="2133"/>
      <c r="O41" s="2142"/>
      <c r="P41" s="3477"/>
      <c r="Q41" s="1572" t="str">
        <f t="shared" ref="Q41:Q47" si="14">B41</f>
        <v>宗地形状</v>
      </c>
      <c r="R41" s="1573" t="s">
        <v>8</v>
      </c>
      <c r="S41" s="1574">
        <f t="shared" si="10"/>
        <v>100</v>
      </c>
      <c r="T41" s="1573" t="s">
        <v>8</v>
      </c>
      <c r="U41" s="1574">
        <f t="shared" si="11"/>
        <v>100</v>
      </c>
      <c r="V41" s="1573" t="s">
        <v>8</v>
      </c>
      <c r="W41" s="1574">
        <f t="shared" si="12"/>
        <v>100</v>
      </c>
      <c r="X41" s="1567"/>
      <c r="Y41" s="3477"/>
      <c r="Z41" s="1575" t="str">
        <f t="shared" si="13"/>
        <v>宗地形状</v>
      </c>
      <c r="AA41" s="1576">
        <f t="shared" si="3"/>
        <v>1</v>
      </c>
      <c r="AB41" s="1576">
        <f t="shared" si="4"/>
        <v>1</v>
      </c>
      <c r="AC41" s="1576">
        <f t="shared" si="5"/>
        <v>1</v>
      </c>
    </row>
    <row r="42" spans="1:29" ht="20.25">
      <c r="A42" s="594"/>
      <c r="B42" s="527" t="s">
        <v>554</v>
      </c>
      <c r="C42" s="599" t="s">
        <v>3304</v>
      </c>
      <c r="D42" s="540">
        <v>100</v>
      </c>
      <c r="E42" s="599" t="s">
        <v>3304</v>
      </c>
      <c r="F42" s="540">
        <f>SUMIF(123:123,E42,124:124)-SUMIF(123:123,C42,124:124)+100</f>
        <v>100</v>
      </c>
      <c r="G42" s="599" t="s">
        <v>3304</v>
      </c>
      <c r="H42" s="540">
        <f>SUMIF(123:123,G42,124:124)-SUMIF(123:123,C42,124:124)+100</f>
        <v>100</v>
      </c>
      <c r="I42" s="599" t="s">
        <v>3304</v>
      </c>
      <c r="J42" s="540">
        <f>SUMIF(123:123,I42,124:124)-SUMIF(123:123,C42,124:124)+100</f>
        <v>100</v>
      </c>
      <c r="K42" s="584">
        <v>2</v>
      </c>
      <c r="L42" s="2143"/>
      <c r="M42" s="2133"/>
      <c r="N42" s="2133"/>
      <c r="O42" s="2142"/>
      <c r="P42" s="3477"/>
      <c r="Q42" s="1572" t="str">
        <f t="shared" si="14"/>
        <v>临街宽度及深度</v>
      </c>
      <c r="R42" s="1573" t="s">
        <v>8</v>
      </c>
      <c r="S42" s="1574">
        <f t="shared" si="10"/>
        <v>100</v>
      </c>
      <c r="T42" s="1573" t="s">
        <v>8</v>
      </c>
      <c r="U42" s="1574">
        <f t="shared" si="11"/>
        <v>100</v>
      </c>
      <c r="V42" s="1573" t="s">
        <v>8</v>
      </c>
      <c r="W42" s="1574">
        <f t="shared" si="12"/>
        <v>100</v>
      </c>
      <c r="X42" s="1567"/>
      <c r="Y42" s="3477"/>
      <c r="Z42" s="1575" t="str">
        <f t="shared" si="13"/>
        <v>临街宽度及深度</v>
      </c>
      <c r="AA42" s="1576">
        <f t="shared" si="3"/>
        <v>1</v>
      </c>
      <c r="AB42" s="1576">
        <f t="shared" si="4"/>
        <v>1</v>
      </c>
      <c r="AC42" s="1576">
        <f t="shared" si="5"/>
        <v>1</v>
      </c>
    </row>
    <row r="43" spans="1:29" s="1220" customFormat="1" ht="20.25">
      <c r="A43" s="600"/>
      <c r="B43" s="1896" t="s">
        <v>2427</v>
      </c>
      <c r="C43" s="601" t="s">
        <v>3306</v>
      </c>
      <c r="D43" s="255">
        <v>100</v>
      </c>
      <c r="E43" s="601" t="s">
        <v>3306</v>
      </c>
      <c r="F43" s="540">
        <f>SUMIF(125:125,E43,126:126)-SUMIF(125:125,C43,126:126)+100</f>
        <v>100</v>
      </c>
      <c r="G43" s="601" t="s">
        <v>3306</v>
      </c>
      <c r="H43" s="540">
        <f>SUMIF(125:125,G43,126:126)-SUMIF(125:125,C43,126:126)+100</f>
        <v>100</v>
      </c>
      <c r="I43" s="601" t="s">
        <v>3306</v>
      </c>
      <c r="J43" s="540">
        <f>SUMIF(125:125,I43,126:126)-SUMIF(125:125,C43,126:126)+100</f>
        <v>100</v>
      </c>
      <c r="K43" s="584">
        <v>1</v>
      </c>
      <c r="L43" s="2136"/>
      <c r="M43" s="2133"/>
      <c r="N43" s="2133"/>
      <c r="O43" s="2138"/>
      <c r="P43" s="3477"/>
      <c r="Q43" s="1572" t="str">
        <f t="shared" si="14"/>
        <v>宗地开发程度</v>
      </c>
      <c r="R43" s="1568" t="s">
        <v>8</v>
      </c>
      <c r="S43" s="1569">
        <f t="shared" si="10"/>
        <v>100</v>
      </c>
      <c r="T43" s="1568" t="s">
        <v>8</v>
      </c>
      <c r="U43" s="1569">
        <f t="shared" si="11"/>
        <v>100</v>
      </c>
      <c r="V43" s="1568" t="s">
        <v>8</v>
      </c>
      <c r="W43" s="1569">
        <f t="shared" si="12"/>
        <v>100</v>
      </c>
      <c r="X43" s="1570"/>
      <c r="Y43" s="3477"/>
      <c r="Z43" s="1150" t="str">
        <f t="shared" si="13"/>
        <v>宗地开发程度</v>
      </c>
      <c r="AA43" s="1571">
        <f t="shared" si="3"/>
        <v>1</v>
      </c>
      <c r="AB43" s="1571">
        <f t="shared" si="4"/>
        <v>1</v>
      </c>
      <c r="AC43" s="1571">
        <f t="shared" si="5"/>
        <v>1</v>
      </c>
    </row>
    <row r="44" spans="1:29" ht="20.25">
      <c r="A44" s="594"/>
      <c r="B44" s="527" t="s">
        <v>555</v>
      </c>
      <c r="C44" s="599" t="s">
        <v>3107</v>
      </c>
      <c r="D44" s="540">
        <v>100</v>
      </c>
      <c r="E44" s="599" t="s">
        <v>3107</v>
      </c>
      <c r="F44" s="540">
        <f>SUMIF(127:127,E44,128:128)-SUMIF(127:127,C44,128:128)+100</f>
        <v>100</v>
      </c>
      <c r="G44" s="599" t="s">
        <v>3107</v>
      </c>
      <c r="H44" s="540">
        <f>SUMIF(127:127,G44,128:128)-SUMIF(127:127,C44,128:128)+100</f>
        <v>100</v>
      </c>
      <c r="I44" s="599" t="s">
        <v>3107</v>
      </c>
      <c r="J44" s="540">
        <f>SUMIF(127:127,I44,128:128)-SUMIF(127:127,C44,128:128)+100</f>
        <v>100</v>
      </c>
      <c r="K44" s="584">
        <v>1</v>
      </c>
      <c r="L44" s="2143"/>
      <c r="M44" s="2133"/>
      <c r="N44" s="2133"/>
      <c r="O44" s="2142"/>
      <c r="P44" s="3477" t="s">
        <v>550</v>
      </c>
      <c r="Q44" s="1572" t="str">
        <f t="shared" si="14"/>
        <v>工程地质条件</v>
      </c>
      <c r="R44" s="1573" t="s">
        <v>8</v>
      </c>
      <c r="S44" s="1574">
        <f t="shared" si="10"/>
        <v>100</v>
      </c>
      <c r="T44" s="1573" t="s">
        <v>8</v>
      </c>
      <c r="U44" s="1574">
        <f t="shared" si="11"/>
        <v>100</v>
      </c>
      <c r="V44" s="1573" t="s">
        <v>8</v>
      </c>
      <c r="W44" s="1574">
        <f t="shared" si="12"/>
        <v>100</v>
      </c>
      <c r="X44" s="1567"/>
      <c r="Y44" s="3477"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77"/>
      <c r="Q45" s="1572">
        <f t="shared" si="14"/>
        <v>111</v>
      </c>
      <c r="R45" s="1573" t="s">
        <v>8</v>
      </c>
      <c r="S45" s="1574">
        <f t="shared" si="10"/>
        <v>100</v>
      </c>
      <c r="T45" s="1573" t="s">
        <v>8</v>
      </c>
      <c r="U45" s="1574">
        <f t="shared" si="11"/>
        <v>100</v>
      </c>
      <c r="V45" s="1573" t="s">
        <v>8</v>
      </c>
      <c r="W45" s="1574">
        <f t="shared" si="12"/>
        <v>100</v>
      </c>
      <c r="X45" s="1567"/>
      <c r="Y45" s="3477"/>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77"/>
      <c r="Q46" s="1572">
        <f t="shared" si="14"/>
        <v>111</v>
      </c>
      <c r="R46" s="1573" t="s">
        <v>8</v>
      </c>
      <c r="S46" s="1574">
        <f t="shared" si="10"/>
        <v>100</v>
      </c>
      <c r="T46" s="1573" t="s">
        <v>8</v>
      </c>
      <c r="U46" s="1574">
        <f t="shared" si="11"/>
        <v>100</v>
      </c>
      <c r="V46" s="1573" t="s">
        <v>8</v>
      </c>
      <c r="W46" s="1574">
        <f t="shared" si="12"/>
        <v>100</v>
      </c>
      <c r="X46" s="1567"/>
      <c r="Y46" s="3477"/>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77"/>
      <c r="Q47" s="1572">
        <f t="shared" si="14"/>
        <v>111</v>
      </c>
      <c r="R47" s="1577" t="s">
        <v>8</v>
      </c>
      <c r="S47" s="1578">
        <f t="shared" si="10"/>
        <v>100</v>
      </c>
      <c r="T47" s="1577" t="s">
        <v>8</v>
      </c>
      <c r="U47" s="1578">
        <f t="shared" si="11"/>
        <v>100</v>
      </c>
      <c r="V47" s="1577" t="s">
        <v>8</v>
      </c>
      <c r="W47" s="1578">
        <f t="shared" si="12"/>
        <v>100</v>
      </c>
      <c r="X47" s="1579"/>
      <c r="Y47" s="3477"/>
      <c r="Z47" s="1580">
        <f t="shared" si="13"/>
        <v>111</v>
      </c>
      <c r="AA47" s="1576">
        <f t="shared" si="3"/>
        <v>1</v>
      </c>
      <c r="AB47" s="1576">
        <f t="shared" si="4"/>
        <v>1</v>
      </c>
      <c r="AC47" s="1576">
        <f t="shared" si="5"/>
        <v>1</v>
      </c>
    </row>
    <row r="48" spans="1:29" ht="20.25">
      <c r="A48" s="607" t="s">
        <v>556</v>
      </c>
      <c r="B48" s="608" t="s">
        <v>3142</v>
      </c>
      <c r="C48" s="609" t="s">
        <v>1</v>
      </c>
      <c r="D48" s="610"/>
      <c r="E48" s="611">
        <f>土地案例!L4</f>
        <v>9583.5300000000007</v>
      </c>
      <c r="F48" s="612"/>
      <c r="G48" s="613">
        <f>土地案例!L2</f>
        <v>11518.48</v>
      </c>
      <c r="H48" s="614"/>
      <c r="I48" s="611">
        <f>土地案例!L3</f>
        <v>10993.62</v>
      </c>
      <c r="J48" s="614"/>
      <c r="K48" s="1340"/>
      <c r="L48" s="2145"/>
      <c r="M48" s="2133"/>
      <c r="N48" s="2133"/>
      <c r="O48" s="2146"/>
      <c r="P48" s="3439" t="str">
        <f>A48</f>
        <v>成交单价</v>
      </c>
      <c r="Q48" s="3439"/>
      <c r="R48" s="3440">
        <f>E48</f>
        <v>9583.5300000000007</v>
      </c>
      <c r="S48" s="3440"/>
      <c r="T48" s="3440">
        <f>G48</f>
        <v>11518.48</v>
      </c>
      <c r="U48" s="3440"/>
      <c r="V48" s="3440">
        <f>I48</f>
        <v>10993.62</v>
      </c>
      <c r="W48" s="3440"/>
      <c r="X48" s="1559"/>
      <c r="Y48" s="1581"/>
      <c r="Z48" s="1559"/>
      <c r="AA48" s="1559"/>
      <c r="AB48" s="1559"/>
      <c r="AC48" s="1559"/>
    </row>
    <row r="49" spans="1:29" ht="21" thickBot="1">
      <c r="A49" s="615" t="s">
        <v>2696</v>
      </c>
      <c r="B49" s="616"/>
      <c r="C49" s="617">
        <f>R50</f>
        <v>9873</v>
      </c>
      <c r="D49" s="618"/>
      <c r="E49" s="617">
        <f>R49</f>
        <v>9748</v>
      </c>
      <c r="F49" s="619"/>
      <c r="G49" s="620">
        <f>T49</f>
        <v>10071</v>
      </c>
      <c r="H49" s="618"/>
      <c r="I49" s="617">
        <f>V49</f>
        <v>9801</v>
      </c>
      <c r="J49" s="618"/>
      <c r="K49" s="1341"/>
      <c r="L49" s="2145"/>
      <c r="M49" s="2133"/>
      <c r="N49" s="2133"/>
      <c r="O49" s="2146"/>
      <c r="P49" s="3439" t="str">
        <f>A49</f>
        <v>比较价格（元/平方米）</v>
      </c>
      <c r="Q49" s="3439"/>
      <c r="R49" s="3441">
        <f>ROUND(PRODUCT(R48,AA9:AA47),0)</f>
        <v>9748</v>
      </c>
      <c r="S49" s="3441"/>
      <c r="T49" s="3441">
        <f>ROUND(PRODUCT(T48,AB9:AB47),0)</f>
        <v>10071</v>
      </c>
      <c r="U49" s="3441"/>
      <c r="V49" s="3441">
        <f>ROUND(PRODUCT(V48,AC9:AC47),0)</f>
        <v>9801</v>
      </c>
      <c r="W49" s="3441"/>
      <c r="X49" s="1559"/>
      <c r="Y49" s="1559"/>
      <c r="Z49" s="1559"/>
      <c r="AA49" s="1559"/>
      <c r="AB49" s="1559"/>
      <c r="AC49" s="1559"/>
    </row>
    <row r="50" spans="1:29" ht="21" thickBot="1">
      <c r="A50" s="621" t="s">
        <v>2940</v>
      </c>
      <c r="B50" s="622"/>
      <c r="C50" s="623">
        <f>R50</f>
        <v>9873</v>
      </c>
      <c r="D50" s="623"/>
      <c r="E50" s="623"/>
      <c r="F50" s="623"/>
      <c r="G50" s="623"/>
      <c r="H50" s="623"/>
      <c r="I50" s="623"/>
      <c r="J50" s="623"/>
      <c r="K50" s="1342"/>
      <c r="L50" s="2145"/>
      <c r="M50" s="2133"/>
      <c r="N50" s="2133"/>
      <c r="O50" s="2146"/>
      <c r="P50" s="3436" t="str">
        <f>A50</f>
        <v>估价对象XX用房的比较价格（楼面单价，元/平方米）</v>
      </c>
      <c r="Q50" s="3437"/>
      <c r="R50" s="3438">
        <f>ROUND(AVERAGE(R49:V49),0)</f>
        <v>9873</v>
      </c>
      <c r="S50" s="3438"/>
      <c r="T50" s="3438"/>
      <c r="U50" s="3438"/>
      <c r="V50" s="3438"/>
      <c r="W50" s="3438"/>
      <c r="X50" s="1559"/>
      <c r="Y50" s="1559"/>
      <c r="Z50" s="1559"/>
      <c r="AA50" s="1559"/>
      <c r="AB50" s="1559"/>
      <c r="AC50" s="1559"/>
    </row>
    <row r="51" spans="1:29" ht="20.25">
      <c r="A51" s="2146"/>
      <c r="B51" s="2146"/>
      <c r="C51" s="2146"/>
      <c r="D51" s="2146"/>
      <c r="E51" s="2146" t="s">
        <v>3320</v>
      </c>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3247" t="s">
        <v>3321</v>
      </c>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1.7161734767877634E-2</v>
      </c>
      <c r="F53" s="627" t="str">
        <f>IF(OR(E53&gt;=0.3,E53&lt;=-0.3),"超过30%","")</f>
        <v/>
      </c>
      <c r="G53" s="626">
        <f>IF(G48&lt;G49,G49/G48-1,G48/G49-1)</f>
        <v>0.14372753450501441</v>
      </c>
      <c r="H53" s="627" t="str">
        <f>IF(OR(G53&gt;=0.3,G53&lt;=-0.3),"超过30%","")</f>
        <v/>
      </c>
      <c r="I53" s="626">
        <f>IF(I48&lt;I49,I49/I48-1,I48/I49-1)</f>
        <v>0.12168350168350184</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3.3135002051702944E-2</v>
      </c>
      <c r="F54" s="627" t="str">
        <f>IF(OR(E54&gt;=0.2,E54&lt;=-0.2),"超过20%","")</f>
        <v/>
      </c>
      <c r="G54" s="626">
        <f>IF(G49&lt;I49,I49/G49-1,G49/I49-1)</f>
        <v>2.7548209366391241E-2</v>
      </c>
      <c r="H54" s="627" t="str">
        <f>IF(OR(G54&gt;=0.2,G54&lt;=-0.2),"超过20%","")</f>
        <v/>
      </c>
      <c r="I54" s="626">
        <f>IF(I49&lt;E49,E49/I49-1,I49/E49-1)</f>
        <v>5.4370127205580765E-3</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0.20190368267225112</v>
      </c>
      <c r="F55" s="627" t="str">
        <f>IF(OR(E55&gt;=0.3,E55&lt;=-0.3),"超过30%","")</f>
        <v/>
      </c>
      <c r="G55" s="626">
        <f>IF(G48&lt;I48,I48/G48-1,G48/I48-1)</f>
        <v>4.7742235951397038E-2</v>
      </c>
      <c r="H55" s="627" t="str">
        <f>IF(OR(G55&gt;=0.3,G55&lt;=-0.3),"超过30%","")</f>
        <v/>
      </c>
      <c r="I55" s="626">
        <f>IF(I48&lt;E48,E48/I48-1,I48/E48-1)</f>
        <v>0.14713680658379524</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2296</v>
      </c>
      <c r="E57" s="631" t="s">
        <v>562</v>
      </c>
      <c r="F57" s="632" t="s">
        <v>563</v>
      </c>
      <c r="G57" s="3466" t="s">
        <v>2284</v>
      </c>
      <c r="H57" s="3467"/>
      <c r="I57" s="1555" t="s">
        <v>1723</v>
      </c>
      <c r="J57" s="1555">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9873</v>
      </c>
      <c r="C58" s="635">
        <v>1</v>
      </c>
      <c r="D58" s="2229">
        <v>1</v>
      </c>
      <c r="E58" s="635">
        <f>'数据-汇总表'!E8+'数据-汇总表'!E9</f>
        <v>116121.99999999997</v>
      </c>
      <c r="F58" s="636">
        <f t="shared" ref="F58:F67" si="15">ROUND(B58*E58/10000,0)</f>
        <v>114647</v>
      </c>
      <c r="G58" s="3468"/>
      <c r="H58" s="346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70" t="s">
        <v>2285</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7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7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7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2331</v>
      </c>
      <c r="B63" s="638">
        <f t="shared" si="17"/>
        <v>0</v>
      </c>
      <c r="C63" s="378">
        <f t="shared" si="16"/>
        <v>0</v>
      </c>
      <c r="D63" s="2230">
        <v>0.25</v>
      </c>
      <c r="E63" s="641">
        <f>'数据-汇总表'!E11</f>
        <v>0</v>
      </c>
      <c r="F63" s="636">
        <f t="shared" si="15"/>
        <v>0</v>
      </c>
      <c r="G63" s="1946" t="s">
        <v>2286</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54058</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2285</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2286</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2297</v>
      </c>
      <c r="E68" s="643">
        <f>IF(B48="楼面地价",SUM(E58:E67),'数据-汇总表'!D3)</f>
        <v>170179.99999999997</v>
      </c>
      <c r="F68" s="644">
        <f>IF(B48="楼面地价",SUM(F58:F67),ROUND(C50*E68/10000,0))</f>
        <v>114647</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2535</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2650</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730">
        <v>90</v>
      </c>
      <c r="N73" s="2794"/>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2649</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237" t="s">
        <v>3301</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541">
        <v>8</v>
      </c>
      <c r="L82" s="541">
        <v>9</v>
      </c>
      <c r="M82" s="541">
        <v>10</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90</v>
      </c>
      <c r="E83" s="679">
        <f t="shared" ref="E83:M83" si="21">IF($B$48="单位面积地价",D83+$K13,D83-$K13)</f>
        <v>80</v>
      </c>
      <c r="F83" s="679">
        <f t="shared" si="21"/>
        <v>70</v>
      </c>
      <c r="G83" s="679">
        <f t="shared" si="21"/>
        <v>60</v>
      </c>
      <c r="H83" s="679">
        <f t="shared" si="21"/>
        <v>50</v>
      </c>
      <c r="I83" s="679">
        <f t="shared" si="21"/>
        <v>40</v>
      </c>
      <c r="J83" s="679">
        <f t="shared" si="21"/>
        <v>30</v>
      </c>
      <c r="K83" s="679">
        <f t="shared" si="21"/>
        <v>20</v>
      </c>
      <c r="L83" s="679">
        <f t="shared" si="21"/>
        <v>10</v>
      </c>
      <c r="M83" s="679">
        <f t="shared" si="21"/>
        <v>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3238" t="s">
        <v>3325</v>
      </c>
      <c r="D84" s="1375" t="s">
        <v>3326</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100</v>
      </c>
      <c r="D85" s="671">
        <v>90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97</v>
      </c>
      <c r="E95" s="679">
        <f>D95-$K21</f>
        <v>94</v>
      </c>
      <c r="F95" s="679">
        <f>E95-$K21</f>
        <v>91</v>
      </c>
      <c r="G95" s="679">
        <f>F95-$K21</f>
        <v>88</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2551</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2553</v>
      </c>
      <c r="C104" s="2599" t="s">
        <v>2554</v>
      </c>
      <c r="D104" s="2599" t="s">
        <v>2555</v>
      </c>
      <c r="E104" s="2599" t="s">
        <v>2556</v>
      </c>
      <c r="F104" s="2599" t="s">
        <v>2557</v>
      </c>
      <c r="G104" s="2599" t="s">
        <v>2558</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3238" t="s">
        <v>3143</v>
      </c>
      <c r="E108" s="3238" t="s">
        <v>3324</v>
      </c>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94" t="str">
        <f t="shared" si="25"/>
        <v>350000(含)-</v>
      </c>
      <c r="K118" s="3094" t="str">
        <f t="shared" si="25"/>
        <v>(含)-</v>
      </c>
      <c r="L118" s="3095" t="str">
        <f t="shared" si="25"/>
        <v>(含)-</v>
      </c>
      <c r="M118" s="3096"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v>300000</v>
      </c>
      <c r="J119" s="730">
        <v>350000</v>
      </c>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00">
        <v>104</v>
      </c>
      <c r="F120" s="726">
        <v>106</v>
      </c>
      <c r="G120" s="700">
        <v>108</v>
      </c>
      <c r="H120" s="726">
        <v>110</v>
      </c>
      <c r="I120" s="700">
        <v>112</v>
      </c>
      <c r="J120" s="726">
        <v>114</v>
      </c>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239" t="s">
        <v>3303</v>
      </c>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238" t="s">
        <v>3305</v>
      </c>
      <c r="D123" s="3238" t="s">
        <v>3312</v>
      </c>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2428</v>
      </c>
      <c r="C125" s="1375" t="s">
        <v>3307</v>
      </c>
      <c r="D125" s="1375"/>
      <c r="E125" s="1375"/>
      <c r="F125" s="1375"/>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238" t="s">
        <v>3308</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445" t="s">
        <v>522</v>
      </c>
      <c r="D6" s="3446"/>
      <c r="E6" s="3480" t="s">
        <v>523</v>
      </c>
      <c r="F6" s="3481"/>
      <c r="G6" s="3445" t="s">
        <v>524</v>
      </c>
      <c r="H6" s="3446"/>
      <c r="I6" s="3445" t="s">
        <v>525</v>
      </c>
      <c r="J6" s="3446"/>
      <c r="K6" s="514" t="s">
        <v>526</v>
      </c>
      <c r="L6" s="2134"/>
      <c r="M6" s="2135"/>
      <c r="N6" s="2135"/>
      <c r="O6" s="2135"/>
      <c r="P6" s="3447" t="s">
        <v>527</v>
      </c>
      <c r="Q6" s="3448"/>
      <c r="R6" s="3453" t="s">
        <v>523</v>
      </c>
      <c r="S6" s="3454"/>
      <c r="T6" s="3453" t="s">
        <v>524</v>
      </c>
      <c r="U6" s="3454"/>
      <c r="V6" s="3440" t="s">
        <v>525</v>
      </c>
      <c r="W6" s="3440"/>
      <c r="X6" s="1567"/>
      <c r="Y6" s="3453" t="s">
        <v>527</v>
      </c>
      <c r="Z6" s="3454"/>
      <c r="AA6" s="3442" t="s">
        <v>523</v>
      </c>
      <c r="AB6" s="3443" t="s">
        <v>524</v>
      </c>
      <c r="AC6" s="3442" t="s">
        <v>525</v>
      </c>
    </row>
    <row r="7" spans="1:29" ht="15">
      <c r="A7" s="515"/>
      <c r="B7" s="516"/>
      <c r="C7" s="3461" t="s">
        <v>2934</v>
      </c>
      <c r="D7" s="3462"/>
      <c r="E7" s="3482" t="s">
        <v>2935</v>
      </c>
      <c r="F7" s="3483"/>
      <c r="G7" s="3461" t="s">
        <v>2936</v>
      </c>
      <c r="H7" s="3462"/>
      <c r="I7" s="3461" t="s">
        <v>2937</v>
      </c>
      <c r="J7" s="3462"/>
      <c r="K7" s="514"/>
      <c r="L7" s="2134"/>
      <c r="M7" s="2135"/>
      <c r="N7" s="2135"/>
      <c r="O7" s="2135"/>
      <c r="P7" s="3449"/>
      <c r="Q7" s="3450"/>
      <c r="R7" s="3455"/>
      <c r="S7" s="3456"/>
      <c r="T7" s="3455"/>
      <c r="U7" s="3456"/>
      <c r="V7" s="3440"/>
      <c r="W7" s="3440"/>
      <c r="X7" s="1567"/>
      <c r="Y7" s="3455"/>
      <c r="Z7" s="3456"/>
      <c r="AA7" s="3443"/>
      <c r="AB7" s="3443"/>
      <c r="AC7" s="3443"/>
    </row>
    <row r="8" spans="1:29" ht="15.75" thickBot="1">
      <c r="A8" s="517"/>
      <c r="B8" s="518"/>
      <c r="C8" s="3459" t="s">
        <v>2938</v>
      </c>
      <c r="D8" s="3460"/>
      <c r="E8" s="3478" t="s">
        <v>2938</v>
      </c>
      <c r="F8" s="3479"/>
      <c r="G8" s="3459" t="s">
        <v>2938</v>
      </c>
      <c r="H8" s="3460"/>
      <c r="I8" s="3459" t="s">
        <v>2938</v>
      </c>
      <c r="J8" s="3460"/>
      <c r="K8" s="514" t="s">
        <v>528</v>
      </c>
      <c r="L8" s="2134"/>
      <c r="M8" s="2135"/>
      <c r="N8" s="2135"/>
      <c r="O8" s="2135"/>
      <c r="P8" s="3451"/>
      <c r="Q8" s="3452"/>
      <c r="R8" s="3455"/>
      <c r="S8" s="3456"/>
      <c r="T8" s="3457"/>
      <c r="U8" s="3458"/>
      <c r="V8" s="3440"/>
      <c r="W8" s="3440"/>
      <c r="X8" s="1567"/>
      <c r="Y8" s="3457"/>
      <c r="Z8" s="3458"/>
      <c r="AA8" s="3444"/>
      <c r="AB8" s="3444"/>
      <c r="AC8" s="3444"/>
    </row>
    <row r="9" spans="1:29" s="1220" customFormat="1" ht="15.75" thickBot="1">
      <c r="A9" s="2913"/>
      <c r="B9" s="2920"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71" t="s">
        <v>530</v>
      </c>
      <c r="Q9" s="3473"/>
      <c r="R9" s="1568" t="s">
        <v>8</v>
      </c>
      <c r="S9" s="1569">
        <f t="shared" ref="S9:S17" si="0">F9</f>
        <v>0</v>
      </c>
      <c r="T9" s="1568" t="s">
        <v>8</v>
      </c>
      <c r="U9" s="1569">
        <f t="shared" ref="U9:U17" si="1">H9</f>
        <v>0</v>
      </c>
      <c r="V9" s="1568" t="s">
        <v>8</v>
      </c>
      <c r="W9" s="1569">
        <f t="shared" ref="W9:W17" si="2">J9</f>
        <v>0</v>
      </c>
      <c r="X9" s="1570"/>
      <c r="Y9" s="3471" t="s">
        <v>530</v>
      </c>
      <c r="Z9" s="3472"/>
      <c r="AA9" s="1571" t="e">
        <f>D9/F9</f>
        <v>#DIV/0!</v>
      </c>
      <c r="AB9" s="1571" t="e">
        <f>D9/H9</f>
        <v>#DIV/0!</v>
      </c>
      <c r="AC9" s="1571"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71" t="s">
        <v>533</v>
      </c>
      <c r="Q10" s="3472"/>
      <c r="R10" s="1568" t="s">
        <v>8</v>
      </c>
      <c r="S10" s="1569">
        <f t="shared" si="0"/>
        <v>0</v>
      </c>
      <c r="T10" s="1568" t="s">
        <v>8</v>
      </c>
      <c r="U10" s="1569">
        <f t="shared" si="1"/>
        <v>0</v>
      </c>
      <c r="V10" s="1568" t="s">
        <v>8</v>
      </c>
      <c r="W10" s="1569">
        <f t="shared" si="2"/>
        <v>0</v>
      </c>
      <c r="X10" s="1570"/>
      <c r="Y10" s="3471" t="s">
        <v>533</v>
      </c>
      <c r="Z10" s="3472"/>
      <c r="AA10" s="1571" t="e">
        <f t="shared" ref="AA10:AA42" si="3">D10/F10</f>
        <v>#DIV/0!</v>
      </c>
      <c r="AB10" s="1571" t="e">
        <f t="shared" ref="AB10:AB42" si="4">D10/H10</f>
        <v>#DIV/0!</v>
      </c>
      <c r="AC10" s="1571" t="e">
        <f t="shared" ref="AC10:AC42" si="5">D10/J10</f>
        <v>#DIV/0!</v>
      </c>
    </row>
    <row r="11" spans="1:29" s="1220" customFormat="1" ht="15">
      <c r="A11" s="2915"/>
      <c r="B11" s="2922" t="s">
        <v>2759</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39" t="s">
        <v>535</v>
      </c>
      <c r="Q11" s="1151" t="str">
        <f t="shared" ref="Q11:Q17" si="6">B11</f>
        <v>用途</v>
      </c>
      <c r="R11" s="1568" t="s">
        <v>8</v>
      </c>
      <c r="S11" s="1569">
        <f t="shared" si="0"/>
        <v>100</v>
      </c>
      <c r="T11" s="1568" t="s">
        <v>8</v>
      </c>
      <c r="U11" s="1569">
        <f t="shared" si="1"/>
        <v>100</v>
      </c>
      <c r="V11" s="1568" t="s">
        <v>8</v>
      </c>
      <c r="W11" s="1569">
        <f t="shared" si="2"/>
        <v>100</v>
      </c>
      <c r="X11" s="1570"/>
      <c r="Y11" s="3385" t="s">
        <v>536</v>
      </c>
      <c r="Z11" s="1150" t="str">
        <f t="shared" ref="Z11:Z17" si="7">Q11</f>
        <v>用途</v>
      </c>
      <c r="AA11" s="1571">
        <f t="shared" si="3"/>
        <v>1</v>
      </c>
      <c r="AB11" s="1571">
        <f t="shared" si="4"/>
        <v>1</v>
      </c>
      <c r="AC11" s="1571">
        <f t="shared" si="5"/>
        <v>1</v>
      </c>
    </row>
    <row r="12" spans="1:29" s="1338" customFormat="1" ht="27">
      <c r="A12" s="2916"/>
      <c r="B12" s="2921" t="s">
        <v>2760</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439"/>
      <c r="Q12" s="1151" t="str">
        <f t="shared" si="6"/>
        <v>土地使用年限（年）</v>
      </c>
      <c r="R12" s="1568" t="s">
        <v>8</v>
      </c>
      <c r="S12" s="1569">
        <f t="shared" si="0"/>
        <v>101</v>
      </c>
      <c r="T12" s="1568" t="s">
        <v>8</v>
      </c>
      <c r="U12" s="1569">
        <f t="shared" si="1"/>
        <v>101</v>
      </c>
      <c r="V12" s="1568" t="s">
        <v>8</v>
      </c>
      <c r="W12" s="1569">
        <f t="shared" si="2"/>
        <v>101</v>
      </c>
      <c r="X12" s="1570"/>
      <c r="Y12" s="3385"/>
      <c r="Z12" s="1150" t="str">
        <f t="shared" si="7"/>
        <v>土地使用年限（年）</v>
      </c>
      <c r="AA12" s="1571">
        <f t="shared" si="3"/>
        <v>0.99009900990099009</v>
      </c>
      <c r="AB12" s="1571">
        <f t="shared" si="4"/>
        <v>0.99009900990099009</v>
      </c>
      <c r="AC12" s="1571">
        <f t="shared" si="5"/>
        <v>0.99009900990099009</v>
      </c>
    </row>
    <row r="13" spans="1:29" ht="15">
      <c r="A13" s="2917"/>
      <c r="B13" s="2921"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39"/>
      <c r="Q13" s="1151" t="str">
        <f t="shared" si="6"/>
        <v>容积率</v>
      </c>
      <c r="R13" s="1568" t="s">
        <v>8</v>
      </c>
      <c r="S13" s="1569" t="e">
        <f t="shared" si="0"/>
        <v>#N/A</v>
      </c>
      <c r="T13" s="1568" t="s">
        <v>8</v>
      </c>
      <c r="U13" s="1569" t="e">
        <f t="shared" si="1"/>
        <v>#N/A</v>
      </c>
      <c r="V13" s="1568" t="s">
        <v>8</v>
      </c>
      <c r="W13" s="1569" t="e">
        <f t="shared" si="2"/>
        <v>#N/A</v>
      </c>
      <c r="X13" s="1570"/>
      <c r="Y13" s="3385"/>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39"/>
      <c r="Q14" s="1151">
        <f t="shared" si="6"/>
        <v>111</v>
      </c>
      <c r="R14" s="1568" t="s">
        <v>8</v>
      </c>
      <c r="S14" s="1569">
        <f t="shared" si="0"/>
        <v>100</v>
      </c>
      <c r="T14" s="1568" t="s">
        <v>8</v>
      </c>
      <c r="U14" s="1569">
        <f t="shared" si="1"/>
        <v>100</v>
      </c>
      <c r="V14" s="1568" t="s">
        <v>8</v>
      </c>
      <c r="W14" s="1569">
        <f t="shared" si="2"/>
        <v>100</v>
      </c>
      <c r="X14" s="1570"/>
      <c r="Y14" s="3385"/>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39"/>
      <c r="Q15" s="1151">
        <f t="shared" si="6"/>
        <v>111</v>
      </c>
      <c r="R15" s="1568" t="s">
        <v>8</v>
      </c>
      <c r="S15" s="1569">
        <f t="shared" si="0"/>
        <v>100</v>
      </c>
      <c r="T15" s="1568" t="s">
        <v>8</v>
      </c>
      <c r="U15" s="1569">
        <f t="shared" si="1"/>
        <v>100</v>
      </c>
      <c r="V15" s="1568" t="s">
        <v>8</v>
      </c>
      <c r="W15" s="1569">
        <f t="shared" si="2"/>
        <v>100</v>
      </c>
      <c r="X15" s="1570"/>
      <c r="Y15" s="3385"/>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39"/>
      <c r="Q16" s="1151">
        <f t="shared" si="6"/>
        <v>111</v>
      </c>
      <c r="R16" s="1568" t="s">
        <v>8</v>
      </c>
      <c r="S16" s="1569">
        <f t="shared" si="0"/>
        <v>100</v>
      </c>
      <c r="T16" s="1568" t="s">
        <v>8</v>
      </c>
      <c r="U16" s="1569">
        <f t="shared" si="1"/>
        <v>100</v>
      </c>
      <c r="V16" s="1568" t="s">
        <v>8</v>
      </c>
      <c r="W16" s="1569">
        <f t="shared" si="2"/>
        <v>100</v>
      </c>
      <c r="X16" s="1570"/>
      <c r="Y16" s="3385"/>
      <c r="Z16" s="1150">
        <f t="shared" si="7"/>
        <v>111</v>
      </c>
      <c r="AA16" s="1571">
        <f t="shared" si="3"/>
        <v>1</v>
      </c>
      <c r="AB16" s="1571">
        <f t="shared" si="4"/>
        <v>1</v>
      </c>
      <c r="AC16" s="1571">
        <f t="shared" si="5"/>
        <v>1</v>
      </c>
    </row>
    <row r="17" spans="1:29" ht="57">
      <c r="A17" s="2911" t="s">
        <v>2757</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74" t="s">
        <v>540</v>
      </c>
      <c r="Q17" s="1572" t="str">
        <f t="shared" si="6"/>
        <v>产业集聚程度</v>
      </c>
      <c r="R17" s="1573" t="s">
        <v>8</v>
      </c>
      <c r="S17" s="1574">
        <f t="shared" si="0"/>
        <v>100</v>
      </c>
      <c r="T17" s="1573" t="s">
        <v>8</v>
      </c>
      <c r="U17" s="1574">
        <f t="shared" si="1"/>
        <v>100</v>
      </c>
      <c r="V17" s="1573" t="s">
        <v>8</v>
      </c>
      <c r="W17" s="1574">
        <f t="shared" si="2"/>
        <v>100</v>
      </c>
      <c r="X17" s="1567"/>
      <c r="Y17" s="3474"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75"/>
      <c r="Q18" s="1572"/>
      <c r="R18" s="1573"/>
      <c r="S18" s="1574"/>
      <c r="T18" s="1573"/>
      <c r="U18" s="1574"/>
      <c r="V18" s="1573"/>
      <c r="W18" s="1574"/>
      <c r="X18" s="1567"/>
      <c r="Y18" s="3475"/>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75"/>
      <c r="Q19" s="1572" t="str">
        <f>B19</f>
        <v>交通便捷度</v>
      </c>
      <c r="R19" s="1573" t="s">
        <v>8</v>
      </c>
      <c r="S19" s="1574">
        <f>F19</f>
        <v>100</v>
      </c>
      <c r="T19" s="1573" t="s">
        <v>8</v>
      </c>
      <c r="U19" s="1574">
        <f>H19</f>
        <v>100</v>
      </c>
      <c r="V19" s="1573" t="s">
        <v>8</v>
      </c>
      <c r="W19" s="1574">
        <f>J19</f>
        <v>100</v>
      </c>
      <c r="X19" s="1567"/>
      <c r="Y19" s="3475"/>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75"/>
      <c r="Q20" s="1572"/>
      <c r="R20" s="1573"/>
      <c r="S20" s="1574"/>
      <c r="T20" s="1573"/>
      <c r="U20" s="1574"/>
      <c r="V20" s="1573"/>
      <c r="W20" s="1574"/>
      <c r="X20" s="1567"/>
      <c r="Y20" s="3475"/>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75"/>
      <c r="Q21" s="1572" t="str">
        <f t="shared" ref="Q21:Q35" si="8">B21</f>
        <v>区域土地利用方向</v>
      </c>
      <c r="R21" s="1573" t="s">
        <v>8</v>
      </c>
      <c r="S21" s="1574">
        <f>F21</f>
        <v>100</v>
      </c>
      <c r="T21" s="1573" t="s">
        <v>8</v>
      </c>
      <c r="U21" s="1574">
        <f>H21</f>
        <v>100</v>
      </c>
      <c r="V21" s="1573" t="s">
        <v>8</v>
      </c>
      <c r="W21" s="1574">
        <f>J21</f>
        <v>100</v>
      </c>
      <c r="X21" s="1567"/>
      <c r="Y21" s="347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75"/>
      <c r="Q22" s="1572"/>
      <c r="R22" s="1573"/>
      <c r="S22" s="1574"/>
      <c r="T22" s="1573"/>
      <c r="U22" s="1574"/>
      <c r="V22" s="1573"/>
      <c r="W22" s="1574"/>
      <c r="X22" s="1567"/>
      <c r="Y22" s="3475"/>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75"/>
      <c r="Q23" s="1572" t="str">
        <f t="shared" si="8"/>
        <v>环境状况</v>
      </c>
      <c r="R23" s="1573" t="s">
        <v>8</v>
      </c>
      <c r="S23" s="1574">
        <f>F23</f>
        <v>100</v>
      </c>
      <c r="T23" s="1573" t="s">
        <v>8</v>
      </c>
      <c r="U23" s="1574">
        <f>H23</f>
        <v>100</v>
      </c>
      <c r="V23" s="1573" t="s">
        <v>8</v>
      </c>
      <c r="W23" s="1574">
        <f>J23</f>
        <v>100</v>
      </c>
      <c r="X23" s="1567"/>
      <c r="Y23" s="347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75"/>
      <c r="Q24" s="1572"/>
      <c r="R24" s="1573"/>
      <c r="S24" s="1574"/>
      <c r="T24" s="1573"/>
      <c r="U24" s="1574"/>
      <c r="V24" s="1573"/>
      <c r="W24" s="1574"/>
      <c r="X24" s="1567"/>
      <c r="Y24" s="3475"/>
      <c r="Z24" s="1575"/>
      <c r="AA24" s="1576">
        <v>1</v>
      </c>
      <c r="AB24" s="1576">
        <v>1</v>
      </c>
      <c r="AC24" s="1576">
        <v>1</v>
      </c>
    </row>
    <row r="25" spans="1:29" s="1220" customFormat="1" ht="42.75">
      <c r="A25" s="577"/>
      <c r="B25" s="2594" t="s">
        <v>2551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75"/>
      <c r="Q25" s="1151" t="str">
        <f t="shared" si="8"/>
        <v>公共配套设施</v>
      </c>
      <c r="R25" s="1568" t="s">
        <v>8</v>
      </c>
      <c r="S25" s="1569">
        <f>F25</f>
        <v>100</v>
      </c>
      <c r="T25" s="1568" t="s">
        <v>8</v>
      </c>
      <c r="U25" s="1569">
        <f>H25</f>
        <v>100</v>
      </c>
      <c r="V25" s="1568" t="s">
        <v>8</v>
      </c>
      <c r="W25" s="1569">
        <f>J25</f>
        <v>100</v>
      </c>
      <c r="X25" s="1570"/>
      <c r="Y25" s="3475"/>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75"/>
      <c r="Q26" s="1151"/>
      <c r="R26" s="1568"/>
      <c r="S26" s="1569"/>
      <c r="T26" s="1568"/>
      <c r="U26" s="1569"/>
      <c r="V26" s="1568"/>
      <c r="W26" s="1569"/>
      <c r="X26" s="1570"/>
      <c r="Y26" s="3475"/>
      <c r="Z26" s="1150"/>
      <c r="AA26" s="1571">
        <v>1</v>
      </c>
      <c r="AB26" s="1571">
        <v>1</v>
      </c>
      <c r="AC26" s="1571">
        <v>1</v>
      </c>
    </row>
    <row r="27" spans="1:29" s="1220" customFormat="1" ht="28.5">
      <c r="A27" s="577"/>
      <c r="B27" s="2594" t="s">
        <v>2552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75"/>
      <c r="Q27" s="2579" t="str">
        <f t="shared" ref="Q27" si="9">B27</f>
        <v>基础设施水平</v>
      </c>
      <c r="R27" s="1568" t="s">
        <v>8</v>
      </c>
      <c r="S27" s="1569">
        <f>F27</f>
        <v>100</v>
      </c>
      <c r="T27" s="1568" t="s">
        <v>8</v>
      </c>
      <c r="U27" s="1569">
        <f>H27</f>
        <v>100</v>
      </c>
      <c r="V27" s="1568" t="s">
        <v>8</v>
      </c>
      <c r="W27" s="1569">
        <f>J27</f>
        <v>100</v>
      </c>
      <c r="X27" s="1570"/>
      <c r="Y27" s="3475"/>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75"/>
      <c r="Q28" s="2579"/>
      <c r="R28" s="1568"/>
      <c r="S28" s="1569"/>
      <c r="T28" s="1568"/>
      <c r="U28" s="1569"/>
      <c r="V28" s="1568"/>
      <c r="W28" s="1569"/>
      <c r="X28" s="1570"/>
      <c r="Y28" s="3475"/>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7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75"/>
      <c r="Z29" s="1575" t="str">
        <f t="shared" ref="Z29:Z42" si="13">Q29</f>
        <v>临街状况</v>
      </c>
      <c r="AA29" s="1576">
        <f t="shared" si="3"/>
        <v>1</v>
      </c>
      <c r="AB29" s="1576">
        <f t="shared" si="4"/>
        <v>1</v>
      </c>
      <c r="AC29" s="1576">
        <f t="shared" si="5"/>
        <v>1</v>
      </c>
    </row>
    <row r="30" spans="1:29" ht="27">
      <c r="A30" s="532"/>
      <c r="B30" s="922"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75"/>
      <c r="Q30" s="1572" t="str">
        <f t="shared" si="8"/>
        <v>毗邻道路的类型与等级</v>
      </c>
      <c r="R30" s="1573" t="s">
        <v>8</v>
      </c>
      <c r="S30" s="1574">
        <f t="shared" si="10"/>
        <v>100</v>
      </c>
      <c r="T30" s="1573" t="s">
        <v>8</v>
      </c>
      <c r="U30" s="1574">
        <f t="shared" si="11"/>
        <v>100</v>
      </c>
      <c r="V30" s="1573" t="s">
        <v>8</v>
      </c>
      <c r="W30" s="1574">
        <f t="shared" si="12"/>
        <v>100</v>
      </c>
      <c r="X30" s="1567"/>
      <c r="Y30" s="3475"/>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75"/>
      <c r="Q31" s="1572"/>
      <c r="R31" s="1573"/>
      <c r="S31" s="1574"/>
      <c r="T31" s="1573"/>
      <c r="U31" s="1574"/>
      <c r="V31" s="1573"/>
      <c r="W31" s="1574"/>
      <c r="X31" s="1567"/>
      <c r="Y31" s="3475"/>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75"/>
      <c r="Q32" s="1572" t="str">
        <f t="shared" si="8"/>
        <v>土地级别</v>
      </c>
      <c r="R32" s="1573" t="s">
        <v>8</v>
      </c>
      <c r="S32" s="1574">
        <f t="shared" si="10"/>
        <v>100</v>
      </c>
      <c r="T32" s="1573" t="s">
        <v>8</v>
      </c>
      <c r="U32" s="1574">
        <f t="shared" si="11"/>
        <v>100</v>
      </c>
      <c r="V32" s="1573" t="s">
        <v>8</v>
      </c>
      <c r="W32" s="1574">
        <f t="shared" si="12"/>
        <v>100</v>
      </c>
      <c r="X32" s="1567"/>
      <c r="Y32" s="347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75"/>
      <c r="Q33" s="1572">
        <f t="shared" si="8"/>
        <v>111</v>
      </c>
      <c r="R33" s="1573" t="s">
        <v>8</v>
      </c>
      <c r="S33" s="1574">
        <f t="shared" si="10"/>
        <v>100</v>
      </c>
      <c r="T33" s="1573" t="s">
        <v>8</v>
      </c>
      <c r="U33" s="1574">
        <f t="shared" si="11"/>
        <v>100</v>
      </c>
      <c r="V33" s="1573" t="s">
        <v>8</v>
      </c>
      <c r="W33" s="1574">
        <f t="shared" si="12"/>
        <v>100</v>
      </c>
      <c r="X33" s="1567"/>
      <c r="Y33" s="347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76" t="s">
        <v>550</v>
      </c>
      <c r="Q34" s="1572">
        <f t="shared" si="8"/>
        <v>111</v>
      </c>
      <c r="R34" s="1573" t="s">
        <v>8</v>
      </c>
      <c r="S34" s="1574">
        <f t="shared" si="10"/>
        <v>100</v>
      </c>
      <c r="T34" s="1573" t="s">
        <v>8</v>
      </c>
      <c r="U34" s="1574">
        <f t="shared" si="11"/>
        <v>100</v>
      </c>
      <c r="V34" s="1573" t="s">
        <v>8</v>
      </c>
      <c r="W34" s="1574">
        <f t="shared" si="12"/>
        <v>100</v>
      </c>
      <c r="X34" s="1567"/>
      <c r="Y34" s="3477" t="s">
        <v>550</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77"/>
      <c r="Q35" s="1572">
        <f t="shared" si="8"/>
        <v>111</v>
      </c>
      <c r="R35" s="1577" t="s">
        <v>8</v>
      </c>
      <c r="S35" s="1578">
        <f t="shared" si="10"/>
        <v>100</v>
      </c>
      <c r="T35" s="1577" t="s">
        <v>8</v>
      </c>
      <c r="U35" s="1578">
        <f t="shared" si="11"/>
        <v>100</v>
      </c>
      <c r="V35" s="1577" t="s">
        <v>8</v>
      </c>
      <c r="W35" s="1578">
        <f t="shared" si="12"/>
        <v>100</v>
      </c>
      <c r="X35" s="1579"/>
      <c r="Y35" s="3477"/>
      <c r="Z35" s="1580">
        <f t="shared" si="13"/>
        <v>111</v>
      </c>
      <c r="AA35" s="1576">
        <f t="shared" si="3"/>
        <v>1</v>
      </c>
      <c r="AB35" s="1576">
        <f t="shared" si="4"/>
        <v>1</v>
      </c>
      <c r="AC35" s="1576">
        <f t="shared" si="5"/>
        <v>1</v>
      </c>
    </row>
    <row r="36" spans="1:29" ht="15">
      <c r="A36" s="2908" t="s">
        <v>2758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77"/>
      <c r="Q36" s="1572" t="str">
        <f>B36</f>
        <v>宗地面积</v>
      </c>
      <c r="R36" s="1573" t="s">
        <v>8</v>
      </c>
      <c r="S36" s="1574" t="e">
        <f t="shared" si="10"/>
        <v>#N/A</v>
      </c>
      <c r="T36" s="1573" t="s">
        <v>8</v>
      </c>
      <c r="U36" s="1574" t="e">
        <f t="shared" si="11"/>
        <v>#N/A</v>
      </c>
      <c r="V36" s="1573" t="s">
        <v>8</v>
      </c>
      <c r="W36" s="1574" t="e">
        <f t="shared" si="12"/>
        <v>#N/A</v>
      </c>
      <c r="X36" s="1567"/>
      <c r="Y36" s="3477"/>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77"/>
      <c r="Q37" s="1572" t="str">
        <f t="shared" ref="Q37:Q42" si="14">B37</f>
        <v>宗地形状</v>
      </c>
      <c r="R37" s="1573" t="s">
        <v>8</v>
      </c>
      <c r="S37" s="1574">
        <f t="shared" si="10"/>
        <v>100</v>
      </c>
      <c r="T37" s="1573" t="s">
        <v>8</v>
      </c>
      <c r="U37" s="1574">
        <f t="shared" si="11"/>
        <v>100</v>
      </c>
      <c r="V37" s="1573" t="s">
        <v>8</v>
      </c>
      <c r="W37" s="1574">
        <f t="shared" si="12"/>
        <v>100</v>
      </c>
      <c r="X37" s="1567"/>
      <c r="Y37" s="3477"/>
      <c r="Z37" s="1575" t="str">
        <f t="shared" si="13"/>
        <v>宗地形状</v>
      </c>
      <c r="AA37" s="1576">
        <f t="shared" si="3"/>
        <v>1</v>
      </c>
      <c r="AB37" s="1576">
        <f t="shared" si="4"/>
        <v>1</v>
      </c>
      <c r="AC37" s="1576">
        <f t="shared" si="5"/>
        <v>1</v>
      </c>
    </row>
    <row r="38" spans="1:29" s="1220" customFormat="1" ht="15">
      <c r="A38" s="600"/>
      <c r="B38" s="1896"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77"/>
      <c r="Q38" s="1572" t="str">
        <f t="shared" si="14"/>
        <v>宗地开发程度</v>
      </c>
      <c r="R38" s="1568" t="s">
        <v>8</v>
      </c>
      <c r="S38" s="1569">
        <f t="shared" si="10"/>
        <v>100</v>
      </c>
      <c r="T38" s="1568" t="s">
        <v>8</v>
      </c>
      <c r="U38" s="1569">
        <f t="shared" si="11"/>
        <v>100</v>
      </c>
      <c r="V38" s="1568" t="s">
        <v>8</v>
      </c>
      <c r="W38" s="1569">
        <f t="shared" si="12"/>
        <v>100</v>
      </c>
      <c r="X38" s="1570"/>
      <c r="Y38" s="3477"/>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77" t="s">
        <v>601</v>
      </c>
      <c r="Q39" s="1572" t="str">
        <f t="shared" si="14"/>
        <v>工程地质条件</v>
      </c>
      <c r="R39" s="1573" t="s">
        <v>8</v>
      </c>
      <c r="S39" s="1574">
        <f t="shared" si="10"/>
        <v>100</v>
      </c>
      <c r="T39" s="1573" t="s">
        <v>8</v>
      </c>
      <c r="U39" s="1574">
        <f t="shared" si="11"/>
        <v>100</v>
      </c>
      <c r="V39" s="1573" t="s">
        <v>8</v>
      </c>
      <c r="W39" s="1574">
        <f t="shared" si="12"/>
        <v>100</v>
      </c>
      <c r="X39" s="1567"/>
      <c r="Y39" s="3477"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77"/>
      <c r="Q40" s="1572">
        <f t="shared" si="14"/>
        <v>111</v>
      </c>
      <c r="R40" s="1573" t="s">
        <v>8</v>
      </c>
      <c r="S40" s="1574">
        <f t="shared" si="10"/>
        <v>100</v>
      </c>
      <c r="T40" s="1573" t="s">
        <v>8</v>
      </c>
      <c r="U40" s="1574">
        <f t="shared" si="11"/>
        <v>100</v>
      </c>
      <c r="V40" s="1573" t="s">
        <v>8</v>
      </c>
      <c r="W40" s="1574">
        <f t="shared" si="12"/>
        <v>100</v>
      </c>
      <c r="X40" s="1567"/>
      <c r="Y40" s="347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77"/>
      <c r="Q41" s="1572">
        <f t="shared" si="14"/>
        <v>111</v>
      </c>
      <c r="R41" s="1573" t="s">
        <v>8</v>
      </c>
      <c r="S41" s="1574">
        <f t="shared" si="10"/>
        <v>100</v>
      </c>
      <c r="T41" s="1573" t="s">
        <v>8</v>
      </c>
      <c r="U41" s="1574">
        <f t="shared" si="11"/>
        <v>100</v>
      </c>
      <c r="V41" s="1573" t="s">
        <v>8</v>
      </c>
      <c r="W41" s="1574">
        <f t="shared" si="12"/>
        <v>100</v>
      </c>
      <c r="X41" s="1567"/>
      <c r="Y41" s="3477"/>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77"/>
      <c r="Q42" s="1572">
        <f t="shared" si="14"/>
        <v>111</v>
      </c>
      <c r="R42" s="1577" t="s">
        <v>8</v>
      </c>
      <c r="S42" s="1578">
        <f t="shared" si="10"/>
        <v>100</v>
      </c>
      <c r="T42" s="1577" t="s">
        <v>8</v>
      </c>
      <c r="U42" s="1578">
        <f t="shared" si="11"/>
        <v>100</v>
      </c>
      <c r="V42" s="1577" t="s">
        <v>8</v>
      </c>
      <c r="W42" s="1578">
        <f t="shared" si="12"/>
        <v>100</v>
      </c>
      <c r="X42" s="1579"/>
      <c r="Y42" s="3477"/>
      <c r="Z42" s="1580">
        <f t="shared" si="13"/>
        <v>111</v>
      </c>
      <c r="AA42" s="1576">
        <f t="shared" si="3"/>
        <v>1</v>
      </c>
      <c r="AB42" s="1576">
        <f t="shared" si="4"/>
        <v>1</v>
      </c>
      <c r="AC42" s="1576">
        <f t="shared" si="5"/>
        <v>1</v>
      </c>
    </row>
    <row r="43" spans="1:29" ht="15">
      <c r="A43" s="607" t="s">
        <v>556</v>
      </c>
      <c r="B43" s="608" t="s">
        <v>2939</v>
      </c>
      <c r="C43" s="609" t="s">
        <v>1</v>
      </c>
      <c r="D43" s="610"/>
      <c r="E43" s="611"/>
      <c r="F43" s="612"/>
      <c r="G43" s="613"/>
      <c r="H43" s="614"/>
      <c r="I43" s="611"/>
      <c r="J43" s="614"/>
      <c r="K43" s="1340"/>
      <c r="L43" s="2145"/>
      <c r="M43" s="2135"/>
      <c r="N43" s="2135"/>
      <c r="O43" s="2146"/>
      <c r="P43" s="3439" t="str">
        <f>A43</f>
        <v>成交单价</v>
      </c>
      <c r="Q43" s="3439"/>
      <c r="R43" s="3440">
        <f>E43</f>
        <v>0</v>
      </c>
      <c r="S43" s="3440"/>
      <c r="T43" s="3440">
        <f>G43</f>
        <v>0</v>
      </c>
      <c r="U43" s="3440"/>
      <c r="V43" s="3440">
        <f>I43</f>
        <v>0</v>
      </c>
      <c r="W43" s="3440"/>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1"/>
      <c r="L44" s="2145"/>
      <c r="M44" s="2135"/>
      <c r="N44" s="2135"/>
      <c r="O44" s="2146"/>
      <c r="P44" s="3439" t="str">
        <f>A44</f>
        <v>比较价格（元/平方米）</v>
      </c>
      <c r="Q44" s="3439"/>
      <c r="R44" s="3441" t="e">
        <f>ROUND(PRODUCT(R43,AA9:AA42),0)</f>
        <v>#DIV/0!</v>
      </c>
      <c r="S44" s="3441"/>
      <c r="T44" s="3441" t="e">
        <f>ROUND(PRODUCT(T43,AB9:AB42),0)</f>
        <v>#DIV/0!</v>
      </c>
      <c r="U44" s="3441"/>
      <c r="V44" s="3441" t="e">
        <f>ROUND(PRODUCT(V43,AC9:AC42),0)</f>
        <v>#DIV/0!</v>
      </c>
      <c r="W44" s="3441"/>
      <c r="X44" s="1559"/>
      <c r="Y44" s="1559"/>
      <c r="Z44" s="1559"/>
      <c r="AA44" s="1559"/>
      <c r="AB44" s="1559"/>
      <c r="AC44" s="1559"/>
    </row>
    <row r="45" spans="1:29" ht="15.75" thickBot="1">
      <c r="A45" s="621" t="s">
        <v>2940</v>
      </c>
      <c r="B45" s="622"/>
      <c r="C45" s="623" t="e">
        <f>R45</f>
        <v>#DIV/0!</v>
      </c>
      <c r="D45" s="623"/>
      <c r="E45" s="623"/>
      <c r="F45" s="623"/>
      <c r="G45" s="623"/>
      <c r="H45" s="623"/>
      <c r="I45" s="623"/>
      <c r="J45" s="623"/>
      <c r="K45" s="1342"/>
      <c r="L45" s="2145"/>
      <c r="M45" s="2135"/>
      <c r="N45" s="2135"/>
      <c r="O45" s="2146"/>
      <c r="P45" s="3436" t="str">
        <f>A45</f>
        <v>估价对象XX用房的比较价格（楼面单价，元/平方米）</v>
      </c>
      <c r="Q45" s="3437"/>
      <c r="R45" s="3438" t="e">
        <f>ROUND(AVERAGE(R44:V44),0)</f>
        <v>#DIV/0!</v>
      </c>
      <c r="S45" s="3438"/>
      <c r="T45" s="3438"/>
      <c r="U45" s="3438"/>
      <c r="V45" s="3438"/>
      <c r="W45" s="3438"/>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2296</v>
      </c>
      <c r="E52" s="631" t="s">
        <v>562</v>
      </c>
      <c r="F52" s="1952" t="s">
        <v>563</v>
      </c>
      <c r="G52" s="3484" t="s">
        <v>2287</v>
      </c>
      <c r="H52" s="3485"/>
      <c r="I52" s="1953" t="s">
        <v>1948</v>
      </c>
      <c r="J52" s="1555">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116121.99999999997</v>
      </c>
      <c r="F53" s="1951" t="e">
        <f t="shared" ref="F53:F62" si="15">ROUND(B53*E53/10000,0)</f>
        <v>#DIV/0!</v>
      </c>
      <c r="G53" s="3486"/>
      <c r="H53" s="3487"/>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88" t="s">
        <v>2288</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88"/>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88"/>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88"/>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2331</v>
      </c>
      <c r="B58" s="638" t="e">
        <f t="shared" si="17"/>
        <v>#DIV/0!</v>
      </c>
      <c r="C58" s="378">
        <f t="shared" si="16"/>
        <v>0</v>
      </c>
      <c r="D58" s="2230">
        <v>0.25</v>
      </c>
      <c r="E58" s="641">
        <f>'数据-汇总表'!E11</f>
        <v>0</v>
      </c>
      <c r="F58" s="1951" t="e">
        <f t="shared" si="15"/>
        <v>#DIV/0!</v>
      </c>
      <c r="G58" s="1957" t="s">
        <v>2289</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54058</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2288</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2289</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2297</v>
      </c>
      <c r="E63" s="643">
        <f>IF(B43="楼面地价",SUM(E53:E62),'数据-汇总表'!D3)</f>
        <v>17105.2</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2536</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2652</v>
      </c>
      <c r="B68" s="479" t="str">
        <f>"北京市平均增长率"&amp;TEXT(基准地价!P24,"0.00%")</f>
        <v>北京市平均增长率1.42%</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2551</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2553</v>
      </c>
      <c r="C95" s="2599" t="s">
        <v>2554</v>
      </c>
      <c r="D95" s="2599" t="s">
        <v>2555</v>
      </c>
      <c r="E95" s="2599" t="s">
        <v>2556</v>
      </c>
      <c r="F95" s="2599" t="s">
        <v>2557</v>
      </c>
      <c r="G95" s="2599" t="s">
        <v>2558</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2428</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22" sqref="G22"/>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2429</v>
      </c>
      <c r="D1" s="1521">
        <f>SUM(D29:D30,D33:D39)</f>
        <v>0</v>
      </c>
      <c r="E1" s="1406" t="s">
        <v>2430</v>
      </c>
      <c r="F1" s="2453"/>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37" t="s">
        <v>2765</v>
      </c>
      <c r="S1" s="2937" t="s">
        <v>2766</v>
      </c>
      <c r="T1" s="2937" t="s">
        <v>2787</v>
      </c>
      <c r="U1" s="2937" t="s">
        <v>2788</v>
      </c>
      <c r="V1" s="2937" t="s">
        <v>2789</v>
      </c>
      <c r="W1" s="2190"/>
      <c r="X1" s="2190"/>
      <c r="Y1" s="2190"/>
      <c r="Z1" s="2190"/>
      <c r="AA1" s="2190"/>
      <c r="AB1" s="2190"/>
      <c r="AC1" s="2191"/>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8" t="e">
        <f>ROUND(B2*10000/D1,0)</f>
        <v>#DIV/0!</v>
      </c>
      <c r="C3" s="1407" t="s">
        <v>927</v>
      </c>
      <c r="D3" s="1408" t="s">
        <v>928</v>
      </c>
      <c r="E3" s="1412"/>
      <c r="F3" s="1413" t="s">
        <v>2941</v>
      </c>
      <c r="G3" s="1039">
        <f>IF(F3="宗地容积率",'数据-汇总表'!I4,IF(F3="估价对象容积率",'数据-汇总表'!I6,'数据-汇总表'!I7))</f>
        <v>6.88</v>
      </c>
      <c r="H3" s="1414" t="s">
        <v>929</v>
      </c>
      <c r="I3" s="1040">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2283</v>
      </c>
      <c r="B4" s="2454"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1" t="e">
        <f>ROUND(IF(E2="商业",IF(F16="增加",C6*C7+C16,C6*C7-C16),IF(E2="住宅",IF(F16="增加",C6*C12+C16,C6*C12-C16),IF(F16="增加",C6+C16,C6-C16))),0)</f>
        <v>#DIV/0!</v>
      </c>
      <c r="D5" s="3122">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98" t="str">
        <f>IF(E2="商业",IF(C8="不临58条商业街","",2),"")</f>
        <v/>
      </c>
      <c r="B7" s="1427" t="s">
        <v>932</v>
      </c>
      <c r="C7" s="1043" t="e">
        <f>IF(C8="不临58条商业街",1,ROUND(1+(1.6*E8+1.2*E9+0.8*E10+0.4*E11)*C9,4))</f>
        <v>#DIV/0!</v>
      </c>
      <c r="D7" s="1428" t="s">
        <v>933</v>
      </c>
      <c r="E7" s="1044"/>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2768</v>
      </c>
      <c r="X7" s="2928">
        <f>G2</f>
        <v>0</v>
      </c>
      <c r="Y7" s="2928" t="s">
        <v>2769</v>
      </c>
      <c r="Z7" s="2929">
        <f>G3</f>
        <v>6.88</v>
      </c>
      <c r="AA7" s="2193"/>
      <c r="AB7" s="2193"/>
      <c r="AC7" s="2194"/>
      <c r="AD7" s="2930"/>
      <c r="AE7" s="2930"/>
      <c r="AF7" s="2930"/>
      <c r="AG7" s="2930"/>
      <c r="AH7" s="2930"/>
      <c r="AI7" s="2930"/>
      <c r="AJ7" s="2931"/>
    </row>
    <row r="8" spans="1:39" ht="15">
      <c r="A8" s="3499"/>
      <c r="B8" s="1414" t="s">
        <v>934</v>
      </c>
      <c r="C8" s="1529"/>
      <c r="D8" s="1045" t="s">
        <v>935</v>
      </c>
      <c r="E8" s="1046"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90" t="s">
        <v>2786</v>
      </c>
      <c r="X8" s="3491"/>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499"/>
      <c r="B9" s="1414" t="s">
        <v>937</v>
      </c>
      <c r="C9" s="1047">
        <f>SUMIF(修正!C59:C119,C8,修正!E59:E119)</f>
        <v>0</v>
      </c>
      <c r="D9" s="1048" t="s">
        <v>938</v>
      </c>
      <c r="E9" s="1048"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89" t="s">
        <v>2782</v>
      </c>
      <c r="X9" s="2932" t="s">
        <v>2783</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99"/>
      <c r="B10" s="1414" t="s">
        <v>940</v>
      </c>
      <c r="C10" s="1048">
        <f>SUMIF(修正!C59:C119,C8,修正!F59:F119)</f>
        <v>0</v>
      </c>
      <c r="D10" s="1048" t="s">
        <v>941</v>
      </c>
      <c r="E10" s="1048"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89"/>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99"/>
      <c r="B11" s="1435" t="s">
        <v>943</v>
      </c>
      <c r="C11" s="1049">
        <f>C10/4</f>
        <v>0</v>
      </c>
      <c r="D11" s="1049" t="s">
        <v>944</v>
      </c>
      <c r="E11" s="1049"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89" t="s">
        <v>2784</v>
      </c>
      <c r="X11" s="1048" t="s">
        <v>2769</v>
      </c>
      <c r="Y11" s="1653">
        <f>$G$3</f>
        <v>6.88</v>
      </c>
      <c r="Z11" s="1653">
        <f t="shared" ref="Z11:AJ11" si="3">$G$3</f>
        <v>6.88</v>
      </c>
      <c r="AA11" s="1653">
        <f t="shared" si="3"/>
        <v>6.88</v>
      </c>
      <c r="AB11" s="1653">
        <f t="shared" si="3"/>
        <v>6.88</v>
      </c>
      <c r="AC11" s="1653">
        <f t="shared" si="3"/>
        <v>6.88</v>
      </c>
      <c r="AD11" s="1653">
        <f t="shared" si="3"/>
        <v>6.88</v>
      </c>
      <c r="AE11" s="1653">
        <f t="shared" si="3"/>
        <v>6.88</v>
      </c>
      <c r="AF11" s="1653">
        <f t="shared" si="3"/>
        <v>6.88</v>
      </c>
      <c r="AG11" s="1653">
        <f t="shared" si="3"/>
        <v>6.88</v>
      </c>
      <c r="AH11" s="1653">
        <f t="shared" si="3"/>
        <v>6.88</v>
      </c>
      <c r="AI11" s="1653">
        <f t="shared" si="3"/>
        <v>6.88</v>
      </c>
      <c r="AJ11" s="1653">
        <f t="shared" si="3"/>
        <v>6.88</v>
      </c>
    </row>
    <row r="12" spans="1:39" ht="25.5" thickBot="1">
      <c r="A12" s="3498" t="s">
        <v>1872</v>
      </c>
      <c r="B12" s="1439" t="s">
        <v>946</v>
      </c>
      <c r="C12" s="1043">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89"/>
      <c r="X12" s="2935" t="s">
        <v>2785</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500"/>
      <c r="B13" s="1444" t="s">
        <v>1697</v>
      </c>
      <c r="C13" s="1445" t="s">
        <v>1698</v>
      </c>
      <c r="D13" s="1089" t="s">
        <v>1699</v>
      </c>
      <c r="E13" s="1089"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89"/>
      <c r="X13" s="2935"/>
      <c r="Y13" s="2934">
        <f>(-0.163*(Y12^2)-0.59*Y12+7617)*(10^(-4))/Y11</f>
        <v>0.11071220930232559</v>
      </c>
      <c r="Z13" s="2934">
        <f t="shared" ref="Z13:AJ13" si="5">(-0.163*(Z12^2)-0.59*Z12+7617)*(10^(-4))/Z11</f>
        <v>0.11071220930232559</v>
      </c>
      <c r="AA13" s="2934">
        <f t="shared" si="5"/>
        <v>0.11071220930232559</v>
      </c>
      <c r="AB13" s="2934">
        <f t="shared" si="5"/>
        <v>0.11071220930232559</v>
      </c>
      <c r="AC13" s="2934">
        <f t="shared" si="5"/>
        <v>0.11071220930232559</v>
      </c>
      <c r="AD13" s="2934">
        <f t="shared" si="5"/>
        <v>0.11071220930232559</v>
      </c>
      <c r="AE13" s="2934">
        <f t="shared" si="5"/>
        <v>0.11071220930232559</v>
      </c>
      <c r="AF13" s="2934">
        <f t="shared" si="5"/>
        <v>0.11071220930232559</v>
      </c>
      <c r="AG13" s="2934">
        <f t="shared" si="5"/>
        <v>0.11071220930232559</v>
      </c>
      <c r="AH13" s="2934">
        <f t="shared" si="5"/>
        <v>0.11071220930232559</v>
      </c>
      <c r="AI13" s="2934">
        <f t="shared" si="5"/>
        <v>0.11071220930232559</v>
      </c>
      <c r="AJ13" s="2934">
        <f t="shared" si="5"/>
        <v>0.11071220930232559</v>
      </c>
    </row>
    <row r="14" spans="1:39" ht="12.75" customHeight="1" thickBot="1">
      <c r="A14" s="3500"/>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501"/>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98"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99"/>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ROUND(IF(H19="按公示增长率计算",SUMPRODUCT((地价!A3:A24=YEAR(G19)&amp;"-"&amp;ROUNDUP(MONTH(G19)/3,0))*(地价!X2:AB2=E2)*(地价!X3:AB24)),IF(H19="地价指数",M20/M19,(1+I19)^O19)),4)</f>
        <v>#DIV/0!</v>
      </c>
      <c r="D19" s="1474" t="s">
        <v>958</v>
      </c>
      <c r="E19" s="1058">
        <v>41640</v>
      </c>
      <c r="F19" s="1474" t="s">
        <v>959</v>
      </c>
      <c r="G19" s="1059">
        <f>'数据-取费表'!B2</f>
        <v>43383</v>
      </c>
      <c r="H19" s="1475" t="s">
        <v>2942</v>
      </c>
      <c r="I19" s="2785" t="str">
        <f>IF(H19="季度增幅（自定义）",SUMIF(N21:N24,E2,O21:O24),"")</f>
        <v/>
      </c>
      <c r="J19" s="1471"/>
      <c r="K19" s="1481"/>
      <c r="L19" s="3041" t="s">
        <v>2844</v>
      </c>
      <c r="M19" s="3042">
        <f>ROUND(SUMIF(地价!B2:F2,E2,地价!B24:F24),0)</f>
        <v>0</v>
      </c>
      <c r="N19" s="2787" t="s">
        <v>1677</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7">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3" t="s">
        <v>2845</v>
      </c>
      <c r="M20" s="3044">
        <f>ROUND(SUMPRODUCT((地价!A4:A24=YEAR(G19)&amp;"-"&amp;ROUNDUP(MONTH(G19)/3,0))*(地价!B2:F2=E2)*(地价!B4:F24)),0)</f>
        <v>0</v>
      </c>
      <c r="N20" s="2790" t="s">
        <v>2648</v>
      </c>
      <c r="O20" s="2788" t="s">
        <v>2647</v>
      </c>
      <c r="P20" s="2789" t="s">
        <v>2653</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8">
        <f>IF(B21="容积率修正",IF(G3&lt;=10,D22,J22),C23)</f>
        <v>0</v>
      </c>
      <c r="D21" s="1481"/>
      <c r="E21" s="1481"/>
      <c r="F21" s="1481"/>
      <c r="G21" s="1481"/>
      <c r="H21" s="1481"/>
      <c r="I21" s="1481"/>
      <c r="J21" s="1482"/>
      <c r="K21" s="1481"/>
      <c r="L21" s="1481"/>
      <c r="M21" s="1481"/>
      <c r="N21" s="1478" t="s">
        <v>976</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60" t="s">
        <v>1703</v>
      </c>
      <c r="D22" s="1060">
        <f>IF(E22=G22,F22,IF(G3&lt;=10,ROUND(F22+(H22-F22)*(G3-E22)/(G22-E22),4),"——"))</f>
        <v>0</v>
      </c>
      <c r="E22" s="1039">
        <f>ROUNDDOWN(G3,1)</f>
        <v>6.8</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6.8999999999999995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2651</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89"/>
      <c r="B26" s="1483" t="s">
        <v>987</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3"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1"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504" t="s">
        <v>2968</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505"/>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505"/>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506"/>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1009</v>
      </c>
      <c r="B46" s="2409" t="s">
        <v>1010</v>
      </c>
      <c r="C46" s="2431" t="s">
        <v>1011</v>
      </c>
      <c r="D46" s="2432" t="s">
        <v>1012</v>
      </c>
      <c r="E46" s="2433" t="s">
        <v>1014</v>
      </c>
      <c r="F46" s="2434" t="s">
        <v>2253</v>
      </c>
      <c r="G46" s="2432" t="s">
        <v>1015</v>
      </c>
      <c r="H46" s="2415" t="s">
        <v>2421</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7" t="s">
        <v>1021</v>
      </c>
      <c r="B47" s="2412" t="str">
        <f>估价对象房地状况!C16</f>
        <v>估价对象位于XX商圈，周边商业氛围成熟，人流量大，商业繁华度好</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7" t="s">
        <v>1022</v>
      </c>
      <c r="B48" s="2409" t="str">
        <f>估价对象房地状况!C18</f>
        <v>估价对象周边道路状况、公共交通通达情况、停车便捷程度，综合评价交通便捷度较好</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1023</v>
      </c>
      <c r="B49" s="2409">
        <f>估价对象房地状况!C19</f>
        <v>0</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1024</v>
      </c>
      <c r="B50" s="3099" t="s">
        <v>2944</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1025</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1026</v>
      </c>
      <c r="B52" s="3098" t="s">
        <v>2943</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估价对象所在区域基础设施水平</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42" t="s">
        <v>1029</v>
      </c>
      <c r="B55" s="2413" t="str">
        <f>估价对象房地状况!C20</f>
        <v>区域自然环境：；人文环境；综合评价环境状况一般</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1009</v>
      </c>
      <c r="B57" s="2409"/>
      <c r="C57" s="2431" t="s">
        <v>1011</v>
      </c>
      <c r="D57" s="2432" t="s">
        <v>1012</v>
      </c>
      <c r="E57" s="2433" t="s">
        <v>1014</v>
      </c>
      <c r="F57" s="2434" t="s">
        <v>2254</v>
      </c>
      <c r="G57" s="2432" t="s">
        <v>1015</v>
      </c>
      <c r="H57" s="2415" t="s">
        <v>2421</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7" t="s">
        <v>1031</v>
      </c>
      <c r="B58" s="2412" t="str">
        <f>估价对象房地状况!C17</f>
        <v>估价对象位于XX商圈，周边办公楼项目较多，入驻率高，办公集聚程度较好</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7" t="s">
        <v>1022</v>
      </c>
      <c r="B59" s="2409" t="str">
        <f>估价对象房地状况!C18</f>
        <v>估价对象周边道路状况、公共交通通达情况、停车便捷程度，综合评价交通便捷度较好</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1023</v>
      </c>
      <c r="B60" s="2409">
        <f>估价对象房地状况!C19</f>
        <v>0</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1024</v>
      </c>
      <c r="B61" s="3099" t="s">
        <v>2945</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1025</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1026</v>
      </c>
      <c r="B63" s="3098" t="s">
        <v>2943</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1027</v>
      </c>
      <c r="B64" s="2410" t="str">
        <f>估价对象房地状况!C21</f>
        <v>估价对象所在区域公共配套设施齐备情况</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1028</v>
      </c>
      <c r="B65" s="2410" t="str">
        <f>估价对象房地状况!C22</f>
        <v>估价对象所在区域基础设施水平</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42" t="s">
        <v>1029</v>
      </c>
      <c r="B66" s="2414" t="str">
        <f>估价对象房地状况!C20</f>
        <v>区域自然环境：；人文环境；综合评价环境状况一般</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1009</v>
      </c>
      <c r="B68" s="2409"/>
      <c r="C68" s="2431" t="s">
        <v>1011</v>
      </c>
      <c r="D68" s="2432" t="s">
        <v>1012</v>
      </c>
      <c r="E68" s="2433" t="s">
        <v>1014</v>
      </c>
      <c r="F68" s="2434" t="s">
        <v>2255</v>
      </c>
      <c r="G68" s="2432" t="s">
        <v>1015</v>
      </c>
      <c r="H68" s="2415" t="s">
        <v>2421</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7" t="s">
        <v>1033</v>
      </c>
      <c r="B69" s="2412" t="str">
        <f>估价对象房地状况!C15</f>
        <v>估价对象周边居住用地比例、居住小区规模和社区发展完善程度，综合评价居住社区成熟度一般</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7" t="s">
        <v>1034</v>
      </c>
      <c r="B70" s="2409" t="str">
        <f>估价对象房地状况!C18</f>
        <v>估价对象周边道路状况、公共交通通达情况、停车便捷程度，综合评价交通便捷度较好</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1023</v>
      </c>
      <c r="B71" s="2409">
        <f>估价对象房地状况!C19</f>
        <v>0</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1035</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1027</v>
      </c>
      <c r="B73" s="2410" t="str">
        <f>估价对象房地状况!C21</f>
        <v>估价对象所在区域公共配套设施齐备情况</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1028</v>
      </c>
      <c r="B74" s="2410" t="str">
        <f>估价对象房地状况!C22</f>
        <v>估价对象所在区域基础设施水平</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1026</v>
      </c>
      <c r="B75" s="3098" t="s">
        <v>2943</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7" t="s">
        <v>1029</v>
      </c>
      <c r="B76" s="2412" t="str">
        <f>估价对象房地状况!C20</f>
        <v>区域自然环境：；人文环境；综合评价环境状况一般</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1009</v>
      </c>
      <c r="B79" s="2409"/>
      <c r="C79" s="2431" t="s">
        <v>1011</v>
      </c>
      <c r="D79" s="2432" t="s">
        <v>1012</v>
      </c>
      <c r="E79" s="2433" t="s">
        <v>1014</v>
      </c>
      <c r="F79" s="2434" t="s">
        <v>2256</v>
      </c>
      <c r="G79" s="2432" t="s">
        <v>1015</v>
      </c>
      <c r="H79" s="2415" t="s">
        <v>2421</v>
      </c>
      <c r="I79" s="2432" t="s">
        <v>1013</v>
      </c>
      <c r="J79" s="2435" t="s">
        <v>1016</v>
      </c>
      <c r="K79" s="2435" t="s">
        <v>1017</v>
      </c>
      <c r="L79" s="2435" t="s">
        <v>1018</v>
      </c>
      <c r="M79" s="2435" t="s">
        <v>1019</v>
      </c>
      <c r="N79" s="2435" t="s">
        <v>1020</v>
      </c>
      <c r="AC79" s="1405"/>
      <c r="AD79" s="1404"/>
      <c r="AJ79" s="1403"/>
      <c r="AN79" s="1404"/>
    </row>
    <row r="80" spans="1:40" ht="36">
      <c r="A80" s="1067" t="s">
        <v>1038</v>
      </c>
      <c r="B80" s="2409" t="str">
        <f>估价对象房地状况!G15</f>
        <v>估价对象位于XX开发区，园区建设成熟度XX，产业集聚程度XX</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7" t="s">
        <v>1034</v>
      </c>
      <c r="B81" s="2409" t="str">
        <f>估价对象房地状况!G16</f>
        <v>估价对象周边道路状况、公共交通通达情况、停车便捷程度，综合评价交通便捷度较好</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1023</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1035</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1027</v>
      </c>
      <c r="B84" s="2410" t="str">
        <f>估价对象房地状况!G19</f>
        <v>估价对象所在区域公共配套设施齐备情况</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1028</v>
      </c>
      <c r="B85" s="2410" t="str">
        <f>估价对象房地状况!G20</f>
        <v>估价对象所在区域基础设施水平</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1026</v>
      </c>
      <c r="B86" s="3098" t="s">
        <v>2943</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502" t="s">
        <v>1634</v>
      </c>
      <c r="B90" s="3502"/>
      <c r="C90" s="3502"/>
      <c r="D90" s="3502"/>
      <c r="E90" s="3502"/>
      <c r="F90" s="3502"/>
      <c r="G90" s="3502"/>
      <c r="H90" s="3502"/>
      <c r="I90" s="3502"/>
      <c r="J90" s="3502"/>
      <c r="K90" s="2451"/>
      <c r="L90" s="2451"/>
      <c r="M90" s="2451"/>
      <c r="N90" s="2451"/>
    </row>
    <row r="91" spans="1:40">
      <c r="A91" s="3503" t="s">
        <v>1444</v>
      </c>
      <c r="B91" s="3503" t="s">
        <v>1635</v>
      </c>
      <c r="C91" s="1140" t="s">
        <v>1636</v>
      </c>
      <c r="D91" s="1141"/>
      <c r="E91" s="1141"/>
      <c r="F91" s="1141"/>
      <c r="G91" s="1141"/>
      <c r="H91" s="1141"/>
      <c r="I91" s="1141"/>
      <c r="J91" s="1142"/>
      <c r="K91" s="1134"/>
      <c r="L91" s="1134"/>
      <c r="M91" s="1134"/>
      <c r="N91" s="1134"/>
    </row>
    <row r="92" spans="1:40">
      <c r="A92" s="3503"/>
      <c r="B92" s="3503"/>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92" t="s">
        <v>2767</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9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9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9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9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9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93"/>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9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92" t="s">
        <v>1638</v>
      </c>
      <c r="B101" s="1147" t="s">
        <v>906</v>
      </c>
      <c r="C101" s="1148">
        <f>$G$3</f>
        <v>6.88</v>
      </c>
      <c r="D101" s="1148">
        <f t="shared" ref="D101:N101" si="31">$G$3</f>
        <v>6.88</v>
      </c>
      <c r="E101" s="1148">
        <f t="shared" si="31"/>
        <v>6.88</v>
      </c>
      <c r="F101" s="1148">
        <f t="shared" si="31"/>
        <v>6.88</v>
      </c>
      <c r="G101" s="1148">
        <f t="shared" si="31"/>
        <v>6.88</v>
      </c>
      <c r="H101" s="1148">
        <f t="shared" si="31"/>
        <v>6.88</v>
      </c>
      <c r="I101" s="1148">
        <f t="shared" si="31"/>
        <v>6.88</v>
      </c>
      <c r="J101" s="1148">
        <f t="shared" si="31"/>
        <v>6.88</v>
      </c>
      <c r="K101" s="1148">
        <f t="shared" si="31"/>
        <v>6.88</v>
      </c>
      <c r="L101" s="1148">
        <f t="shared" si="31"/>
        <v>6.88</v>
      </c>
      <c r="M101" s="1148">
        <f t="shared" si="31"/>
        <v>6.88</v>
      </c>
      <c r="N101" s="1148">
        <f t="shared" si="31"/>
        <v>6.88</v>
      </c>
    </row>
    <row r="102" spans="1:14">
      <c r="A102" s="3493"/>
      <c r="B102" s="1143">
        <v>1</v>
      </c>
      <c r="C102" s="1144">
        <f>1.9362/C101</f>
        <v>0.28142441860465117</v>
      </c>
      <c r="D102" s="1144">
        <f>1.9362/D101</f>
        <v>0.28142441860465117</v>
      </c>
      <c r="E102" s="1144">
        <f>1.8629/E101</f>
        <v>0.2707703488372093</v>
      </c>
      <c r="F102" s="1144">
        <f>1.8629/F101</f>
        <v>0.2707703488372093</v>
      </c>
      <c r="G102" s="1144">
        <f>1.8629/G101</f>
        <v>0.2707703488372093</v>
      </c>
      <c r="H102" s="1144">
        <f>1.8629/H101</f>
        <v>0.2707703488372093</v>
      </c>
      <c r="I102" s="1144">
        <f>1.8629/I101</f>
        <v>0.2707703488372093</v>
      </c>
      <c r="J102" s="1144">
        <f>1.942/J101</f>
        <v>0.2822674418604651</v>
      </c>
      <c r="K102" s="1144">
        <f>1.942/K101</f>
        <v>0.2822674418604651</v>
      </c>
      <c r="L102" s="1144">
        <f>1.942/L101</f>
        <v>0.2822674418604651</v>
      </c>
      <c r="M102" s="1144">
        <f>1.942/M101</f>
        <v>0.2822674418604651</v>
      </c>
      <c r="N102" s="1144">
        <f>1.942/N101</f>
        <v>0.2822674418604651</v>
      </c>
    </row>
    <row r="103" spans="1:14">
      <c r="A103" s="3493"/>
      <c r="B103" s="1143">
        <v>2</v>
      </c>
      <c r="C103" s="1144">
        <f>1.4198/C101</f>
        <v>0.20636627906976743</v>
      </c>
      <c r="D103" s="1144">
        <f>1.4198/D101</f>
        <v>0.20636627906976743</v>
      </c>
      <c r="E103" s="1144">
        <f>1.3372/E101</f>
        <v>0.19436046511627905</v>
      </c>
      <c r="F103" s="1144">
        <f>1.3372/F101</f>
        <v>0.19436046511627905</v>
      </c>
      <c r="G103" s="1144">
        <f>1.3372/G101</f>
        <v>0.19436046511627905</v>
      </c>
      <c r="H103" s="1144">
        <f>1.3372/H101</f>
        <v>0.19436046511627905</v>
      </c>
      <c r="I103" s="1144">
        <f>1.3372/I101</f>
        <v>0.19436046511627905</v>
      </c>
      <c r="J103" s="1144">
        <f>1.2799/J101</f>
        <v>0.18603197674418606</v>
      </c>
      <c r="K103" s="1144">
        <f>1.2799/K101</f>
        <v>0.18603197674418606</v>
      </c>
      <c r="L103" s="1144">
        <f>1.2799/L101</f>
        <v>0.18603197674418606</v>
      </c>
      <c r="M103" s="1144">
        <f>1.2799/M101</f>
        <v>0.18603197674418606</v>
      </c>
      <c r="N103" s="1144">
        <f>1.2799/N101</f>
        <v>0.18603197674418606</v>
      </c>
    </row>
    <row r="104" spans="1:14">
      <c r="A104" s="3493"/>
      <c r="B104" s="1143">
        <v>3</v>
      </c>
      <c r="C104" s="1144">
        <f>1.1594/C101</f>
        <v>0.16851744186046511</v>
      </c>
      <c r="D104" s="1144">
        <f>1.1594/D101</f>
        <v>0.16851744186046511</v>
      </c>
      <c r="E104" s="1144">
        <f>1.0788/E101</f>
        <v>0.15680232558139534</v>
      </c>
      <c r="F104" s="1144">
        <f>1.0788/F101</f>
        <v>0.15680232558139534</v>
      </c>
      <c r="G104" s="1144">
        <f>1.0788/G101</f>
        <v>0.15680232558139534</v>
      </c>
      <c r="H104" s="1144">
        <f>1.0788/H101</f>
        <v>0.15680232558139534</v>
      </c>
      <c r="I104" s="1144">
        <f>1.0788/I101</f>
        <v>0.15680232558139534</v>
      </c>
      <c r="J104" s="1144">
        <f>1.0072/J101</f>
        <v>0.14639534883720931</v>
      </c>
      <c r="K104" s="1144">
        <f>1.0072/K101</f>
        <v>0.14639534883720931</v>
      </c>
      <c r="L104" s="1144">
        <f>1.0072/L101</f>
        <v>0.14639534883720931</v>
      </c>
      <c r="M104" s="1144">
        <f>1.0072/M101</f>
        <v>0.14639534883720931</v>
      </c>
      <c r="N104" s="1144">
        <f>1.0072/N101</f>
        <v>0.14639534883720931</v>
      </c>
    </row>
    <row r="105" spans="1:14">
      <c r="A105" s="3493"/>
      <c r="B105" s="1143">
        <v>4</v>
      </c>
      <c r="C105" s="1144">
        <f>0.9622/C101</f>
        <v>0.13985465116279069</v>
      </c>
      <c r="D105" s="1144">
        <f>0.9622/D101</f>
        <v>0.13985465116279069</v>
      </c>
      <c r="E105" s="1144">
        <f>0.8656/E101</f>
        <v>0.1258139534883721</v>
      </c>
      <c r="F105" s="1144">
        <f>0.8656/F101</f>
        <v>0.1258139534883721</v>
      </c>
      <c r="G105" s="1144">
        <f>0.8656/G101</f>
        <v>0.1258139534883721</v>
      </c>
      <c r="H105" s="1144">
        <f>0.8656/H101</f>
        <v>0.1258139534883721</v>
      </c>
      <c r="I105" s="1144">
        <f>0.8656/I101</f>
        <v>0.1258139534883721</v>
      </c>
      <c r="J105" s="1144">
        <f>0.7525/J101</f>
        <v>0.109375</v>
      </c>
      <c r="K105" s="1144">
        <f>0.7525/K101</f>
        <v>0.109375</v>
      </c>
      <c r="L105" s="1144">
        <f>0.7525/L101</f>
        <v>0.109375</v>
      </c>
      <c r="M105" s="1144">
        <f>0.7525/M101</f>
        <v>0.109375</v>
      </c>
      <c r="N105" s="1144">
        <f>0.7525/N101</f>
        <v>0.109375</v>
      </c>
    </row>
    <row r="106" spans="1:14">
      <c r="A106" s="3493"/>
      <c r="B106" s="1143">
        <v>5</v>
      </c>
      <c r="C106" s="1144">
        <f>0.8417/C101</f>
        <v>0.12234011627906977</v>
      </c>
      <c r="D106" s="1144">
        <f>0.8417/D101</f>
        <v>0.12234011627906977</v>
      </c>
      <c r="E106" s="1144">
        <f>0.7371/E101</f>
        <v>0.10713662790697674</v>
      </c>
      <c r="F106" s="1144">
        <f>0.7371/F101</f>
        <v>0.10713662790697674</v>
      </c>
      <c r="G106" s="1144">
        <f>0.7371/G101</f>
        <v>0.10713662790697674</v>
      </c>
      <c r="H106" s="1144">
        <f>0.7371/H101</f>
        <v>0.10713662790697674</v>
      </c>
      <c r="I106" s="1144">
        <f>0.7371/I101</f>
        <v>0.10713662790697674</v>
      </c>
      <c r="J106" s="1144">
        <f>0.5659/J101</f>
        <v>8.2252906976744186E-2</v>
      </c>
      <c r="K106" s="1144">
        <f>0.5659/K101</f>
        <v>8.2252906976744186E-2</v>
      </c>
      <c r="L106" s="1144">
        <f>0.5659/L101</f>
        <v>8.2252906976744186E-2</v>
      </c>
      <c r="M106" s="1144">
        <f>0.5659/M101</f>
        <v>8.2252906976744186E-2</v>
      </c>
      <c r="N106" s="1144">
        <f>0.5659/N101</f>
        <v>8.2252906976744186E-2</v>
      </c>
    </row>
    <row r="107" spans="1:14">
      <c r="A107" s="3493"/>
      <c r="B107" s="1143">
        <v>6</v>
      </c>
      <c r="C107" s="1144">
        <f>0.7608/C101</f>
        <v>0.11058139534883722</v>
      </c>
      <c r="D107" s="1144">
        <f>0.7608/D101</f>
        <v>0.11058139534883722</v>
      </c>
      <c r="E107" s="1144">
        <f>0.6482/E101</f>
        <v>9.4215116279069769E-2</v>
      </c>
      <c r="F107" s="1144">
        <f>0.6482/F101</f>
        <v>9.4215116279069769E-2</v>
      </c>
      <c r="G107" s="1144">
        <f>0.6482/G101</f>
        <v>9.4215116279069769E-2</v>
      </c>
      <c r="H107" s="1144">
        <f>0.6482/H101</f>
        <v>9.4215116279069769E-2</v>
      </c>
      <c r="I107" s="1144">
        <f>0.6482/I101</f>
        <v>9.4215116279069769E-2</v>
      </c>
      <c r="J107" s="1144">
        <f>0.4525/J101</f>
        <v>6.5770348837209308E-2</v>
      </c>
      <c r="K107" s="1144">
        <f>0.4525/K101</f>
        <v>6.5770348837209308E-2</v>
      </c>
      <c r="L107" s="1144">
        <f>0.4525/L101</f>
        <v>6.5770348837209308E-2</v>
      </c>
      <c r="M107" s="1144">
        <f>0.4525/M101</f>
        <v>6.5770348837209308E-2</v>
      </c>
      <c r="N107" s="1144">
        <f>0.4525/N101</f>
        <v>6.5770348837209308E-2</v>
      </c>
    </row>
    <row r="108" spans="1:14">
      <c r="A108" s="3493"/>
      <c r="B108" s="3495"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94"/>
      <c r="B109" s="3496"/>
      <c r="C109" s="1146">
        <f>(-0.163*(C108^2)-0.59*C108+7617)*(10^(-4))/C101</f>
        <v>0.11049197674418605</v>
      </c>
      <c r="D109" s="1146">
        <f>(-0.163*(D108^2)-0.59*D108+7617)*(10^(-4))/D101</f>
        <v>0.11049197674418605</v>
      </c>
      <c r="E109" s="1146">
        <f>(-0.161*(E108^2)-7.509*E108+6533)*(10^(-4))/E101</f>
        <v>9.3933488372093032E-2</v>
      </c>
      <c r="F109" s="1146">
        <f>(-0.161*(F108^2)-7.509*F108+6533)*(10^(-4))/F101</f>
        <v>9.3933488372093032E-2</v>
      </c>
      <c r="G109" s="1146">
        <f>(-0.161*(G108^2)-7.509*G108+6533)*(10^(-4))/G101</f>
        <v>9.3933488372093032E-2</v>
      </c>
      <c r="H109" s="1146">
        <f>(-0.161*(H108^2)-7.509*H108+6533)*(10^(-4))/H101</f>
        <v>9.3933488372093032E-2</v>
      </c>
      <c r="I109" s="1146">
        <f>(-0.161*(I108^2)-7.509*I108+6533)*(10^(-4))/I101</f>
        <v>9.3933488372093032E-2</v>
      </c>
      <c r="J109" s="1146">
        <f>(-0.214*(J108^2)-21.991*J108+4665)*(10^(-4))/J101</f>
        <v>6.5049069767441861E-2</v>
      </c>
      <c r="K109" s="1146">
        <f>(-0.214*(K108^2)-21.991*K108+4665)*(10^(-4))/K101</f>
        <v>6.5049069767441861E-2</v>
      </c>
      <c r="L109" s="1146">
        <f>(-0.214*(L108^2)-21.991*L108+4665)*(10^(-4))/L101</f>
        <v>6.5049069767441861E-2</v>
      </c>
      <c r="M109" s="1146">
        <f>(-0.214*(M108^2)-21.991*M108+4665)*(10^(-4))/M101</f>
        <v>6.5049069767441861E-2</v>
      </c>
      <c r="N109" s="1146">
        <f>(-0.214*(N108^2)-21.991*N108+4665)*(10^(-4))/N101</f>
        <v>6.5049069767441861E-2</v>
      </c>
    </row>
    <row r="110" spans="1:14">
      <c r="A110" s="3497" t="s">
        <v>1640</v>
      </c>
      <c r="B110" s="3497"/>
      <c r="C110" s="3497"/>
      <c r="D110" s="3497"/>
      <c r="E110" s="3497"/>
      <c r="F110" s="3497"/>
      <c r="G110" s="3497"/>
      <c r="H110" s="3497"/>
      <c r="I110" s="3497"/>
      <c r="J110" s="3497"/>
      <c r="K110" s="2449"/>
      <c r="L110" s="2449"/>
      <c r="M110" s="2449"/>
      <c r="N110" s="2449"/>
    </row>
    <row r="112" spans="1:14" ht="12.75" thickBot="1"/>
    <row r="113" spans="1:13" ht="25.5" thickBot="1">
      <c r="A113" s="1016" t="s">
        <v>896</v>
      </c>
      <c r="B113" s="2452">
        <f>G3</f>
        <v>6.88</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0.86880000000000002</v>
      </c>
      <c r="C115" s="1030">
        <f>B115</f>
        <v>0.86880000000000002</v>
      </c>
      <c r="D115" s="1030">
        <f>ROUND(0.8331-0.0109*B113,4)</f>
        <v>0.7581</v>
      </c>
      <c r="E115" s="1030">
        <f>D115</f>
        <v>0.7581</v>
      </c>
      <c r="F115" s="1030">
        <f>E115</f>
        <v>0.7581</v>
      </c>
      <c r="G115" s="1030">
        <f>F115</f>
        <v>0.7581</v>
      </c>
      <c r="H115" s="1030">
        <f>G115</f>
        <v>0.7581</v>
      </c>
      <c r="I115" s="1030">
        <f>ROUND(0.689-0.0155*B113,4)</f>
        <v>0.58240000000000003</v>
      </c>
      <c r="J115" s="1030">
        <f t="shared" ref="J115:M118" si="33">I115</f>
        <v>0.58240000000000003</v>
      </c>
      <c r="K115" s="1030">
        <f t="shared" si="33"/>
        <v>0.58240000000000003</v>
      </c>
      <c r="L115" s="1030">
        <f t="shared" si="33"/>
        <v>0.58240000000000003</v>
      </c>
      <c r="M115" s="1031">
        <f t="shared" si="33"/>
        <v>0.58240000000000003</v>
      </c>
    </row>
    <row r="116" spans="1:13" ht="12.75">
      <c r="A116" s="1029" t="s">
        <v>901</v>
      </c>
      <c r="B116" s="1030">
        <f>ROUND(0.949-0.012*B113,4)</f>
        <v>0.86639999999999995</v>
      </c>
      <c r="C116" s="1030">
        <f>B116</f>
        <v>0.86639999999999995</v>
      </c>
      <c r="D116" s="1030">
        <f>ROUND(0.8567-0.013*B113,4)</f>
        <v>0.76729999999999998</v>
      </c>
      <c r="E116" s="1030">
        <f t="shared" ref="E116:H117" si="34">D116</f>
        <v>0.76729999999999998</v>
      </c>
      <c r="F116" s="1030">
        <f t="shared" si="34"/>
        <v>0.76729999999999998</v>
      </c>
      <c r="G116" s="1030">
        <f t="shared" si="34"/>
        <v>0.76729999999999998</v>
      </c>
      <c r="H116" s="1030">
        <f t="shared" si="34"/>
        <v>0.76729999999999998</v>
      </c>
      <c r="I116" s="1030">
        <f>ROUND(0.7694-0.014*B113,4)</f>
        <v>0.67310000000000003</v>
      </c>
      <c r="J116" s="1030">
        <f t="shared" si="33"/>
        <v>0.67310000000000003</v>
      </c>
      <c r="K116" s="1030">
        <f t="shared" si="33"/>
        <v>0.67310000000000003</v>
      </c>
      <c r="L116" s="1030">
        <f t="shared" si="33"/>
        <v>0.67310000000000003</v>
      </c>
      <c r="M116" s="1031">
        <f t="shared" si="33"/>
        <v>0.67310000000000003</v>
      </c>
    </row>
    <row r="117" spans="1:13" ht="12.75">
      <c r="A117" s="1032" t="s">
        <v>902</v>
      </c>
      <c r="B117" s="1030">
        <f>ROUND(0.8808-0.006*B113,4)</f>
        <v>0.83950000000000002</v>
      </c>
      <c r="C117" s="1030">
        <f>B117</f>
        <v>0.83950000000000002</v>
      </c>
      <c r="D117" s="1030">
        <f>ROUND(0.8748-0.008*B113,4)</f>
        <v>0.81979999999999997</v>
      </c>
      <c r="E117" s="1030">
        <f t="shared" si="34"/>
        <v>0.81979999999999997</v>
      </c>
      <c r="F117" s="1030">
        <f t="shared" si="34"/>
        <v>0.81979999999999997</v>
      </c>
      <c r="G117" s="1030">
        <f t="shared" si="34"/>
        <v>0.81979999999999997</v>
      </c>
      <c r="H117" s="1030">
        <f t="shared" si="34"/>
        <v>0.81979999999999997</v>
      </c>
      <c r="I117" s="1030">
        <f>ROUND(0.7412-0.0095*B113,4)</f>
        <v>0.67579999999999996</v>
      </c>
      <c r="J117" s="1030">
        <f t="shared" si="33"/>
        <v>0.67579999999999996</v>
      </c>
      <c r="K117" s="1030">
        <f t="shared" si="33"/>
        <v>0.67579999999999996</v>
      </c>
      <c r="L117" s="1030">
        <f t="shared" si="33"/>
        <v>0.67579999999999996</v>
      </c>
      <c r="M117" s="1031">
        <f t="shared" si="33"/>
        <v>0.67579999999999996</v>
      </c>
    </row>
    <row r="118" spans="1:13" ht="13.5" thickBot="1">
      <c r="A118" s="1033" t="s">
        <v>903</v>
      </c>
      <c r="B118" s="1034">
        <f>ROUND(0.7275-0.01*B113,4)</f>
        <v>0.65869999999999995</v>
      </c>
      <c r="C118" s="1034">
        <f>B118</f>
        <v>0.65869999999999995</v>
      </c>
      <c r="D118" s="1034">
        <f>ROUND(0.7043-0.012*B113,4)</f>
        <v>0.62170000000000003</v>
      </c>
      <c r="E118" s="1034">
        <f>D118</f>
        <v>0.62170000000000003</v>
      </c>
      <c r="F118" s="1034">
        <f>E118</f>
        <v>0.62170000000000003</v>
      </c>
      <c r="G118" s="1034">
        <f>ROUND(0.6299-0.0122*B113,4)</f>
        <v>0.54600000000000004</v>
      </c>
      <c r="H118" s="1034">
        <f>G118</f>
        <v>0.54600000000000004</v>
      </c>
      <c r="I118" s="1034">
        <f>ROUND(0.5667-0.0136*B113,4)</f>
        <v>0.47310000000000002</v>
      </c>
      <c r="J118" s="1034">
        <f t="shared" si="33"/>
        <v>0.47310000000000002</v>
      </c>
      <c r="K118" s="1034">
        <f t="shared" si="33"/>
        <v>0.47310000000000002</v>
      </c>
      <c r="L118" s="1034">
        <f t="shared" si="33"/>
        <v>0.47310000000000002</v>
      </c>
      <c r="M118" s="1035">
        <f t="shared" si="33"/>
        <v>0.47310000000000002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503" t="s">
        <v>1008</v>
      </c>
      <c r="B18" s="1154" t="s">
        <v>1447</v>
      </c>
      <c r="C18" s="1131" t="s">
        <v>1448</v>
      </c>
      <c r="D18" s="1132"/>
      <c r="E18" s="1154">
        <v>1</v>
      </c>
      <c r="F18" s="1133" t="s">
        <v>1449</v>
      </c>
      <c r="G18" s="1134"/>
      <c r="H18" s="1105"/>
      <c r="I18" s="1105"/>
    </row>
    <row r="19" spans="1:9" s="1599" customFormat="1" ht="19.5" customHeight="1">
      <c r="A19" s="3503"/>
      <c r="B19" s="3503" t="s">
        <v>1450</v>
      </c>
      <c r="C19" s="1131" t="s">
        <v>1451</v>
      </c>
      <c r="D19" s="1132"/>
      <c r="E19" s="1154">
        <v>0.9</v>
      </c>
      <c r="F19" s="1133" t="s">
        <v>1452</v>
      </c>
      <c r="G19" s="1134"/>
      <c r="H19" s="1105"/>
      <c r="I19" s="1105"/>
    </row>
    <row r="20" spans="1:9" s="1599" customFormat="1" ht="19.5" customHeight="1">
      <c r="A20" s="3503"/>
      <c r="B20" s="3503"/>
      <c r="C20" s="1131" t="s">
        <v>1453</v>
      </c>
      <c r="D20" s="1132"/>
      <c r="E20" s="1154">
        <v>1.1000000000000001</v>
      </c>
      <c r="F20" s="1133" t="s">
        <v>1454</v>
      </c>
      <c r="G20" s="1134"/>
      <c r="H20" s="1105"/>
      <c r="I20" s="1105"/>
    </row>
    <row r="21" spans="1:9" s="1599" customFormat="1" ht="19.5" customHeight="1">
      <c r="A21" s="3503"/>
      <c r="B21" s="3503"/>
      <c r="C21" s="1131" t="s">
        <v>1455</v>
      </c>
      <c r="D21" s="1132"/>
      <c r="E21" s="1154">
        <v>0.8</v>
      </c>
      <c r="F21" s="1133" t="s">
        <v>1456</v>
      </c>
      <c r="G21" s="1134"/>
      <c r="H21" s="1105"/>
      <c r="I21" s="1105"/>
    </row>
    <row r="22" spans="1:9" s="1599" customFormat="1" ht="19.5" customHeight="1">
      <c r="A22" s="3503"/>
      <c r="B22" s="3503"/>
      <c r="C22" s="1131" t="s">
        <v>1457</v>
      </c>
      <c r="D22" s="1132"/>
      <c r="E22" s="1154">
        <v>0.5</v>
      </c>
      <c r="F22" s="1133"/>
      <c r="G22" s="1134"/>
      <c r="H22" s="1105"/>
      <c r="I22" s="1105"/>
    </row>
    <row r="23" spans="1:9" s="1599" customFormat="1" ht="19.5" customHeight="1">
      <c r="A23" s="3503" t="s">
        <v>1030</v>
      </c>
      <c r="B23" s="1154" t="s">
        <v>1447</v>
      </c>
      <c r="C23" s="1131" t="s">
        <v>1458</v>
      </c>
      <c r="D23" s="1132"/>
      <c r="E23" s="1154">
        <v>1</v>
      </c>
      <c r="F23" s="1133" t="s">
        <v>1459</v>
      </c>
      <c r="G23" s="1134"/>
      <c r="H23" s="1105"/>
      <c r="I23" s="1105"/>
    </row>
    <row r="24" spans="1:9" s="1599" customFormat="1" ht="19.5" customHeight="1">
      <c r="A24" s="3503"/>
      <c r="B24" s="3503" t="s">
        <v>1450</v>
      </c>
      <c r="C24" s="1131" t="s">
        <v>1460</v>
      </c>
      <c r="D24" s="1132"/>
      <c r="E24" s="1154">
        <v>0.5</v>
      </c>
      <c r="F24" s="1133"/>
      <c r="G24" s="1134"/>
      <c r="H24" s="1105"/>
      <c r="I24" s="1105"/>
    </row>
    <row r="25" spans="1:9" s="1599" customFormat="1" ht="19.5" customHeight="1">
      <c r="A25" s="3503"/>
      <c r="B25" s="3503"/>
      <c r="C25" s="1131" t="s">
        <v>1461</v>
      </c>
      <c r="D25" s="1132"/>
      <c r="E25" s="1154">
        <v>1.1000000000000001</v>
      </c>
      <c r="F25" s="1133"/>
      <c r="G25" s="1134"/>
      <c r="H25" s="1105"/>
      <c r="I25" s="1105"/>
    </row>
    <row r="26" spans="1:9" s="1599" customFormat="1" ht="19.5" customHeight="1">
      <c r="A26" s="3503"/>
      <c r="B26" s="3503"/>
      <c r="C26" s="1131" t="s">
        <v>1462</v>
      </c>
      <c r="D26" s="1132"/>
      <c r="E26" s="1154">
        <v>1.1000000000000001</v>
      </c>
      <c r="F26" s="1133"/>
      <c r="G26" s="1134"/>
      <c r="H26" s="1105"/>
      <c r="I26" s="1105"/>
    </row>
    <row r="27" spans="1:9" s="1599" customFormat="1" ht="19.5" customHeight="1">
      <c r="A27" s="3503"/>
      <c r="B27" s="3503"/>
      <c r="C27" s="1131" t="s">
        <v>1463</v>
      </c>
      <c r="D27" s="1132"/>
      <c r="E27" s="1154">
        <v>0.9</v>
      </c>
      <c r="F27" s="1133" t="s">
        <v>1464</v>
      </c>
      <c r="G27" s="1134"/>
      <c r="H27" s="1105"/>
      <c r="I27" s="1105"/>
    </row>
    <row r="28" spans="1:9" s="1599" customFormat="1" ht="19.5" customHeight="1">
      <c r="A28" s="3503"/>
      <c r="B28" s="3503"/>
      <c r="C28" s="1131" t="s">
        <v>1465</v>
      </c>
      <c r="D28" s="1132"/>
      <c r="E28" s="1154">
        <v>0.9</v>
      </c>
      <c r="F28" s="1133" t="s">
        <v>1466</v>
      </c>
      <c r="G28" s="1134"/>
      <c r="H28" s="1105"/>
      <c r="I28" s="1105"/>
    </row>
    <row r="29" spans="1:9" s="1599" customFormat="1" ht="19.5" customHeight="1">
      <c r="A29" s="3503"/>
      <c r="B29" s="3503"/>
      <c r="C29" s="1131" t="s">
        <v>1467</v>
      </c>
      <c r="D29" s="1132"/>
      <c r="E29" s="1154">
        <v>0.9</v>
      </c>
      <c r="F29" s="1133" t="s">
        <v>1468</v>
      </c>
      <c r="G29" s="1134"/>
      <c r="H29" s="1105"/>
      <c r="I29" s="1105"/>
    </row>
    <row r="30" spans="1:9" s="1599" customFormat="1" ht="19.5" customHeight="1">
      <c r="A30" s="3503"/>
      <c r="B30" s="3503"/>
      <c r="C30" s="1131" t="s">
        <v>1469</v>
      </c>
      <c r="D30" s="1132"/>
      <c r="E30" s="1154">
        <v>0.9</v>
      </c>
      <c r="F30" s="1133" t="s">
        <v>1470</v>
      </c>
      <c r="G30" s="1134"/>
      <c r="H30" s="1105"/>
      <c r="I30" s="1105"/>
    </row>
    <row r="31" spans="1:9" s="1599" customFormat="1" ht="19.5" customHeight="1">
      <c r="A31" s="3503"/>
      <c r="B31" s="3503"/>
      <c r="C31" s="1131" t="s">
        <v>1471</v>
      </c>
      <c r="D31" s="1132"/>
      <c r="E31" s="1154">
        <v>0.8</v>
      </c>
      <c r="F31" s="1133" t="s">
        <v>1472</v>
      </c>
      <c r="G31" s="1134"/>
      <c r="H31" s="1105"/>
      <c r="I31" s="1105"/>
    </row>
    <row r="32" spans="1:9" s="1599" customFormat="1" ht="19.5" customHeight="1">
      <c r="A32" s="3503"/>
      <c r="B32" s="3503"/>
      <c r="C32" s="1131" t="s">
        <v>1473</v>
      </c>
      <c r="D32" s="1132"/>
      <c r="E32" s="1154">
        <v>0.8</v>
      </c>
      <c r="F32" s="1133" t="s">
        <v>1474</v>
      </c>
      <c r="G32" s="1134"/>
      <c r="H32" s="1105"/>
      <c r="I32" s="1105"/>
    </row>
    <row r="33" spans="1:9" s="1599" customFormat="1" ht="19.5" customHeight="1">
      <c r="A33" s="3503" t="s">
        <v>1475</v>
      </c>
      <c r="B33" s="1154" t="s">
        <v>1447</v>
      </c>
      <c r="C33" s="1131" t="s">
        <v>1476</v>
      </c>
      <c r="D33" s="1132"/>
      <c r="E33" s="1154">
        <v>1</v>
      </c>
      <c r="F33" s="1133" t="s">
        <v>1477</v>
      </c>
      <c r="G33" s="1134"/>
      <c r="H33" s="1105"/>
      <c r="I33" s="1105"/>
    </row>
    <row r="34" spans="1:9" s="1599" customFormat="1" ht="19.5" customHeight="1">
      <c r="A34" s="3503"/>
      <c r="B34" s="1154" t="s">
        <v>1450</v>
      </c>
      <c r="C34" s="1131" t="s">
        <v>1478</v>
      </c>
      <c r="D34" s="1132"/>
      <c r="E34" s="1154">
        <v>1.5</v>
      </c>
      <c r="F34" s="1133" t="s">
        <v>1479</v>
      </c>
      <c r="G34" s="1134"/>
      <c r="H34" s="1105"/>
      <c r="I34" s="1105"/>
    </row>
    <row r="35" spans="1:9" s="1599" customFormat="1" ht="19.5" customHeight="1">
      <c r="A35" s="3503" t="s">
        <v>1433</v>
      </c>
      <c r="B35" s="1154" t="s">
        <v>1447</v>
      </c>
      <c r="C35" s="1131" t="s">
        <v>1480</v>
      </c>
      <c r="D35" s="1132"/>
      <c r="E35" s="1154">
        <v>1</v>
      </c>
      <c r="F35" s="1133" t="s">
        <v>1481</v>
      </c>
      <c r="G35" s="1134"/>
      <c r="H35" s="1105"/>
      <c r="I35" s="1105"/>
    </row>
    <row r="36" spans="1:9" s="1599" customFormat="1" ht="19.5" customHeight="1">
      <c r="A36" s="3503"/>
      <c r="B36" s="3503" t="s">
        <v>1450</v>
      </c>
      <c r="C36" s="1131" t="s">
        <v>1482</v>
      </c>
      <c r="D36" s="1132"/>
      <c r="E36" s="1154">
        <v>1</v>
      </c>
      <c r="F36" s="1133" t="s">
        <v>1483</v>
      </c>
      <c r="G36" s="1134"/>
      <c r="H36" s="1105"/>
      <c r="I36" s="1105"/>
    </row>
    <row r="37" spans="1:9" s="1599" customFormat="1" ht="19.5" customHeight="1">
      <c r="A37" s="3503"/>
      <c r="B37" s="3503"/>
      <c r="C37" s="1131" t="s">
        <v>1484</v>
      </c>
      <c r="D37" s="1132"/>
      <c r="E37" s="1154">
        <v>1.5</v>
      </c>
      <c r="F37" s="1133" t="s">
        <v>1485</v>
      </c>
      <c r="G37" s="1134"/>
      <c r="H37" s="1105"/>
      <c r="I37" s="1105"/>
    </row>
    <row r="38" spans="1:9" s="1599" customFormat="1" ht="19.5" customHeight="1">
      <c r="A38" s="3503"/>
      <c r="B38" s="3503"/>
      <c r="C38" s="1131" t="s">
        <v>1486</v>
      </c>
      <c r="D38" s="1132"/>
      <c r="E38" s="1154">
        <v>1</v>
      </c>
      <c r="F38" s="1133" t="s">
        <v>1487</v>
      </c>
      <c r="G38" s="1134"/>
      <c r="H38" s="1105"/>
      <c r="I38" s="1105"/>
    </row>
    <row r="39" spans="1:9" s="1599" customFormat="1" ht="19.5" customHeight="1">
      <c r="A39" s="3503"/>
      <c r="B39" s="3503"/>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503" t="s">
        <v>1502</v>
      </c>
      <c r="C61" s="1068" t="s">
        <v>1503</v>
      </c>
      <c r="D61" s="1068" t="s">
        <v>1504</v>
      </c>
      <c r="E61" s="1139">
        <v>0.5</v>
      </c>
      <c r="F61" s="1154">
        <v>80</v>
      </c>
      <c r="H61" s="1105">
        <f>SUMIF(C59:C119,基准地价!C8,E59:E119)</f>
        <v>0</v>
      </c>
    </row>
    <row r="62" spans="1:8" s="1105" customFormat="1" ht="24">
      <c r="A62" s="1154">
        <v>2</v>
      </c>
      <c r="B62" s="3503"/>
      <c r="C62" s="1068" t="s">
        <v>1505</v>
      </c>
      <c r="D62" s="1068" t="s">
        <v>1506</v>
      </c>
      <c r="E62" s="1139">
        <v>0.5</v>
      </c>
      <c r="F62" s="1154">
        <v>80</v>
      </c>
    </row>
    <row r="63" spans="1:8" s="1105" customFormat="1" ht="36">
      <c r="A63" s="1154">
        <v>3</v>
      </c>
      <c r="B63" s="3503"/>
      <c r="C63" s="1068" t="s">
        <v>1507</v>
      </c>
      <c r="D63" s="1068" t="s">
        <v>1508</v>
      </c>
      <c r="E63" s="1139">
        <v>0.5</v>
      </c>
      <c r="F63" s="1154">
        <v>80</v>
      </c>
    </row>
    <row r="64" spans="1:8" s="1105" customFormat="1" ht="36">
      <c r="A64" s="1154">
        <v>4</v>
      </c>
      <c r="B64" s="3503"/>
      <c r="C64" s="1068" t="s">
        <v>1509</v>
      </c>
      <c r="D64" s="1068" t="s">
        <v>1510</v>
      </c>
      <c r="E64" s="1139">
        <v>0.4</v>
      </c>
      <c r="F64" s="1154">
        <v>60</v>
      </c>
    </row>
    <row r="65" spans="1:6" s="1105" customFormat="1" ht="36">
      <c r="A65" s="1154">
        <v>5</v>
      </c>
      <c r="B65" s="3503"/>
      <c r="C65" s="1068" t="s">
        <v>1511</v>
      </c>
      <c r="D65" s="1068" t="s">
        <v>1512</v>
      </c>
      <c r="E65" s="1139">
        <v>0.2</v>
      </c>
      <c r="F65" s="1154">
        <v>30</v>
      </c>
    </row>
    <row r="66" spans="1:6" s="1105" customFormat="1" ht="36">
      <c r="A66" s="1154">
        <v>6</v>
      </c>
      <c r="B66" s="3503"/>
      <c r="C66" s="1068" t="s">
        <v>1513</v>
      </c>
      <c r="D66" s="1068" t="s">
        <v>1514</v>
      </c>
      <c r="E66" s="1139">
        <v>0.3</v>
      </c>
      <c r="F66" s="1154">
        <v>50</v>
      </c>
    </row>
    <row r="67" spans="1:6" s="1105" customFormat="1" ht="36">
      <c r="A67" s="1154">
        <v>7</v>
      </c>
      <c r="B67" s="3503"/>
      <c r="C67" s="1068" t="s">
        <v>1515</v>
      </c>
      <c r="D67" s="1068" t="s">
        <v>1516</v>
      </c>
      <c r="E67" s="1139">
        <v>0.2</v>
      </c>
      <c r="F67" s="1154">
        <v>30</v>
      </c>
    </row>
    <row r="68" spans="1:6" s="1105" customFormat="1" ht="36">
      <c r="A68" s="1154">
        <v>8</v>
      </c>
      <c r="B68" s="3503"/>
      <c r="C68" s="1068" t="s">
        <v>1517</v>
      </c>
      <c r="D68" s="1068" t="s">
        <v>1518</v>
      </c>
      <c r="E68" s="1139">
        <v>0.2</v>
      </c>
      <c r="F68" s="1154">
        <v>30</v>
      </c>
    </row>
    <row r="69" spans="1:6" s="1105" customFormat="1" ht="36">
      <c r="A69" s="1154">
        <v>9</v>
      </c>
      <c r="B69" s="3503"/>
      <c r="C69" s="1068" t="s">
        <v>1519</v>
      </c>
      <c r="D69" s="1068" t="s">
        <v>1520</v>
      </c>
      <c r="E69" s="1139">
        <v>0.2</v>
      </c>
      <c r="F69" s="1154">
        <v>30</v>
      </c>
    </row>
    <row r="70" spans="1:6" s="1105" customFormat="1" ht="48">
      <c r="A70" s="1154">
        <v>10</v>
      </c>
      <c r="B70" s="3503"/>
      <c r="C70" s="1068" t="s">
        <v>1521</v>
      </c>
      <c r="D70" s="1068" t="s">
        <v>1522</v>
      </c>
      <c r="E70" s="1139">
        <v>0.2</v>
      </c>
      <c r="F70" s="1154">
        <v>30</v>
      </c>
    </row>
    <row r="71" spans="1:6" s="1105" customFormat="1" ht="48">
      <c r="A71" s="1154">
        <v>11</v>
      </c>
      <c r="B71" s="3503"/>
      <c r="C71" s="1068" t="s">
        <v>1523</v>
      </c>
      <c r="D71" s="1068" t="s">
        <v>1524</v>
      </c>
      <c r="E71" s="1139">
        <v>0.2</v>
      </c>
      <c r="F71" s="1154">
        <v>30</v>
      </c>
    </row>
    <row r="72" spans="1:6" s="1105" customFormat="1" ht="36">
      <c r="A72" s="1154">
        <v>12</v>
      </c>
      <c r="B72" s="3503"/>
      <c r="C72" s="1068" t="s">
        <v>1525</v>
      </c>
      <c r="D72" s="1068" t="s">
        <v>1526</v>
      </c>
      <c r="E72" s="1139">
        <v>0.5</v>
      </c>
      <c r="F72" s="1154">
        <v>80</v>
      </c>
    </row>
    <row r="73" spans="1:6" s="1105" customFormat="1" ht="24">
      <c r="A73" s="1154">
        <v>13</v>
      </c>
      <c r="B73" s="3503"/>
      <c r="C73" s="1068" t="s">
        <v>1527</v>
      </c>
      <c r="D73" s="1068" t="s">
        <v>1528</v>
      </c>
      <c r="E73" s="1139">
        <v>0.4</v>
      </c>
      <c r="F73" s="1154">
        <v>60</v>
      </c>
    </row>
    <row r="74" spans="1:6" s="1105" customFormat="1" ht="24">
      <c r="A74" s="1154">
        <v>14</v>
      </c>
      <c r="B74" s="3503"/>
      <c r="C74" s="1068" t="s">
        <v>1529</v>
      </c>
      <c r="D74" s="1068" t="s">
        <v>1530</v>
      </c>
      <c r="E74" s="1139">
        <v>0.2</v>
      </c>
      <c r="F74" s="1154">
        <v>30</v>
      </c>
    </row>
    <row r="75" spans="1:6" s="1105" customFormat="1" ht="24">
      <c r="A75" s="1154">
        <v>15</v>
      </c>
      <c r="B75" s="3503"/>
      <c r="C75" s="1068" t="s">
        <v>1531</v>
      </c>
      <c r="D75" s="1068" t="s">
        <v>1532</v>
      </c>
      <c r="E75" s="1139">
        <v>0.2</v>
      </c>
      <c r="F75" s="1154">
        <v>30</v>
      </c>
    </row>
    <row r="76" spans="1:6" s="1105" customFormat="1" ht="24">
      <c r="A76" s="1154">
        <v>16</v>
      </c>
      <c r="B76" s="3503" t="s">
        <v>1533</v>
      </c>
      <c r="C76" s="1068" t="s">
        <v>1534</v>
      </c>
      <c r="D76" s="1068" t="s">
        <v>1535</v>
      </c>
      <c r="E76" s="1139">
        <v>0.5</v>
      </c>
      <c r="F76" s="1154">
        <v>80</v>
      </c>
    </row>
    <row r="77" spans="1:6" s="1105" customFormat="1" ht="24">
      <c r="A77" s="1154">
        <v>17</v>
      </c>
      <c r="B77" s="3503"/>
      <c r="C77" s="1068" t="s">
        <v>1536</v>
      </c>
      <c r="D77" s="1068" t="s">
        <v>1537</v>
      </c>
      <c r="E77" s="1139">
        <v>0.5</v>
      </c>
      <c r="F77" s="1154">
        <v>80</v>
      </c>
    </row>
    <row r="78" spans="1:6" s="1105" customFormat="1" ht="24">
      <c r="A78" s="1154">
        <v>18</v>
      </c>
      <c r="B78" s="3503"/>
      <c r="C78" s="1068" t="s">
        <v>1538</v>
      </c>
      <c r="D78" s="1068" t="s">
        <v>1539</v>
      </c>
      <c r="E78" s="1139">
        <v>0.2</v>
      </c>
      <c r="F78" s="1154">
        <v>30</v>
      </c>
    </row>
    <row r="79" spans="1:6" s="1105" customFormat="1" ht="24">
      <c r="A79" s="1154">
        <v>19</v>
      </c>
      <c r="B79" s="3503"/>
      <c r="C79" s="1068" t="s">
        <v>1540</v>
      </c>
      <c r="D79" s="1068" t="s">
        <v>1541</v>
      </c>
      <c r="E79" s="1139">
        <v>0.5</v>
      </c>
      <c r="F79" s="1154">
        <v>80</v>
      </c>
    </row>
    <row r="80" spans="1:6" s="1105" customFormat="1" ht="36">
      <c r="A80" s="1154">
        <v>20</v>
      </c>
      <c r="B80" s="3503"/>
      <c r="C80" s="1068" t="s">
        <v>1542</v>
      </c>
      <c r="D80" s="1068" t="s">
        <v>1543</v>
      </c>
      <c r="E80" s="1139">
        <v>0.2</v>
      </c>
      <c r="F80" s="1154">
        <v>30</v>
      </c>
    </row>
    <row r="81" spans="1:6" s="1105" customFormat="1" ht="36">
      <c r="A81" s="1154">
        <v>21</v>
      </c>
      <c r="B81" s="3503"/>
      <c r="C81" s="1068" t="s">
        <v>1544</v>
      </c>
      <c r="D81" s="1068" t="s">
        <v>1545</v>
      </c>
      <c r="E81" s="1139">
        <v>0.2</v>
      </c>
      <c r="F81" s="1154">
        <v>30</v>
      </c>
    </row>
    <row r="82" spans="1:6" s="1105" customFormat="1" ht="48">
      <c r="A82" s="1154">
        <v>22</v>
      </c>
      <c r="B82" s="3503"/>
      <c r="C82" s="1068" t="s">
        <v>1546</v>
      </c>
      <c r="D82" s="1068" t="s">
        <v>1547</v>
      </c>
      <c r="E82" s="1139">
        <v>0.2</v>
      </c>
      <c r="F82" s="1154">
        <v>30</v>
      </c>
    </row>
    <row r="83" spans="1:6" s="1105" customFormat="1" ht="48">
      <c r="A83" s="1154">
        <v>23</v>
      </c>
      <c r="B83" s="3503"/>
      <c r="C83" s="1068" t="s">
        <v>1548</v>
      </c>
      <c r="D83" s="1068" t="s">
        <v>1549</v>
      </c>
      <c r="E83" s="1139">
        <v>0.2</v>
      </c>
      <c r="F83" s="1154">
        <v>30</v>
      </c>
    </row>
    <row r="84" spans="1:6" s="1105" customFormat="1" ht="36">
      <c r="A84" s="1154">
        <v>24</v>
      </c>
      <c r="B84" s="3503"/>
      <c r="C84" s="1068" t="s">
        <v>1550</v>
      </c>
      <c r="D84" s="1068" t="s">
        <v>1551</v>
      </c>
      <c r="E84" s="1139">
        <v>0.2</v>
      </c>
      <c r="F84" s="1154">
        <v>30</v>
      </c>
    </row>
    <row r="85" spans="1:6" s="1105" customFormat="1" ht="36">
      <c r="A85" s="1154">
        <v>25</v>
      </c>
      <c r="B85" s="3503"/>
      <c r="C85" s="1068" t="s">
        <v>1552</v>
      </c>
      <c r="D85" s="1068" t="s">
        <v>1553</v>
      </c>
      <c r="E85" s="1139">
        <v>0.5</v>
      </c>
      <c r="F85" s="1154">
        <v>80</v>
      </c>
    </row>
    <row r="86" spans="1:6" s="1105" customFormat="1" ht="36">
      <c r="A86" s="1154">
        <v>26</v>
      </c>
      <c r="B86" s="3503"/>
      <c r="C86" s="1068" t="s">
        <v>1554</v>
      </c>
      <c r="D86" s="1068" t="s">
        <v>1555</v>
      </c>
      <c r="E86" s="1139">
        <v>0.2</v>
      </c>
      <c r="F86" s="1154">
        <v>30</v>
      </c>
    </row>
    <row r="87" spans="1:6" s="1105" customFormat="1" ht="36">
      <c r="A87" s="1154">
        <v>27</v>
      </c>
      <c r="B87" s="3503"/>
      <c r="C87" s="1068" t="s">
        <v>1556</v>
      </c>
      <c r="D87" s="1068" t="s">
        <v>1557</v>
      </c>
      <c r="E87" s="1139">
        <v>0.2</v>
      </c>
      <c r="F87" s="1154">
        <v>30</v>
      </c>
    </row>
    <row r="88" spans="1:6" s="1105" customFormat="1" ht="36">
      <c r="A88" s="1154">
        <v>28</v>
      </c>
      <c r="B88" s="3503"/>
      <c r="C88" s="1068" t="s">
        <v>1558</v>
      </c>
      <c r="D88" s="1068" t="s">
        <v>1559</v>
      </c>
      <c r="E88" s="1139">
        <v>0.2</v>
      </c>
      <c r="F88" s="1154">
        <v>30</v>
      </c>
    </row>
    <row r="89" spans="1:6" s="1105" customFormat="1" ht="24">
      <c r="A89" s="1154">
        <v>29</v>
      </c>
      <c r="B89" s="3503"/>
      <c r="C89" s="1068" t="s">
        <v>1560</v>
      </c>
      <c r="D89" s="1068" t="s">
        <v>1561</v>
      </c>
      <c r="E89" s="1139">
        <v>0.2</v>
      </c>
      <c r="F89" s="1154">
        <v>30</v>
      </c>
    </row>
    <row r="90" spans="1:6" s="1105" customFormat="1" ht="24">
      <c r="A90" s="1154">
        <v>30</v>
      </c>
      <c r="B90" s="3503"/>
      <c r="C90" s="1068" t="s">
        <v>1562</v>
      </c>
      <c r="D90" s="1068" t="s">
        <v>1563</v>
      </c>
      <c r="E90" s="1139">
        <v>0.2</v>
      </c>
      <c r="F90" s="1154">
        <v>30</v>
      </c>
    </row>
    <row r="91" spans="1:6" s="1105" customFormat="1" ht="36">
      <c r="A91" s="1154">
        <v>31</v>
      </c>
      <c r="B91" s="3503"/>
      <c r="C91" s="1068" t="s">
        <v>1564</v>
      </c>
      <c r="D91" s="1068" t="s">
        <v>1565</v>
      </c>
      <c r="E91" s="1139">
        <v>0.2</v>
      </c>
      <c r="F91" s="1154">
        <v>30</v>
      </c>
    </row>
    <row r="92" spans="1:6" s="1105" customFormat="1" ht="24">
      <c r="A92" s="1154">
        <v>32</v>
      </c>
      <c r="B92" s="3503" t="s">
        <v>1566</v>
      </c>
      <c r="C92" s="1154" t="s">
        <v>1567</v>
      </c>
      <c r="D92" s="1068" t="s">
        <v>1568</v>
      </c>
      <c r="E92" s="1139">
        <v>0.2</v>
      </c>
      <c r="F92" s="1154">
        <v>30</v>
      </c>
    </row>
    <row r="93" spans="1:6" s="1105" customFormat="1" ht="36">
      <c r="A93" s="1154">
        <v>33</v>
      </c>
      <c r="B93" s="3503"/>
      <c r="C93" s="1154" t="s">
        <v>1569</v>
      </c>
      <c r="D93" s="1068" t="s">
        <v>1570</v>
      </c>
      <c r="E93" s="1139">
        <v>0.2</v>
      </c>
      <c r="F93" s="1154">
        <v>30</v>
      </c>
    </row>
    <row r="94" spans="1:6" s="1105" customFormat="1" ht="48">
      <c r="A94" s="1154">
        <v>34</v>
      </c>
      <c r="B94" s="3503"/>
      <c r="C94" s="1154" t="s">
        <v>1571</v>
      </c>
      <c r="D94" s="1068" t="s">
        <v>1572</v>
      </c>
      <c r="E94" s="1139">
        <v>0.2</v>
      </c>
      <c r="F94" s="1154">
        <v>30</v>
      </c>
    </row>
    <row r="95" spans="1:6" s="1105" customFormat="1" ht="36">
      <c r="A95" s="1154">
        <v>35</v>
      </c>
      <c r="B95" s="3503"/>
      <c r="C95" s="1154" t="s">
        <v>1573</v>
      </c>
      <c r="D95" s="1068" t="s">
        <v>1574</v>
      </c>
      <c r="E95" s="1139">
        <v>0.2</v>
      </c>
      <c r="F95" s="1154">
        <v>30</v>
      </c>
    </row>
    <row r="96" spans="1:6" s="1105" customFormat="1" ht="48">
      <c r="A96" s="1154">
        <v>36</v>
      </c>
      <c r="B96" s="3503"/>
      <c r="C96" s="1068" t="s">
        <v>1575</v>
      </c>
      <c r="D96" s="1068" t="s">
        <v>1576</v>
      </c>
      <c r="E96" s="1139">
        <v>0.2</v>
      </c>
      <c r="F96" s="1154">
        <v>30</v>
      </c>
    </row>
    <row r="97" spans="1:6" s="1105" customFormat="1" ht="36">
      <c r="A97" s="1154">
        <v>37</v>
      </c>
      <c r="B97" s="3503"/>
      <c r="C97" s="1154" t="s">
        <v>1577</v>
      </c>
      <c r="D97" s="1068" t="s">
        <v>1578</v>
      </c>
      <c r="E97" s="1139">
        <v>0.2</v>
      </c>
      <c r="F97" s="1154">
        <v>30</v>
      </c>
    </row>
    <row r="98" spans="1:6" s="1105" customFormat="1" ht="36">
      <c r="A98" s="1154">
        <v>38</v>
      </c>
      <c r="B98" s="3503"/>
      <c r="C98" s="1154" t="s">
        <v>1579</v>
      </c>
      <c r="D98" s="1068" t="s">
        <v>1580</v>
      </c>
      <c r="E98" s="1139">
        <v>0.2</v>
      </c>
      <c r="F98" s="1154">
        <v>30</v>
      </c>
    </row>
    <row r="99" spans="1:6" s="1105" customFormat="1" ht="36">
      <c r="A99" s="1154">
        <v>39</v>
      </c>
      <c r="B99" s="3503" t="s">
        <v>1581</v>
      </c>
      <c r="C99" s="1154" t="s">
        <v>1582</v>
      </c>
      <c r="D99" s="1068" t="s">
        <v>1583</v>
      </c>
      <c r="E99" s="1139">
        <v>0.3</v>
      </c>
      <c r="F99" s="1154">
        <v>50</v>
      </c>
    </row>
    <row r="100" spans="1:6" s="1105" customFormat="1" ht="24">
      <c r="A100" s="1154">
        <v>40</v>
      </c>
      <c r="B100" s="3503"/>
      <c r="C100" s="1154" t="s">
        <v>1584</v>
      </c>
      <c r="D100" s="1068" t="s">
        <v>1585</v>
      </c>
      <c r="E100" s="1139">
        <v>0.2</v>
      </c>
      <c r="F100" s="1154">
        <v>30</v>
      </c>
    </row>
    <row r="101" spans="1:6" s="1105" customFormat="1" ht="36">
      <c r="A101" s="1154">
        <v>41</v>
      </c>
      <c r="B101" s="3503"/>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503" t="s">
        <v>1596</v>
      </c>
      <c r="C105" s="1154" t="s">
        <v>1597</v>
      </c>
      <c r="D105" s="1068" t="s">
        <v>1598</v>
      </c>
      <c r="E105" s="1139">
        <v>0.2</v>
      </c>
      <c r="F105" s="1154">
        <v>30</v>
      </c>
    </row>
    <row r="106" spans="1:6" s="1105" customFormat="1" ht="36">
      <c r="A106" s="1154">
        <v>46</v>
      </c>
      <c r="B106" s="3503"/>
      <c r="C106" s="1154" t="s">
        <v>1599</v>
      </c>
      <c r="D106" s="1068" t="s">
        <v>1600</v>
      </c>
      <c r="E106" s="1139">
        <v>0.2</v>
      </c>
      <c r="F106" s="1154">
        <v>30</v>
      </c>
    </row>
    <row r="107" spans="1:6" s="1105" customFormat="1" ht="36">
      <c r="A107" s="1154">
        <v>47</v>
      </c>
      <c r="B107" s="3503" t="s">
        <v>1601</v>
      </c>
      <c r="C107" s="1154" t="s">
        <v>1602</v>
      </c>
      <c r="D107" s="1068" t="s">
        <v>1603</v>
      </c>
      <c r="E107" s="1139">
        <v>0.3</v>
      </c>
      <c r="F107" s="1154">
        <v>50</v>
      </c>
    </row>
    <row r="108" spans="1:6" s="1105" customFormat="1" ht="36">
      <c r="A108" s="1154">
        <v>48</v>
      </c>
      <c r="B108" s="3503"/>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503" t="s">
        <v>1612</v>
      </c>
      <c r="C111" s="1154" t="s">
        <v>1613</v>
      </c>
      <c r="D111" s="1068" t="s">
        <v>1614</v>
      </c>
      <c r="E111" s="1139">
        <v>0.2</v>
      </c>
      <c r="F111" s="1154">
        <v>30</v>
      </c>
    </row>
    <row r="112" spans="1:6" s="1105" customFormat="1" ht="24">
      <c r="A112" s="1154">
        <v>52</v>
      </c>
      <c r="B112" s="3503"/>
      <c r="C112" s="1154" t="s">
        <v>1615</v>
      </c>
      <c r="D112" s="1068" t="s">
        <v>1616</v>
      </c>
      <c r="E112" s="1139">
        <v>0.2</v>
      </c>
      <c r="F112" s="1154">
        <v>30</v>
      </c>
    </row>
    <row r="113" spans="1:14" s="1105" customFormat="1" ht="24">
      <c r="A113" s="1154">
        <v>53</v>
      </c>
      <c r="B113" s="3503"/>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503" t="s">
        <v>1625</v>
      </c>
      <c r="C116" s="1154" t="s">
        <v>1626</v>
      </c>
      <c r="D116" s="1068" t="s">
        <v>1627</v>
      </c>
      <c r="E116" s="1139">
        <v>0.2</v>
      </c>
      <c r="F116" s="1154">
        <v>30</v>
      </c>
    </row>
    <row r="117" spans="1:14" ht="36">
      <c r="A117" s="1154">
        <v>57</v>
      </c>
      <c r="B117" s="3503"/>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502" t="s">
        <v>1634</v>
      </c>
      <c r="B121" s="3502"/>
      <c r="C121" s="3502"/>
      <c r="D121" s="3502"/>
      <c r="E121" s="3502"/>
      <c r="F121" s="3502"/>
      <c r="G121" s="3502"/>
      <c r="H121" s="3502"/>
      <c r="I121" s="3502"/>
      <c r="J121" s="350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07" t="s">
        <v>1040</v>
      </c>
      <c r="B1" s="3507"/>
      <c r="C1" s="3507"/>
      <c r="D1" s="3507"/>
      <c r="E1" s="3507"/>
      <c r="F1" s="350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508" t="s">
        <v>1053</v>
      </c>
      <c r="B2" s="3508"/>
      <c r="C2" s="3508"/>
      <c r="D2" s="3508"/>
      <c r="E2" s="3508"/>
      <c r="F2" s="350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50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51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2425</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2426</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C14" sqref="C14"/>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511" t="s">
        <v>2082</v>
      </c>
      <c r="B1" s="3511"/>
    </row>
    <row r="2" spans="1:6" ht="14.25" thickBot="1">
      <c r="A2" s="1852"/>
      <c r="B2" s="1852"/>
    </row>
    <row r="3" spans="1:6" ht="14.25" thickBot="1">
      <c r="A3" s="1852"/>
      <c r="B3" s="1852"/>
      <c r="C3" s="1853" t="s">
        <v>2083</v>
      </c>
      <c r="D3" s="1853" t="s">
        <v>2084</v>
      </c>
      <c r="E3" s="1853" t="s">
        <v>2085</v>
      </c>
      <c r="F3" s="1853" t="s">
        <v>2086</v>
      </c>
    </row>
    <row r="4" spans="1:6" ht="14.25" thickBot="1">
      <c r="A4" s="1854" t="s">
        <v>2087</v>
      </c>
      <c r="B4" s="1855" t="s">
        <v>2088</v>
      </c>
      <c r="C4" s="1853"/>
      <c r="D4" s="1853"/>
      <c r="E4" s="1853"/>
      <c r="F4" s="1853"/>
    </row>
    <row r="5" spans="1:6" ht="14.25" thickBot="1">
      <c r="A5" s="1856" t="s">
        <v>2089</v>
      </c>
      <c r="B5" s="1857" t="s">
        <v>2090</v>
      </c>
      <c r="C5" s="1858">
        <v>8.8999999999999996E-2</v>
      </c>
      <c r="D5" s="1858">
        <v>7.3999999999999996E-2</v>
      </c>
      <c r="E5" s="1858">
        <v>7.4999999999999997E-2</v>
      </c>
      <c r="F5" s="1859">
        <v>0.1</v>
      </c>
    </row>
    <row r="6" spans="1:6" ht="14.25" thickBot="1">
      <c r="A6" s="1856" t="s">
        <v>1097</v>
      </c>
      <c r="B6" s="1860" t="s">
        <v>2091</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2092</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2093</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2094</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2095</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2096</v>
      </c>
      <c r="C72" s="1870"/>
      <c r="D72" s="1870"/>
      <c r="E72" s="1870"/>
      <c r="F72" s="1862">
        <v>0.05</v>
      </c>
    </row>
    <row r="73" spans="1:6" ht="14.25" thickBot="1">
      <c r="A73" s="1856" t="s">
        <v>925</v>
      </c>
      <c r="B73" s="1860" t="s">
        <v>2097</v>
      </c>
      <c r="C73" s="1870"/>
      <c r="D73" s="1870"/>
      <c r="E73" s="1870"/>
      <c r="F73" s="1862">
        <v>0.05</v>
      </c>
    </row>
    <row r="74" spans="1:6" ht="14.25" thickBot="1">
      <c r="A74" s="1856" t="s">
        <v>925</v>
      </c>
      <c r="B74" s="1860" t="s">
        <v>2098</v>
      </c>
      <c r="C74" s="1870"/>
      <c r="D74" s="1870"/>
      <c r="E74" s="1870"/>
      <c r="F74" s="1862">
        <v>0.05</v>
      </c>
    </row>
    <row r="75" spans="1:6" ht="14.25" thickBot="1">
      <c r="A75" s="1864" t="s">
        <v>925</v>
      </c>
      <c r="B75" s="1871" t="s">
        <v>2099</v>
      </c>
      <c r="C75" s="1867"/>
      <c r="D75" s="1867"/>
      <c r="E75" s="1867"/>
      <c r="F75" s="1872">
        <v>0.05</v>
      </c>
    </row>
    <row r="76" spans="1:6" ht="14.25" thickBot="1">
      <c r="A76" s="1856" t="s">
        <v>1408</v>
      </c>
      <c r="B76" s="1857" t="s">
        <v>2100</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2101</v>
      </c>
      <c r="C102" s="1870"/>
      <c r="D102" s="1870"/>
      <c r="E102" s="1870"/>
      <c r="F102" s="1862">
        <v>0.05</v>
      </c>
    </row>
    <row r="103" spans="1:6" ht="24.75" thickBot="1">
      <c r="A103" s="1856" t="s">
        <v>1408</v>
      </c>
      <c r="B103" s="1860" t="s">
        <v>2102</v>
      </c>
      <c r="C103" s="1870"/>
      <c r="D103" s="1870"/>
      <c r="E103" s="1870"/>
      <c r="F103" s="1862">
        <v>0.05</v>
      </c>
    </row>
    <row r="104" spans="1:6" ht="14.25" thickBot="1">
      <c r="A104" s="1856" t="s">
        <v>1408</v>
      </c>
      <c r="B104" s="1860" t="s">
        <v>2103</v>
      </c>
      <c r="C104" s="1870"/>
      <c r="D104" s="1870"/>
      <c r="E104" s="1870"/>
      <c r="F104" s="1862">
        <v>0.05</v>
      </c>
    </row>
    <row r="105" spans="1:6" ht="14.25" thickBot="1">
      <c r="A105" s="1856" t="s">
        <v>1408</v>
      </c>
      <c r="B105" s="1860" t="s">
        <v>2104</v>
      </c>
      <c r="C105" s="1870"/>
      <c r="D105" s="1870"/>
      <c r="E105" s="1870"/>
      <c r="F105" s="1862">
        <v>0.05</v>
      </c>
    </row>
    <row r="106" spans="1:6" ht="14.25" thickBot="1">
      <c r="A106" s="1856" t="s">
        <v>1408</v>
      </c>
      <c r="B106" s="1860" t="s">
        <v>2105</v>
      </c>
      <c r="C106" s="1870"/>
      <c r="D106" s="1870"/>
      <c r="E106" s="1870"/>
      <c r="F106" s="1862">
        <v>0.05</v>
      </c>
    </row>
    <row r="107" spans="1:6" ht="24.75" thickBot="1">
      <c r="A107" s="1856" t="s">
        <v>1408</v>
      </c>
      <c r="B107" s="1860" t="s">
        <v>2106</v>
      </c>
      <c r="C107" s="1870"/>
      <c r="D107" s="1870"/>
      <c r="E107" s="1870"/>
      <c r="F107" s="1862">
        <v>0.05</v>
      </c>
    </row>
    <row r="108" spans="1:6" ht="24.75" thickBot="1">
      <c r="A108" s="1856" t="s">
        <v>1408</v>
      </c>
      <c r="B108" s="1860" t="s">
        <v>2107</v>
      </c>
      <c r="C108" s="1870"/>
      <c r="D108" s="1870"/>
      <c r="E108" s="1870"/>
      <c r="F108" s="1862">
        <v>0.05</v>
      </c>
    </row>
    <row r="109" spans="1:6" ht="24.75" thickBot="1">
      <c r="A109" s="1864" t="s">
        <v>1408</v>
      </c>
      <c r="B109" s="1871" t="s">
        <v>2108</v>
      </c>
      <c r="C109" s="1867"/>
      <c r="D109" s="1867"/>
      <c r="E109" s="1867"/>
      <c r="F109" s="1872">
        <v>0.05</v>
      </c>
    </row>
    <row r="110" spans="1:6" ht="14.25" thickBot="1">
      <c r="A110" s="1856" t="s">
        <v>1410</v>
      </c>
      <c r="B110" s="1857" t="s">
        <v>2109</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2110</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2111</v>
      </c>
      <c r="C138" s="1861">
        <v>0.105</v>
      </c>
      <c r="D138" s="1861">
        <v>0.125</v>
      </c>
      <c r="E138" s="1861">
        <v>0.112</v>
      </c>
      <c r="F138" s="1869"/>
    </row>
    <row r="139" spans="1:6" ht="14.25" thickBot="1">
      <c r="A139" s="1856" t="s">
        <v>1410</v>
      </c>
      <c r="B139" s="1860" t="s">
        <v>2112</v>
      </c>
      <c r="C139" s="1861">
        <v>0.127</v>
      </c>
      <c r="D139" s="1861">
        <v>0.127</v>
      </c>
      <c r="E139" s="1861">
        <v>0.122</v>
      </c>
      <c r="F139" s="1862">
        <v>0.13</v>
      </c>
    </row>
    <row r="140" spans="1:6" ht="14.25" thickBot="1">
      <c r="A140" s="1856" t="s">
        <v>1410</v>
      </c>
      <c r="B140" s="1860" t="s">
        <v>2113</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2114</v>
      </c>
      <c r="C144" s="1874">
        <v>0.126</v>
      </c>
      <c r="D144" s="1874">
        <v>0.126</v>
      </c>
      <c r="E144" s="1874">
        <v>0.121</v>
      </c>
      <c r="F144" s="1869"/>
    </row>
    <row r="145" spans="1:6" ht="14.25" thickBot="1">
      <c r="A145" s="1864" t="s">
        <v>1410</v>
      </c>
      <c r="B145" s="1875" t="s">
        <v>2115</v>
      </c>
      <c r="C145" s="1876"/>
      <c r="D145" s="1876"/>
      <c r="E145" s="1876"/>
      <c r="F145" s="1877">
        <v>0.05</v>
      </c>
    </row>
    <row r="146" spans="1:6" ht="24.75" thickBot="1">
      <c r="A146" s="1878" t="s">
        <v>1410</v>
      </c>
      <c r="B146" s="1863" t="s">
        <v>2116</v>
      </c>
      <c r="C146" s="1870"/>
      <c r="D146" s="1870"/>
      <c r="E146" s="1870"/>
      <c r="F146" s="1879">
        <v>0.05</v>
      </c>
    </row>
    <row r="147" spans="1:6" ht="24.75" thickBot="1">
      <c r="A147" s="1856" t="s">
        <v>1410</v>
      </c>
      <c r="B147" s="1860" t="s">
        <v>2117</v>
      </c>
      <c r="C147" s="1870"/>
      <c r="D147" s="1870"/>
      <c r="E147" s="1870"/>
      <c r="F147" s="1862">
        <v>0.05</v>
      </c>
    </row>
    <row r="148" spans="1:6" ht="24.75" thickBot="1">
      <c r="A148" s="1856" t="s">
        <v>1410</v>
      </c>
      <c r="B148" s="1860" t="s">
        <v>2118</v>
      </c>
      <c r="C148" s="1870"/>
      <c r="D148" s="1870"/>
      <c r="E148" s="1870"/>
      <c r="F148" s="1862">
        <v>0.05</v>
      </c>
    </row>
    <row r="149" spans="1:6" ht="24.75" thickBot="1">
      <c r="A149" s="1856" t="s">
        <v>1410</v>
      </c>
      <c r="B149" s="1860" t="s">
        <v>2119</v>
      </c>
      <c r="C149" s="1870"/>
      <c r="D149" s="1870"/>
      <c r="E149" s="1870"/>
      <c r="F149" s="1862">
        <v>0.05</v>
      </c>
    </row>
    <row r="150" spans="1:6" ht="24.75" thickBot="1">
      <c r="A150" s="1856" t="s">
        <v>1410</v>
      </c>
      <c r="B150" s="1860" t="s">
        <v>2120</v>
      </c>
      <c r="C150" s="1870"/>
      <c r="D150" s="1870"/>
      <c r="E150" s="1870"/>
      <c r="F150" s="1862">
        <v>0.05</v>
      </c>
    </row>
    <row r="151" spans="1:6" ht="24.75" thickBot="1">
      <c r="A151" s="1856" t="s">
        <v>1410</v>
      </c>
      <c r="B151" s="1860" t="s">
        <v>2121</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2122</v>
      </c>
      <c r="C153" s="1870"/>
      <c r="D153" s="1870"/>
      <c r="E153" s="1870"/>
      <c r="F153" s="1862">
        <v>0.05</v>
      </c>
    </row>
    <row r="154" spans="1:6" ht="14.25" thickBot="1">
      <c r="A154" s="1856" t="s">
        <v>1410</v>
      </c>
      <c r="B154" s="1860" t="s">
        <v>2123</v>
      </c>
      <c r="C154" s="1870"/>
      <c r="D154" s="1870"/>
      <c r="E154" s="1870"/>
      <c r="F154" s="1862">
        <v>0.05</v>
      </c>
    </row>
    <row r="155" spans="1:6" ht="24.75" thickBot="1">
      <c r="A155" s="1856" t="s">
        <v>1410</v>
      </c>
      <c r="B155" s="1860" t="s">
        <v>2124</v>
      </c>
      <c r="C155" s="1870"/>
      <c r="D155" s="1870"/>
      <c r="E155" s="1870"/>
      <c r="F155" s="1862">
        <v>0.05</v>
      </c>
    </row>
    <row r="156" spans="1:6" ht="24.75" thickBot="1">
      <c r="A156" s="1856" t="s">
        <v>1410</v>
      </c>
      <c r="B156" s="1860" t="s">
        <v>2125</v>
      </c>
      <c r="C156" s="1870"/>
      <c r="D156" s="1870"/>
      <c r="E156" s="1870"/>
      <c r="F156" s="1862">
        <v>0.05</v>
      </c>
    </row>
    <row r="157" spans="1:6" ht="14.25" thickBot="1">
      <c r="A157" s="1864" t="s">
        <v>1410</v>
      </c>
      <c r="B157" s="1871" t="s">
        <v>2126</v>
      </c>
      <c r="C157" s="1867"/>
      <c r="D157" s="1867"/>
      <c r="E157" s="1867"/>
      <c r="F157" s="1872">
        <v>0.05</v>
      </c>
    </row>
    <row r="158" spans="1:6" ht="14.25" thickBot="1">
      <c r="A158" s="1856" t="s">
        <v>1412</v>
      </c>
      <c r="B158" s="1857" t="s">
        <v>2127</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2128</v>
      </c>
      <c r="C171" s="1861">
        <v>0.127</v>
      </c>
      <c r="D171" s="1861">
        <v>0.126</v>
      </c>
      <c r="E171" s="1861">
        <v>0.126</v>
      </c>
      <c r="F171" s="1862">
        <v>0.11799999999999999</v>
      </c>
    </row>
    <row r="172" spans="1:6" ht="14.25" thickBot="1">
      <c r="A172" s="1856" t="s">
        <v>1412</v>
      </c>
      <c r="B172" s="1860" t="s">
        <v>2129</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2130</v>
      </c>
      <c r="C174" s="1861">
        <v>0.13</v>
      </c>
      <c r="D174" s="1861">
        <v>0.13</v>
      </c>
      <c r="E174" s="1861">
        <v>0.13</v>
      </c>
      <c r="F174" s="1862">
        <v>0.13</v>
      </c>
    </row>
    <row r="175" spans="1:6" ht="14.25" thickBot="1">
      <c r="A175" s="1856" t="s">
        <v>1412</v>
      </c>
      <c r="B175" s="1860" t="s">
        <v>2131</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2132</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2133</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2134</v>
      </c>
      <c r="C185" s="1861">
        <v>0.127</v>
      </c>
      <c r="D185" s="1861">
        <v>0.127</v>
      </c>
      <c r="E185" s="1861">
        <v>0.128</v>
      </c>
      <c r="F185" s="1862">
        <v>0.13</v>
      </c>
    </row>
    <row r="186" spans="1:6" ht="24.75" thickBot="1">
      <c r="A186" s="1856" t="s">
        <v>1412</v>
      </c>
      <c r="B186" s="1860" t="s">
        <v>2135</v>
      </c>
      <c r="C186" s="1870"/>
      <c r="D186" s="1870"/>
      <c r="E186" s="1870"/>
      <c r="F186" s="1862">
        <v>0.05</v>
      </c>
    </row>
    <row r="187" spans="1:6" ht="14.25" thickBot="1">
      <c r="A187" s="1856" t="s">
        <v>1412</v>
      </c>
      <c r="B187" s="1860" t="s">
        <v>2136</v>
      </c>
      <c r="C187" s="1870"/>
      <c r="D187" s="1870"/>
      <c r="E187" s="1870"/>
      <c r="F187" s="1862">
        <v>0.05</v>
      </c>
    </row>
    <row r="188" spans="1:6" ht="14.25" thickBot="1">
      <c r="A188" s="1856" t="s">
        <v>1412</v>
      </c>
      <c r="B188" s="1860" t="s">
        <v>2137</v>
      </c>
      <c r="C188" s="1870"/>
      <c r="D188" s="1870"/>
      <c r="E188" s="1870"/>
      <c r="F188" s="1862">
        <v>0.05</v>
      </c>
    </row>
    <row r="189" spans="1:6" ht="24.75" thickBot="1">
      <c r="A189" s="1856" t="s">
        <v>1412</v>
      </c>
      <c r="B189" s="1860" t="s">
        <v>2138</v>
      </c>
      <c r="C189" s="1870"/>
      <c r="D189" s="1870"/>
      <c r="E189" s="1870"/>
      <c r="F189" s="1862">
        <v>0.05</v>
      </c>
    </row>
    <row r="190" spans="1:6" ht="24.75" thickBot="1">
      <c r="A190" s="1856" t="s">
        <v>1412</v>
      </c>
      <c r="B190" s="1860" t="s">
        <v>2139</v>
      </c>
      <c r="C190" s="1870"/>
      <c r="D190" s="1870"/>
      <c r="E190" s="1870"/>
      <c r="F190" s="1862">
        <v>0.05</v>
      </c>
    </row>
    <row r="191" spans="1:6" ht="24.75" thickBot="1">
      <c r="A191" s="1856" t="s">
        <v>1412</v>
      </c>
      <c r="B191" s="1860" t="s">
        <v>2140</v>
      </c>
      <c r="C191" s="1870"/>
      <c r="D191" s="1870"/>
      <c r="E191" s="1870"/>
      <c r="F191" s="1862">
        <v>0.05</v>
      </c>
    </row>
    <row r="192" spans="1:6" ht="24.75" thickBot="1">
      <c r="A192" s="1856" t="s">
        <v>1412</v>
      </c>
      <c r="B192" s="1860" t="s">
        <v>2141</v>
      </c>
      <c r="C192" s="1870"/>
      <c r="D192" s="1870"/>
      <c r="E192" s="1870"/>
      <c r="F192" s="1862">
        <v>0.05</v>
      </c>
    </row>
    <row r="193" spans="1:6" ht="24.75" thickBot="1">
      <c r="A193" s="1856" t="s">
        <v>1412</v>
      </c>
      <c r="B193" s="1860" t="s">
        <v>2142</v>
      </c>
      <c r="C193" s="1870"/>
      <c r="D193" s="1870"/>
      <c r="E193" s="1870"/>
      <c r="F193" s="1862">
        <v>0.05</v>
      </c>
    </row>
    <row r="194" spans="1:6" ht="24.75" thickBot="1">
      <c r="A194" s="1856" t="s">
        <v>1412</v>
      </c>
      <c r="B194" s="1860" t="s">
        <v>2143</v>
      </c>
      <c r="C194" s="1870"/>
      <c r="D194" s="1870"/>
      <c r="E194" s="1870"/>
      <c r="F194" s="1862">
        <v>0.05</v>
      </c>
    </row>
    <row r="195" spans="1:6" ht="14.25" thickBot="1">
      <c r="A195" s="1856" t="s">
        <v>1412</v>
      </c>
      <c r="B195" s="1860" t="s">
        <v>2144</v>
      </c>
      <c r="C195" s="1870"/>
      <c r="D195" s="1870"/>
      <c r="E195" s="1870"/>
      <c r="F195" s="1862">
        <v>0.05</v>
      </c>
    </row>
    <row r="196" spans="1:6" ht="24.75" thickBot="1">
      <c r="A196" s="1856" t="s">
        <v>1412</v>
      </c>
      <c r="B196" s="1860" t="s">
        <v>2145</v>
      </c>
      <c r="C196" s="1870"/>
      <c r="D196" s="1870"/>
      <c r="E196" s="1870"/>
      <c r="F196" s="1862">
        <v>0.05</v>
      </c>
    </row>
    <row r="197" spans="1:6" ht="24.75" thickBot="1">
      <c r="A197" s="1856" t="s">
        <v>1412</v>
      </c>
      <c r="B197" s="1860" t="s">
        <v>2146</v>
      </c>
      <c r="C197" s="1870"/>
      <c r="D197" s="1870"/>
      <c r="E197" s="1870"/>
      <c r="F197" s="1862">
        <v>0.05</v>
      </c>
    </row>
    <row r="198" spans="1:6" ht="24.75" thickBot="1">
      <c r="A198" s="1856" t="s">
        <v>1412</v>
      </c>
      <c r="B198" s="1860" t="s">
        <v>2147</v>
      </c>
      <c r="C198" s="1870"/>
      <c r="D198" s="1870"/>
      <c r="E198" s="1870"/>
      <c r="F198" s="1862">
        <v>0.05</v>
      </c>
    </row>
    <row r="199" spans="1:6" ht="24.75" thickBot="1">
      <c r="A199" s="1856" t="s">
        <v>1412</v>
      </c>
      <c r="B199" s="1860" t="s">
        <v>2148</v>
      </c>
      <c r="C199" s="1870"/>
      <c r="D199" s="1870"/>
      <c r="E199" s="1870"/>
      <c r="F199" s="1862">
        <v>0.05</v>
      </c>
    </row>
    <row r="200" spans="1:6" ht="24.75" thickBot="1">
      <c r="A200" s="1856" t="s">
        <v>1412</v>
      </c>
      <c r="B200" s="1860" t="s">
        <v>2149</v>
      </c>
      <c r="C200" s="1870"/>
      <c r="D200" s="1870"/>
      <c r="E200" s="1870"/>
      <c r="F200" s="1862">
        <v>0.05</v>
      </c>
    </row>
    <row r="201" spans="1:6" ht="24.75" thickBot="1">
      <c r="A201" s="1856" t="s">
        <v>1412</v>
      </c>
      <c r="B201" s="1860" t="s">
        <v>2150</v>
      </c>
      <c r="C201" s="1870"/>
      <c r="D201" s="1870"/>
      <c r="E201" s="1870"/>
      <c r="F201" s="1862">
        <v>0.05</v>
      </c>
    </row>
    <row r="202" spans="1:6" ht="24.75" thickBot="1">
      <c r="A202" s="1856" t="s">
        <v>1412</v>
      </c>
      <c r="B202" s="1860" t="s">
        <v>2151</v>
      </c>
      <c r="C202" s="1870"/>
      <c r="D202" s="1870"/>
      <c r="E202" s="1870"/>
      <c r="F202" s="1862">
        <v>0.05</v>
      </c>
    </row>
    <row r="203" spans="1:6" ht="24.75" thickBot="1">
      <c r="A203" s="1856" t="s">
        <v>1412</v>
      </c>
      <c r="B203" s="1860" t="s">
        <v>2152</v>
      </c>
      <c r="C203" s="1870"/>
      <c r="D203" s="1870"/>
      <c r="E203" s="1870"/>
      <c r="F203" s="1862">
        <v>0.05</v>
      </c>
    </row>
    <row r="204" spans="1:6" ht="14.25" thickBot="1">
      <c r="A204" s="1856" t="s">
        <v>1412</v>
      </c>
      <c r="B204" s="1860" t="s">
        <v>2153</v>
      </c>
      <c r="C204" s="1870"/>
      <c r="D204" s="1870"/>
      <c r="E204" s="1870"/>
      <c r="F204" s="1862">
        <v>0.05</v>
      </c>
    </row>
    <row r="205" spans="1:6" ht="14.25" thickBot="1">
      <c r="A205" s="1864" t="s">
        <v>1412</v>
      </c>
      <c r="B205" s="1871" t="s">
        <v>2154</v>
      </c>
      <c r="C205" s="1867"/>
      <c r="D205" s="1867"/>
      <c r="E205" s="1867"/>
      <c r="F205" s="1872">
        <v>0.05</v>
      </c>
    </row>
    <row r="206" spans="1:6" ht="14.25" thickBot="1">
      <c r="A206" s="1856" t="s">
        <v>1414</v>
      </c>
      <c r="B206" s="1857" t="s">
        <v>2155</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2156</v>
      </c>
      <c r="C210" s="1861">
        <v>0.15</v>
      </c>
      <c r="D210" s="1861">
        <v>0.15</v>
      </c>
      <c r="E210" s="1861">
        <v>0.15</v>
      </c>
      <c r="F210" s="1862">
        <v>0.13800000000000001</v>
      </c>
    </row>
    <row r="211" spans="1:6" ht="14.25" thickBot="1">
      <c r="A211" s="1856" t="s">
        <v>1414</v>
      </c>
      <c r="B211" s="1860" t="s">
        <v>2157</v>
      </c>
      <c r="C211" s="1861">
        <v>0.13700000000000001</v>
      </c>
      <c r="D211" s="1861">
        <v>0.13500000000000001</v>
      </c>
      <c r="E211" s="1861">
        <v>0.13600000000000001</v>
      </c>
      <c r="F211" s="1862">
        <v>0.1</v>
      </c>
    </row>
    <row r="212" spans="1:6" ht="14.25" thickBot="1">
      <c r="A212" s="1856" t="s">
        <v>1414</v>
      </c>
      <c r="B212" s="1860" t="s">
        <v>2158</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2159</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2160</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2161</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2162</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2163</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2164</v>
      </c>
      <c r="C231" s="1861">
        <v>0.128</v>
      </c>
      <c r="D231" s="1861">
        <v>0.125</v>
      </c>
      <c r="E231" s="1861">
        <v>0.13200000000000001</v>
      </c>
      <c r="F231" s="1869"/>
    </row>
    <row r="232" spans="1:6" ht="14.25" thickBot="1">
      <c r="A232" s="1856" t="s">
        <v>1414</v>
      </c>
      <c r="B232" s="1860" t="s">
        <v>2165</v>
      </c>
      <c r="C232" s="1861">
        <v>0.14499999999999999</v>
      </c>
      <c r="D232" s="1861">
        <v>0.14399999999999999</v>
      </c>
      <c r="E232" s="1861">
        <v>0.14599999999999999</v>
      </c>
      <c r="F232" s="1862">
        <v>0.13800000000000001</v>
      </c>
    </row>
    <row r="233" spans="1:6" ht="14.25" thickBot="1">
      <c r="A233" s="1856" t="s">
        <v>1414</v>
      </c>
      <c r="B233" s="1860" t="s">
        <v>2166</v>
      </c>
      <c r="C233" s="1861">
        <v>0.14499999999999999</v>
      </c>
      <c r="D233" s="1861">
        <v>0.14299999999999999</v>
      </c>
      <c r="E233" s="1861">
        <v>0.14199999999999999</v>
      </c>
      <c r="F233" s="1869"/>
    </row>
    <row r="234" spans="1:6" ht="14.25" thickBot="1">
      <c r="A234" s="1856" t="s">
        <v>1414</v>
      </c>
      <c r="B234" s="1860" t="s">
        <v>2167</v>
      </c>
      <c r="C234" s="1861">
        <v>0.14000000000000001</v>
      </c>
      <c r="D234" s="1861">
        <v>0.14000000000000001</v>
      </c>
      <c r="E234" s="1861">
        <v>0.14399999999999999</v>
      </c>
      <c r="F234" s="1869"/>
    </row>
    <row r="235" spans="1:6" ht="14.25" thickBot="1">
      <c r="A235" s="1856" t="s">
        <v>1414</v>
      </c>
      <c r="B235" s="1860" t="s">
        <v>2168</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2169</v>
      </c>
      <c r="C237" s="1870"/>
      <c r="D237" s="1870"/>
      <c r="E237" s="1870"/>
      <c r="F237" s="1862">
        <v>0.05</v>
      </c>
    </row>
    <row r="238" spans="1:6" ht="24.75" thickBot="1">
      <c r="A238" s="1856" t="s">
        <v>1414</v>
      </c>
      <c r="B238" s="1860" t="s">
        <v>2170</v>
      </c>
      <c r="C238" s="1870"/>
      <c r="D238" s="1870"/>
      <c r="E238" s="1870"/>
      <c r="F238" s="1862">
        <v>0.05</v>
      </c>
    </row>
    <row r="239" spans="1:6" ht="24.75" thickBot="1">
      <c r="A239" s="1856" t="s">
        <v>1414</v>
      </c>
      <c r="B239" s="1860" t="s">
        <v>2171</v>
      </c>
      <c r="C239" s="1870"/>
      <c r="D239" s="1870"/>
      <c r="E239" s="1870"/>
      <c r="F239" s="1862">
        <v>0.05</v>
      </c>
    </row>
    <row r="240" spans="1:6" ht="24.75" thickBot="1">
      <c r="A240" s="1856" t="s">
        <v>1414</v>
      </c>
      <c r="B240" s="1860" t="s">
        <v>2172</v>
      </c>
      <c r="C240" s="1870"/>
      <c r="D240" s="1870"/>
      <c r="E240" s="1870"/>
      <c r="F240" s="1862">
        <v>0.05</v>
      </c>
    </row>
    <row r="241" spans="1:6" ht="24.75" thickBot="1">
      <c r="A241" s="1856" t="s">
        <v>1414</v>
      </c>
      <c r="B241" s="1860" t="s">
        <v>2173</v>
      </c>
      <c r="C241" s="1870"/>
      <c r="D241" s="1870"/>
      <c r="E241" s="1870"/>
      <c r="F241" s="1862">
        <v>0.05</v>
      </c>
    </row>
    <row r="242" spans="1:6" ht="24.75" thickBot="1">
      <c r="A242" s="1856" t="s">
        <v>1414</v>
      </c>
      <c r="B242" s="1860" t="s">
        <v>2174</v>
      </c>
      <c r="C242" s="1870"/>
      <c r="D242" s="1870"/>
      <c r="E242" s="1870"/>
      <c r="F242" s="1862">
        <v>0.05</v>
      </c>
    </row>
    <row r="243" spans="1:6" ht="24.75" thickBot="1">
      <c r="A243" s="1856" t="s">
        <v>1414</v>
      </c>
      <c r="B243" s="1860" t="s">
        <v>2175</v>
      </c>
      <c r="C243" s="1870"/>
      <c r="D243" s="1870"/>
      <c r="E243" s="1870"/>
      <c r="F243" s="1862">
        <v>0.05</v>
      </c>
    </row>
    <row r="244" spans="1:6" ht="24.75" thickBot="1">
      <c r="A244" s="1864" t="s">
        <v>1414</v>
      </c>
      <c r="B244" s="1871" t="s">
        <v>2176</v>
      </c>
      <c r="C244" s="1867"/>
      <c r="D244" s="1867"/>
      <c r="E244" s="1867"/>
      <c r="F244" s="1872">
        <v>0.05</v>
      </c>
    </row>
    <row r="245" spans="1:6" ht="14.25" thickBot="1">
      <c r="A245" s="1856" t="s">
        <v>1416</v>
      </c>
      <c r="B245" s="1857" t="s">
        <v>2177</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2178</v>
      </c>
      <c r="C247" s="1861">
        <v>0.15</v>
      </c>
      <c r="D247" s="1861">
        <v>0.15</v>
      </c>
      <c r="E247" s="1861">
        <v>0.15</v>
      </c>
      <c r="F247" s="1862">
        <v>0.15</v>
      </c>
    </row>
    <row r="248" spans="1:6" ht="14.25" thickBot="1">
      <c r="A248" s="1856" t="s">
        <v>1416</v>
      </c>
      <c r="B248" s="1860" t="s">
        <v>2179</v>
      </c>
      <c r="C248" s="1861">
        <v>0.15</v>
      </c>
      <c r="D248" s="1861">
        <v>0.15</v>
      </c>
      <c r="E248" s="1861">
        <v>0.15</v>
      </c>
      <c r="F248" s="1862">
        <v>0.14000000000000001</v>
      </c>
    </row>
    <row r="249" spans="1:6" ht="14.25" thickBot="1">
      <c r="A249" s="1856" t="s">
        <v>1416</v>
      </c>
      <c r="B249" s="1860" t="s">
        <v>2180</v>
      </c>
      <c r="C249" s="1861">
        <v>0.15</v>
      </c>
      <c r="D249" s="1861">
        <v>0.14899999999999999</v>
      </c>
      <c r="E249" s="1861">
        <v>0.15</v>
      </c>
      <c r="F249" s="1862">
        <v>0.1</v>
      </c>
    </row>
    <row r="250" spans="1:6" ht="14.25" thickBot="1">
      <c r="A250" s="1856" t="s">
        <v>1416</v>
      </c>
      <c r="B250" s="1860" t="s">
        <v>2181</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2182</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2183</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2184</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2185</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2186</v>
      </c>
      <c r="C273" s="1861">
        <v>0.14199999999999999</v>
      </c>
      <c r="D273" s="1861">
        <v>0.14299999999999999</v>
      </c>
      <c r="E273" s="1861">
        <v>0.15</v>
      </c>
      <c r="F273" s="1862">
        <v>0.1</v>
      </c>
    </row>
    <row r="274" spans="1:6" ht="14.25" thickBot="1">
      <c r="A274" s="1856" t="s">
        <v>1416</v>
      </c>
      <c r="B274" s="1860" t="s">
        <v>2187</v>
      </c>
      <c r="C274" s="1861">
        <v>0.14799999999999999</v>
      </c>
      <c r="D274" s="1861">
        <v>0.14799999999999999</v>
      </c>
      <c r="E274" s="1861">
        <v>0.15</v>
      </c>
      <c r="F274" s="1862">
        <v>6.7000000000000004E-2</v>
      </c>
    </row>
    <row r="275" spans="1:6" ht="14.25" thickBot="1">
      <c r="A275" s="1856" t="s">
        <v>1416</v>
      </c>
      <c r="B275" s="1860" t="s">
        <v>2188</v>
      </c>
      <c r="C275" s="1861">
        <v>0.15</v>
      </c>
      <c r="D275" s="1861">
        <v>0.15</v>
      </c>
      <c r="E275" s="1861">
        <v>0.15</v>
      </c>
      <c r="F275" s="1862">
        <v>0.15</v>
      </c>
    </row>
    <row r="276" spans="1:6" ht="14.25" thickBot="1">
      <c r="A276" s="1856" t="s">
        <v>1416</v>
      </c>
      <c r="B276" s="1860" t="s">
        <v>2189</v>
      </c>
      <c r="C276" s="1861">
        <v>0.14499999999999999</v>
      </c>
      <c r="D276" s="1861">
        <v>0.14299999999999999</v>
      </c>
      <c r="E276" s="1861">
        <v>0.15</v>
      </c>
      <c r="F276" s="1862">
        <v>5.8999999999999997E-2</v>
      </c>
    </row>
    <row r="277" spans="1:6" ht="14.25" thickBot="1">
      <c r="A277" s="1856" t="s">
        <v>1416</v>
      </c>
      <c r="B277" s="1860" t="s">
        <v>2190</v>
      </c>
      <c r="C277" s="1861">
        <v>0.15</v>
      </c>
      <c r="D277" s="1861">
        <v>0.15</v>
      </c>
      <c r="E277" s="1861">
        <v>0.15</v>
      </c>
      <c r="F277" s="1862">
        <v>0.121</v>
      </c>
    </row>
    <row r="278" spans="1:6" ht="14.25" thickBot="1">
      <c r="A278" s="1856" t="s">
        <v>1416</v>
      </c>
      <c r="B278" s="1860" t="s">
        <v>2191</v>
      </c>
      <c r="C278" s="1861">
        <v>0.15</v>
      </c>
      <c r="D278" s="1861">
        <v>0.15</v>
      </c>
      <c r="E278" s="1861">
        <v>0.15</v>
      </c>
      <c r="F278" s="1862">
        <v>0.13800000000000001</v>
      </c>
    </row>
    <row r="279" spans="1:6" ht="24.75" thickBot="1">
      <c r="A279" s="1856" t="s">
        <v>1416</v>
      </c>
      <c r="B279" s="1860" t="s">
        <v>2192</v>
      </c>
      <c r="C279" s="1870"/>
      <c r="D279" s="1870"/>
      <c r="E279" s="1870"/>
      <c r="F279" s="1862">
        <v>0.05</v>
      </c>
    </row>
    <row r="280" spans="1:6" ht="24.75" thickBot="1">
      <c r="A280" s="1856" t="s">
        <v>1416</v>
      </c>
      <c r="B280" s="1860" t="s">
        <v>2193</v>
      </c>
      <c r="C280" s="1870"/>
      <c r="D280" s="1870"/>
      <c r="E280" s="1870"/>
      <c r="F280" s="1862">
        <v>0.05</v>
      </c>
    </row>
    <row r="281" spans="1:6" ht="24.75" thickBot="1">
      <c r="A281" s="1856" t="s">
        <v>1416</v>
      </c>
      <c r="B281" s="1860" t="s">
        <v>2194</v>
      </c>
      <c r="C281" s="1870"/>
      <c r="D281" s="1870"/>
      <c r="E281" s="1870"/>
      <c r="F281" s="1862">
        <v>0.05</v>
      </c>
    </row>
    <row r="282" spans="1:6" ht="24.75" thickBot="1">
      <c r="A282" s="1856" t="s">
        <v>1416</v>
      </c>
      <c r="B282" s="1860" t="s">
        <v>2195</v>
      </c>
      <c r="C282" s="1870"/>
      <c r="D282" s="1870"/>
      <c r="E282" s="1870"/>
      <c r="F282" s="1862">
        <v>0.05</v>
      </c>
    </row>
    <row r="283" spans="1:6" ht="24.75" thickBot="1">
      <c r="A283" s="1856" t="s">
        <v>1416</v>
      </c>
      <c r="B283" s="1860" t="s">
        <v>2196</v>
      </c>
      <c r="C283" s="1870"/>
      <c r="D283" s="1870"/>
      <c r="E283" s="1870"/>
      <c r="F283" s="1862">
        <v>0.05</v>
      </c>
    </row>
    <row r="284" spans="1:6" ht="24.75" thickBot="1">
      <c r="A284" s="1856" t="s">
        <v>1416</v>
      </c>
      <c r="B284" s="1860" t="s">
        <v>2197</v>
      </c>
      <c r="C284" s="1870"/>
      <c r="D284" s="1870"/>
      <c r="E284" s="1870"/>
      <c r="F284" s="1862">
        <v>0.05</v>
      </c>
    </row>
    <row r="285" spans="1:6" ht="24.75" thickBot="1">
      <c r="A285" s="1856" t="s">
        <v>1416</v>
      </c>
      <c r="B285" s="1860" t="s">
        <v>2198</v>
      </c>
      <c r="C285" s="1870"/>
      <c r="D285" s="1870"/>
      <c r="E285" s="1870"/>
      <c r="F285" s="1862">
        <v>0.05</v>
      </c>
    </row>
    <row r="286" spans="1:6" ht="24.75" thickBot="1">
      <c r="A286" s="1856" t="s">
        <v>1416</v>
      </c>
      <c r="B286" s="1860" t="s">
        <v>2199</v>
      </c>
      <c r="C286" s="1870"/>
      <c r="D286" s="1870"/>
      <c r="E286" s="1870"/>
      <c r="F286" s="1862">
        <v>0.05</v>
      </c>
    </row>
    <row r="287" spans="1:6" ht="24.75" thickBot="1">
      <c r="A287" s="1856" t="s">
        <v>1416</v>
      </c>
      <c r="B287" s="1860" t="s">
        <v>2200</v>
      </c>
      <c r="C287" s="1870"/>
      <c r="D287" s="1870"/>
      <c r="E287" s="1870"/>
      <c r="F287" s="1862">
        <v>0.05</v>
      </c>
    </row>
    <row r="288" spans="1:6" ht="24.75" thickBot="1">
      <c r="A288" s="1856" t="s">
        <v>1416</v>
      </c>
      <c r="B288" s="1860" t="s">
        <v>2201</v>
      </c>
      <c r="C288" s="1870"/>
      <c r="D288" s="1870"/>
      <c r="E288" s="1870"/>
      <c r="F288" s="1862">
        <v>0.05</v>
      </c>
    </row>
    <row r="289" spans="1:6" ht="24.75" thickBot="1">
      <c r="A289" s="1864" t="s">
        <v>1416</v>
      </c>
      <c r="B289" s="1871" t="s">
        <v>2202</v>
      </c>
      <c r="C289" s="1867"/>
      <c r="D289" s="1867"/>
      <c r="E289" s="1867"/>
      <c r="F289" s="1872">
        <v>0.05</v>
      </c>
    </row>
    <row r="290" spans="1:6" ht="14.25" thickBot="1">
      <c r="A290" s="1856" t="s">
        <v>1420</v>
      </c>
      <c r="B290" s="1857" t="s">
        <v>2203</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2204</v>
      </c>
      <c r="C292" s="1861">
        <v>0.15</v>
      </c>
      <c r="D292" s="1861">
        <v>0.15</v>
      </c>
      <c r="E292" s="1861">
        <v>0.15</v>
      </c>
      <c r="F292" s="1862">
        <v>0.14699999999999999</v>
      </c>
    </row>
    <row r="293" spans="1:6" ht="14.25" thickBot="1">
      <c r="A293" s="1856" t="s">
        <v>1420</v>
      </c>
      <c r="B293" s="1860" t="s">
        <v>2205</v>
      </c>
      <c r="C293" s="1870"/>
      <c r="D293" s="1870"/>
      <c r="E293" s="1870"/>
      <c r="F293" s="1862">
        <v>0.1</v>
      </c>
    </row>
    <row r="294" spans="1:6" ht="14.25" thickBot="1">
      <c r="A294" s="1856" t="s">
        <v>1420</v>
      </c>
      <c r="B294" s="1860" t="s">
        <v>2206</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2207</v>
      </c>
      <c r="C296" s="1861">
        <v>0.15</v>
      </c>
      <c r="D296" s="1861">
        <v>0.15</v>
      </c>
      <c r="E296" s="1861">
        <v>0.15</v>
      </c>
      <c r="F296" s="1862">
        <v>0.15</v>
      </c>
    </row>
    <row r="297" spans="1:6" ht="14.25" thickBot="1">
      <c r="A297" s="1856" t="s">
        <v>1420</v>
      </c>
      <c r="B297" s="1860" t="s">
        <v>2208</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2209</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2210</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2211</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2212</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2213</v>
      </c>
      <c r="C310" s="1861">
        <v>0.15</v>
      </c>
      <c r="D310" s="1861">
        <v>0.15</v>
      </c>
      <c r="E310" s="1861">
        <v>0.15</v>
      </c>
      <c r="F310" s="1862">
        <v>0.13700000000000001</v>
      </c>
    </row>
    <row r="311" spans="1:6" ht="14.25" thickBot="1">
      <c r="A311" s="1856" t="s">
        <v>1420</v>
      </c>
      <c r="B311" s="1860" t="s">
        <v>2214</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2215</v>
      </c>
      <c r="C313" s="1861">
        <v>0.15</v>
      </c>
      <c r="D313" s="1861">
        <v>0.15</v>
      </c>
      <c r="E313" s="1861">
        <v>0.15</v>
      </c>
      <c r="F313" s="1862">
        <v>0.15</v>
      </c>
    </row>
    <row r="314" spans="1:6" ht="24.75" thickBot="1">
      <c r="A314" s="1856" t="s">
        <v>1420</v>
      </c>
      <c r="B314" s="1860" t="s">
        <v>2216</v>
      </c>
      <c r="C314" s="1870"/>
      <c r="D314" s="1870"/>
      <c r="E314" s="1870"/>
      <c r="F314" s="1862">
        <v>0.05</v>
      </c>
    </row>
    <row r="315" spans="1:6" ht="24.75" thickBot="1">
      <c r="A315" s="1856" t="s">
        <v>1420</v>
      </c>
      <c r="B315" s="1860" t="s">
        <v>2217</v>
      </c>
      <c r="C315" s="1870"/>
      <c r="D315" s="1870"/>
      <c r="E315" s="1870"/>
      <c r="F315" s="1862">
        <v>0.05</v>
      </c>
    </row>
    <row r="316" spans="1:6" ht="24.75" thickBot="1">
      <c r="A316" s="1864" t="s">
        <v>1420</v>
      </c>
      <c r="B316" s="1871" t="s">
        <v>2218</v>
      </c>
      <c r="C316" s="1867"/>
      <c r="D316" s="1867"/>
      <c r="E316" s="1867"/>
      <c r="F316" s="1872">
        <v>0.05</v>
      </c>
    </row>
    <row r="317" spans="1:6" ht="14.25" thickBot="1">
      <c r="A317" s="1856" t="s">
        <v>2219</v>
      </c>
      <c r="B317" s="1857" t="s">
        <v>2220</v>
      </c>
      <c r="C317" s="1858">
        <v>0.15</v>
      </c>
      <c r="D317" s="1858">
        <v>0.15</v>
      </c>
      <c r="E317" s="1858">
        <v>0.15</v>
      </c>
      <c r="F317" s="1859">
        <v>0.15</v>
      </c>
    </row>
    <row r="318" spans="1:6" ht="14.25" thickBot="1">
      <c r="A318" s="1856" t="s">
        <v>2219</v>
      </c>
      <c r="B318" s="1860" t="s">
        <v>2221</v>
      </c>
      <c r="C318" s="1861">
        <v>0.107</v>
      </c>
      <c r="D318" s="1861">
        <v>0.11</v>
      </c>
      <c r="E318" s="1861">
        <v>0.112</v>
      </c>
      <c r="F318" s="1869"/>
    </row>
    <row r="319" spans="1:6" ht="14.25" thickBot="1">
      <c r="A319" s="1856" t="s">
        <v>2219</v>
      </c>
      <c r="B319" s="1860" t="s">
        <v>2222</v>
      </c>
      <c r="C319" s="1861">
        <v>0.15</v>
      </c>
      <c r="D319" s="1861">
        <v>0.15</v>
      </c>
      <c r="E319" s="1861">
        <v>0.15</v>
      </c>
      <c r="F319" s="1862">
        <v>0.15</v>
      </c>
    </row>
    <row r="320" spans="1:6" ht="14.25" thickBot="1">
      <c r="A320" s="1856" t="s">
        <v>2219</v>
      </c>
      <c r="B320" s="1860" t="s">
        <v>1108</v>
      </c>
      <c r="C320" s="1861">
        <v>0.15</v>
      </c>
      <c r="D320" s="1861">
        <v>0.15</v>
      </c>
      <c r="E320" s="1861">
        <v>0.15</v>
      </c>
      <c r="F320" s="1869"/>
    </row>
    <row r="321" spans="1:6" ht="14.25" thickBot="1">
      <c r="A321" s="1856" t="s">
        <v>2219</v>
      </c>
      <c r="B321" s="1860" t="s">
        <v>2223</v>
      </c>
      <c r="C321" s="1861">
        <v>0.15</v>
      </c>
      <c r="D321" s="1861">
        <v>0.15</v>
      </c>
      <c r="E321" s="1861">
        <v>0.15</v>
      </c>
      <c r="F321" s="1869"/>
    </row>
    <row r="322" spans="1:6" ht="14.25" thickBot="1">
      <c r="A322" s="1856" t="s">
        <v>2219</v>
      </c>
      <c r="B322" s="1860" t="s">
        <v>2224</v>
      </c>
      <c r="C322" s="1861">
        <v>0.15</v>
      </c>
      <c r="D322" s="1861">
        <v>0.15</v>
      </c>
      <c r="E322" s="1861">
        <v>0.15</v>
      </c>
      <c r="F322" s="1862">
        <v>0.15</v>
      </c>
    </row>
    <row r="323" spans="1:6" ht="14.25" thickBot="1">
      <c r="A323" s="1856" t="s">
        <v>2219</v>
      </c>
      <c r="B323" s="1860" t="s">
        <v>2225</v>
      </c>
      <c r="C323" s="1861">
        <v>0.15</v>
      </c>
      <c r="D323" s="1861">
        <v>0.15</v>
      </c>
      <c r="E323" s="1861">
        <v>0.15</v>
      </c>
      <c r="F323" s="1869"/>
    </row>
    <row r="324" spans="1:6" ht="14.25" thickBot="1">
      <c r="A324" s="1856" t="s">
        <v>2219</v>
      </c>
      <c r="B324" s="1860" t="s">
        <v>2226</v>
      </c>
      <c r="C324" s="1861">
        <v>0.15</v>
      </c>
      <c r="D324" s="1861">
        <v>0.15</v>
      </c>
      <c r="E324" s="1861">
        <v>0.15</v>
      </c>
      <c r="F324" s="1869"/>
    </row>
    <row r="325" spans="1:6" ht="14.25" thickBot="1">
      <c r="A325" s="1856" t="s">
        <v>2219</v>
      </c>
      <c r="B325" s="1860" t="s">
        <v>2227</v>
      </c>
      <c r="C325" s="1861">
        <v>0.15</v>
      </c>
      <c r="D325" s="1861">
        <v>0.15</v>
      </c>
      <c r="E325" s="1861">
        <v>0.15</v>
      </c>
      <c r="F325" s="1862">
        <v>0.14699999999999999</v>
      </c>
    </row>
    <row r="326" spans="1:6" ht="14.25" thickBot="1">
      <c r="A326" s="1856" t="s">
        <v>2219</v>
      </c>
      <c r="B326" s="1860" t="s">
        <v>1177</v>
      </c>
      <c r="C326" s="1861">
        <v>0.15</v>
      </c>
      <c r="D326" s="1861">
        <v>0.15</v>
      </c>
      <c r="E326" s="1861">
        <v>0.15</v>
      </c>
      <c r="F326" s="1869"/>
    </row>
    <row r="327" spans="1:6" ht="14.25" thickBot="1">
      <c r="A327" s="1856" t="s">
        <v>2219</v>
      </c>
      <c r="B327" s="1860" t="s">
        <v>2228</v>
      </c>
      <c r="C327" s="1861">
        <v>0.15</v>
      </c>
      <c r="D327" s="1861">
        <v>0.15</v>
      </c>
      <c r="E327" s="1861">
        <v>0.15</v>
      </c>
      <c r="F327" s="1862">
        <v>0.15</v>
      </c>
    </row>
    <row r="328" spans="1:6" ht="14.25" thickBot="1">
      <c r="A328" s="1856" t="s">
        <v>2219</v>
      </c>
      <c r="B328" s="1860" t="s">
        <v>1197</v>
      </c>
      <c r="C328" s="1861">
        <v>0.15</v>
      </c>
      <c r="D328" s="1861">
        <v>0.15</v>
      </c>
      <c r="E328" s="1861">
        <v>0.15</v>
      </c>
      <c r="F328" s="1862">
        <v>0.14099999999999999</v>
      </c>
    </row>
    <row r="329" spans="1:6" ht="14.25" thickBot="1">
      <c r="A329" s="1856" t="s">
        <v>2219</v>
      </c>
      <c r="B329" s="1860" t="s">
        <v>1207</v>
      </c>
      <c r="C329" s="1861">
        <v>0.15</v>
      </c>
      <c r="D329" s="1861">
        <v>0.15</v>
      </c>
      <c r="E329" s="1861">
        <v>0.15</v>
      </c>
      <c r="F329" s="1862">
        <v>0.15</v>
      </c>
    </row>
    <row r="330" spans="1:6" ht="14.25" thickBot="1">
      <c r="A330" s="1856" t="s">
        <v>2219</v>
      </c>
      <c r="B330" s="1860" t="s">
        <v>1217</v>
      </c>
      <c r="C330" s="1861">
        <v>0.15</v>
      </c>
      <c r="D330" s="1861">
        <v>0.15</v>
      </c>
      <c r="E330" s="1861">
        <v>0.15</v>
      </c>
      <c r="F330" s="1869"/>
    </row>
    <row r="331" spans="1:6" ht="14.25" thickBot="1">
      <c r="A331" s="1856" t="s">
        <v>2219</v>
      </c>
      <c r="B331" s="1860" t="s">
        <v>2229</v>
      </c>
      <c r="C331" s="1861">
        <v>0.15</v>
      </c>
      <c r="D331" s="1861">
        <v>0.15</v>
      </c>
      <c r="E331" s="1861">
        <v>0.15</v>
      </c>
      <c r="F331" s="1862">
        <v>0.15</v>
      </c>
    </row>
    <row r="332" spans="1:6" ht="14.25" thickBot="1">
      <c r="A332" s="1856" t="s">
        <v>2219</v>
      </c>
      <c r="B332" s="1860" t="s">
        <v>1237</v>
      </c>
      <c r="C332" s="1861">
        <v>0.15</v>
      </c>
      <c r="D332" s="1861">
        <v>0.15</v>
      </c>
      <c r="E332" s="1861">
        <v>0.15</v>
      </c>
      <c r="F332" s="1862">
        <v>0.15</v>
      </c>
    </row>
    <row r="333" spans="1:6" ht="14.25" thickBot="1">
      <c r="A333" s="1856" t="s">
        <v>2219</v>
      </c>
      <c r="B333" s="1860" t="s">
        <v>2230</v>
      </c>
      <c r="C333" s="1861">
        <v>0.15</v>
      </c>
      <c r="D333" s="1861">
        <v>0.15</v>
      </c>
      <c r="E333" s="1861">
        <v>0.15</v>
      </c>
      <c r="F333" s="1862">
        <v>0.14099999999999999</v>
      </c>
    </row>
    <row r="334" spans="1:6" ht="14.25" thickBot="1">
      <c r="A334" s="1856" t="s">
        <v>2219</v>
      </c>
      <c r="B334" s="1860" t="s">
        <v>1257</v>
      </c>
      <c r="C334" s="1861">
        <v>0.15</v>
      </c>
      <c r="D334" s="1861">
        <v>0.15</v>
      </c>
      <c r="E334" s="1861">
        <v>0.15</v>
      </c>
      <c r="F334" s="1862">
        <v>0.15</v>
      </c>
    </row>
    <row r="335" spans="1:6" ht="14.25" thickBot="1">
      <c r="A335" s="1856" t="s">
        <v>2219</v>
      </c>
      <c r="B335" s="1860" t="s">
        <v>1267</v>
      </c>
      <c r="C335" s="1861">
        <v>0.15</v>
      </c>
      <c r="D335" s="1861">
        <v>0.15</v>
      </c>
      <c r="E335" s="1861">
        <v>0.15</v>
      </c>
      <c r="F335" s="1869"/>
    </row>
    <row r="336" spans="1:6" ht="14.25" thickBot="1">
      <c r="A336" s="1856" t="s">
        <v>2219</v>
      </c>
      <c r="B336" s="1860" t="s">
        <v>2231</v>
      </c>
      <c r="C336" s="1861">
        <v>0.15</v>
      </c>
      <c r="D336" s="1861">
        <v>0.15</v>
      </c>
      <c r="E336" s="1861">
        <v>0.15</v>
      </c>
      <c r="F336" s="1862">
        <v>0.11799999999999999</v>
      </c>
    </row>
    <row r="337" spans="1:6" ht="14.25" thickBot="1">
      <c r="A337" s="1864" t="s">
        <v>2219</v>
      </c>
      <c r="B337" s="1871" t="s">
        <v>1285</v>
      </c>
      <c r="C337" s="1867"/>
      <c r="D337" s="1867"/>
      <c r="E337" s="1867"/>
      <c r="F337" s="1872">
        <v>0.14299999999999999</v>
      </c>
    </row>
    <row r="338" spans="1:6" ht="14.25" thickBot="1">
      <c r="A338" s="1856" t="s">
        <v>2232</v>
      </c>
      <c r="B338" s="1857" t="s">
        <v>2233</v>
      </c>
      <c r="C338" s="1858">
        <v>0.15</v>
      </c>
      <c r="D338" s="1858">
        <v>0.15</v>
      </c>
      <c r="E338" s="1858">
        <v>0.15</v>
      </c>
      <c r="F338" s="1880"/>
    </row>
    <row r="339" spans="1:6" ht="14.25" thickBot="1">
      <c r="A339" s="1856" t="s">
        <v>2232</v>
      </c>
      <c r="B339" s="1860" t="s">
        <v>2234</v>
      </c>
      <c r="C339" s="1861">
        <v>0.15</v>
      </c>
      <c r="D339" s="1861">
        <v>0.15</v>
      </c>
      <c r="E339" s="1861">
        <v>0.15</v>
      </c>
      <c r="F339" s="1869"/>
    </row>
    <row r="340" spans="1:6" ht="14.25" thickBot="1">
      <c r="A340" s="1856" t="s">
        <v>2232</v>
      </c>
      <c r="B340" s="1860" t="s">
        <v>2235</v>
      </c>
      <c r="C340" s="1861">
        <v>0.15</v>
      </c>
      <c r="D340" s="1861">
        <v>0.15</v>
      </c>
      <c r="E340" s="1861">
        <v>0.15</v>
      </c>
      <c r="F340" s="1869"/>
    </row>
    <row r="341" spans="1:6" ht="14.25" thickBot="1">
      <c r="A341" s="1856" t="s">
        <v>2236</v>
      </c>
      <c r="B341" s="1860" t="s">
        <v>2237</v>
      </c>
      <c r="C341" s="1861">
        <v>0.15</v>
      </c>
      <c r="D341" s="1861">
        <v>0.15</v>
      </c>
      <c r="E341" s="1861">
        <v>0.15</v>
      </c>
      <c r="F341" s="1862">
        <v>0.15</v>
      </c>
    </row>
    <row r="342" spans="1:6" ht="14.25" thickBot="1">
      <c r="A342" s="1856" t="s">
        <v>2232</v>
      </c>
      <c r="B342" s="1860" t="s">
        <v>2238</v>
      </c>
      <c r="C342" s="1861">
        <v>0.15</v>
      </c>
      <c r="D342" s="1861">
        <v>0.15</v>
      </c>
      <c r="E342" s="1861">
        <v>0.15</v>
      </c>
      <c r="F342" s="1862">
        <v>0.15</v>
      </c>
    </row>
    <row r="343" spans="1:6" ht="14.25" thickBot="1">
      <c r="A343" s="1856" t="s">
        <v>2232</v>
      </c>
      <c r="B343" s="1860" t="s">
        <v>2239</v>
      </c>
      <c r="C343" s="1861">
        <v>0.15</v>
      </c>
      <c r="D343" s="1861">
        <v>0.15</v>
      </c>
      <c r="E343" s="1861">
        <v>0.15</v>
      </c>
      <c r="F343" s="1862">
        <v>0.15</v>
      </c>
    </row>
    <row r="344" spans="1:6" ht="14.2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2956</v>
      </c>
      <c r="B1" s="3107"/>
      <c r="C1" s="3107"/>
      <c r="D1" s="3107"/>
      <c r="E1" s="3107"/>
      <c r="F1" s="3107"/>
    </row>
    <row r="2" spans="1:6" ht="14.25">
      <c r="A2" s="3108" t="s">
        <v>2951</v>
      </c>
      <c r="B2" s="3109" t="e">
        <f ca="1">SUMIF(B7:B14,"&lt;&gt;#ref!",B7:B14)</f>
        <v>#DIV/0!</v>
      </c>
      <c r="C2" s="3108" t="s">
        <v>2952</v>
      </c>
      <c r="D2" s="3107"/>
      <c r="E2" s="3107"/>
      <c r="F2" s="3107"/>
    </row>
    <row r="3" spans="1:6" ht="14.25">
      <c r="A3" s="3108" t="s">
        <v>2985</v>
      </c>
      <c r="B3" s="3109" t="e">
        <f ca="1">ROUND(B2*10000/E3,0)</f>
        <v>#DIV/0!</v>
      </c>
      <c r="C3" s="3108" t="s">
        <v>2081</v>
      </c>
      <c r="D3" s="3108" t="s">
        <v>2953</v>
      </c>
      <c r="E3" s="3109">
        <f ca="1">SUMIF(E7:E14,"&lt;&gt;#ref!",E7:E14)</f>
        <v>0</v>
      </c>
      <c r="F3" s="3107"/>
    </row>
    <row r="4" spans="1:6" ht="14.25">
      <c r="A4" s="3108" t="s">
        <v>2960</v>
      </c>
      <c r="B4" s="3109" t="e">
        <f ca="1">ROUND(B2*10000/E4,0)</f>
        <v>#DIV/0!</v>
      </c>
      <c r="C4" s="3108" t="s">
        <v>2081</v>
      </c>
      <c r="D4" s="3108" t="s">
        <v>2961</v>
      </c>
      <c r="E4" s="3109">
        <f ca="1">SUMIF(F7:F14,"&lt;&gt;#ref!",F7:F14)</f>
        <v>0</v>
      </c>
      <c r="F4" s="3107"/>
    </row>
    <row r="5" spans="1:6" ht="14.25">
      <c r="A5" s="3110"/>
      <c r="B5" s="1882"/>
      <c r="C5" s="1882"/>
      <c r="D5" s="1882"/>
      <c r="E5" s="1882"/>
      <c r="F5" s="3107"/>
    </row>
    <row r="6" spans="1:6" ht="28.5">
      <c r="A6" s="3111" t="s">
        <v>2957</v>
      </c>
      <c r="B6" s="3108" t="s">
        <v>2954</v>
      </c>
      <c r="C6" s="3109"/>
      <c r="D6" s="1882"/>
      <c r="E6" s="3108" t="s">
        <v>2955</v>
      </c>
      <c r="F6" s="3108" t="s">
        <v>2959</v>
      </c>
    </row>
    <row r="7" spans="1:6" ht="14.25">
      <c r="A7" s="260" t="s">
        <v>2958</v>
      </c>
      <c r="B7" s="3112" t="e">
        <f ca="1">SUMIF(INDIRECT("'"&amp;A7&amp;"'"&amp;"!A:A"),"总价",INDIRECT("'"&amp;A7&amp;"'"&amp;"!B:B"))</f>
        <v>#DIV/0!</v>
      </c>
      <c r="C7" s="3108" t="s">
        <v>2952</v>
      </c>
      <c r="D7" s="1882"/>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2952</v>
      </c>
      <c r="D8" s="1882"/>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2952</v>
      </c>
      <c r="D9" s="1882"/>
      <c r="E9" s="3113" t="e">
        <f t="shared" ca="1" si="1"/>
        <v>#REF!</v>
      </c>
      <c r="F9" s="3113" t="e">
        <f t="shared" ca="1" si="2"/>
        <v>#REF!</v>
      </c>
    </row>
    <row r="10" spans="1:6" ht="14.25">
      <c r="A10" s="260"/>
      <c r="B10" s="3112" t="e">
        <f t="shared" ca="1" si="0"/>
        <v>#REF!</v>
      </c>
      <c r="C10" s="3108" t="s">
        <v>2952</v>
      </c>
      <c r="D10" s="1882"/>
      <c r="E10" s="3113" t="e">
        <f t="shared" ca="1" si="1"/>
        <v>#REF!</v>
      </c>
      <c r="F10" s="3113" t="e">
        <f t="shared" ca="1" si="2"/>
        <v>#REF!</v>
      </c>
    </row>
    <row r="11" spans="1:6" ht="14.25">
      <c r="A11" s="260"/>
      <c r="B11" s="3112" t="e">
        <f t="shared" ca="1" si="0"/>
        <v>#REF!</v>
      </c>
      <c r="C11" s="3108" t="s">
        <v>2952</v>
      </c>
      <c r="D11" s="1882"/>
      <c r="E11" s="3113" t="e">
        <f t="shared" ca="1" si="1"/>
        <v>#REF!</v>
      </c>
      <c r="F11" s="3113" t="e">
        <f t="shared" ca="1" si="2"/>
        <v>#REF!</v>
      </c>
    </row>
    <row r="12" spans="1:6" ht="14.25">
      <c r="A12" s="260"/>
      <c r="B12" s="3112" t="e">
        <f t="shared" ca="1" si="0"/>
        <v>#REF!</v>
      </c>
      <c r="C12" s="3108" t="s">
        <v>2952</v>
      </c>
      <c r="D12" s="1882"/>
      <c r="E12" s="3113" t="e">
        <f t="shared" ca="1" si="1"/>
        <v>#REF!</v>
      </c>
      <c r="F12" s="3113" t="e">
        <f t="shared" ca="1" si="2"/>
        <v>#REF!</v>
      </c>
    </row>
    <row r="13" spans="1:6" ht="14.25">
      <c r="A13" s="260"/>
      <c r="B13" s="3112" t="e">
        <f t="shared" ca="1" si="0"/>
        <v>#REF!</v>
      </c>
      <c r="C13" s="3108" t="s">
        <v>2952</v>
      </c>
      <c r="D13" s="1882"/>
      <c r="E13" s="3113" t="e">
        <f t="shared" ca="1" si="1"/>
        <v>#REF!</v>
      </c>
      <c r="F13" s="3113" t="e">
        <f t="shared" ca="1" si="2"/>
        <v>#REF!</v>
      </c>
    </row>
    <row r="14" spans="1:6" ht="14.25">
      <c r="A14" s="3106"/>
      <c r="B14" s="3112" t="e">
        <f t="shared" ca="1" si="0"/>
        <v>#REF!</v>
      </c>
      <c r="C14" s="3108" t="s">
        <v>2952</v>
      </c>
      <c r="D14" s="1882"/>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2377</v>
      </c>
      <c r="F1" s="2389">
        <f ca="1">J54</f>
        <v>-2</v>
      </c>
      <c r="G1" s="774">
        <f>MATCH(C1,'数据-取费表'!A6:A16,0)+5</f>
        <v>11</v>
      </c>
      <c r="H1" s="1350"/>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1"/>
      <c r="D2" s="2056"/>
      <c r="E2" s="2057"/>
      <c r="F2" s="2057"/>
      <c r="G2" s="1590"/>
      <c r="H2" s="1363"/>
      <c r="I2" s="2058"/>
      <c r="J2" s="2058"/>
      <c r="K2" s="2059"/>
      <c r="L2" s="2058"/>
      <c r="M2" s="2058"/>
    </row>
    <row r="3" spans="1:25" ht="18" customHeight="1">
      <c r="A3" s="1645" t="s">
        <v>1687</v>
      </c>
      <c r="B3" s="1391">
        <f ca="1">ROUND(B2*10000/'数据-汇总表'!E3,0)</f>
        <v>0</v>
      </c>
      <c r="C3" s="1351"/>
      <c r="D3" s="2056"/>
      <c r="E3" s="2057"/>
      <c r="F3" s="2057"/>
      <c r="G3" s="1590"/>
      <c r="H3" s="776" t="s">
        <v>695</v>
      </c>
      <c r="I3" s="2058"/>
      <c r="J3" s="2058"/>
      <c r="K3" s="2059"/>
      <c r="L3" s="2058"/>
      <c r="M3" s="2058"/>
    </row>
    <row r="4" spans="1:25" ht="18" customHeight="1">
      <c r="A4" s="1646" t="s">
        <v>696</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2461</v>
      </c>
      <c r="C7" s="53">
        <f ca="1">C8+C12+C14</f>
        <v>0</v>
      </c>
      <c r="D7" s="2497" t="s">
        <v>2464</v>
      </c>
      <c r="E7" s="2491"/>
      <c r="F7" s="2492"/>
      <c r="G7" s="1592"/>
      <c r="H7" s="781">
        <v>1</v>
      </c>
      <c r="I7" s="782" t="s">
        <v>2461</v>
      </c>
      <c r="J7" s="53">
        <f ca="1">J8+J12+J14</f>
        <v>0</v>
      </c>
      <c r="K7" s="2497" t="s">
        <v>2464</v>
      </c>
      <c r="L7" s="2491"/>
      <c r="M7" s="2492"/>
    </row>
    <row r="8" spans="1:25" ht="18" customHeight="1">
      <c r="A8" s="1831" t="s">
        <v>1825</v>
      </c>
      <c r="B8" s="3513" t="s">
        <v>2466</v>
      </c>
      <c r="C8" s="1826">
        <f ca="1">ROUND(F8*F10*F9*(1-F11)/10000,0)</f>
        <v>0</v>
      </c>
      <c r="D8" s="1823" t="s">
        <v>2537</v>
      </c>
      <c r="E8" s="61" t="s">
        <v>637</v>
      </c>
      <c r="F8" s="785">
        <f ca="1">INDIRECT("'数据-取费表'!u"&amp;$G$1)</f>
        <v>0</v>
      </c>
      <c r="G8" s="1592"/>
      <c r="H8" s="2505" t="s">
        <v>1825</v>
      </c>
      <c r="I8" s="3513" t="s">
        <v>2466</v>
      </c>
      <c r="J8" s="783">
        <f ca="1">ROUND(M8*M10*M9*(1-M11)/10000,0)</f>
        <v>0</v>
      </c>
      <c r="K8" s="341" t="s">
        <v>2537</v>
      </c>
      <c r="L8" s="784" t="s">
        <v>1739</v>
      </c>
      <c r="M8" s="785">
        <f ca="1">INDIRECT("'数据-取费表'!z"&amp;$G$1)</f>
        <v>0</v>
      </c>
    </row>
    <row r="9" spans="1:25" ht="18" customHeight="1">
      <c r="A9" s="2501"/>
      <c r="B9" s="3514"/>
      <c r="C9" s="1827"/>
      <c r="D9" s="1824"/>
      <c r="E9" s="61" t="s">
        <v>638</v>
      </c>
      <c r="F9" s="785">
        <f ca="1">IF(INDIRECT("'数据-取费表'!ah"&amp;$G$1)="",INDIRECT("'数据-取费表'!k"&amp;$G$1),INDIRECT("'数据-取费表'!ah"&amp;$G$1))</f>
        <v>0</v>
      </c>
      <c r="G9" s="1592"/>
      <c r="H9" s="2490"/>
      <c r="I9" s="3514"/>
      <c r="J9" s="788"/>
      <c r="K9" s="789"/>
      <c r="L9" s="784" t="s">
        <v>1740</v>
      </c>
      <c r="M9" s="785">
        <f ca="1">F9</f>
        <v>0</v>
      </c>
    </row>
    <row r="10" spans="1:25" ht="18" customHeight="1">
      <c r="A10" s="2494"/>
      <c r="B10" s="3515"/>
      <c r="C10" s="1827"/>
      <c r="D10" s="1824"/>
      <c r="E10" s="61" t="s">
        <v>639</v>
      </c>
      <c r="F10" s="785">
        <f ca="1">INDIRECT("'数据-取费表'!ai"&amp;$G$1)</f>
        <v>0</v>
      </c>
      <c r="G10" s="1592"/>
      <c r="H10" s="2490"/>
      <c r="I10" s="3515"/>
      <c r="J10" s="788"/>
      <c r="K10" s="789"/>
      <c r="L10" s="784" t="s">
        <v>1741</v>
      </c>
      <c r="M10" s="785">
        <f ca="1">INDIRECT("'数据-取费表'!ai"&amp;$G$1)</f>
        <v>0</v>
      </c>
    </row>
    <row r="11" spans="1:25" ht="18" customHeight="1">
      <c r="A11" s="786"/>
      <c r="B11" s="3516"/>
      <c r="C11" s="1827"/>
      <c r="D11" s="1824"/>
      <c r="E11" s="61" t="s">
        <v>640</v>
      </c>
      <c r="F11" s="794">
        <f ca="1">INDIRECT("'数据-取费表'!w"&amp;$G$1)</f>
        <v>0</v>
      </c>
      <c r="G11" s="1592"/>
      <c r="H11" s="2506"/>
      <c r="I11" s="3515"/>
      <c r="J11" s="788"/>
      <c r="K11" s="789"/>
      <c r="L11" s="795" t="s">
        <v>1742</v>
      </c>
      <c r="M11" s="796">
        <f ca="1">INDIRECT("'数据-取费表'!ab"&amp;$G$1)</f>
        <v>0</v>
      </c>
    </row>
    <row r="12" spans="1:25" ht="18" customHeight="1">
      <c r="A12" s="1831" t="s">
        <v>1826</v>
      </c>
      <c r="B12" s="2495" t="s">
        <v>2462</v>
      </c>
      <c r="C12" s="799">
        <f ca="1">ROUND(IF(F12="押一",C8/12*F13,IF(F12="押二",C8/12*2*F13,IF(F12="押三",C8/12*3*F13,C13*F13))),0)</f>
        <v>0</v>
      </c>
      <c r="D12" s="2502" t="s">
        <v>2981</v>
      </c>
      <c r="E12" s="2499" t="s">
        <v>2467</v>
      </c>
      <c r="F12" s="2622"/>
      <c r="G12" s="1592"/>
      <c r="H12" s="2562" t="s">
        <v>1826</v>
      </c>
      <c r="I12" s="2567" t="s">
        <v>2462</v>
      </c>
      <c r="J12" s="783">
        <f ca="1">ROUND(IF(M12="押一",J8/12*M13,IF(M12="押二",J8/12*2*M13,IF(M12="押三",J8/12*3*M13,J13*M13))),0)</f>
        <v>0</v>
      </c>
      <c r="K12" s="2502" t="s">
        <v>2981</v>
      </c>
      <c r="L12" s="2499" t="s">
        <v>2467</v>
      </c>
      <c r="M12" s="2622"/>
    </row>
    <row r="13" spans="1:25" ht="18" customHeight="1">
      <c r="A13" s="790"/>
      <c r="B13" s="2496" t="s">
        <v>2576</v>
      </c>
      <c r="C13" s="2500"/>
      <c r="D13" s="789"/>
      <c r="E13" s="2499" t="s">
        <v>2459</v>
      </c>
      <c r="F13" s="796">
        <f ca="1">'数据-取费表'!B39</f>
        <v>1.4999999999999999E-2</v>
      </c>
      <c r="G13" s="1592"/>
      <c r="H13" s="2563"/>
      <c r="I13" s="2496" t="s">
        <v>2576</v>
      </c>
      <c r="J13" s="2500"/>
      <c r="K13" s="2564"/>
      <c r="L13" s="2499" t="s">
        <v>2459</v>
      </c>
      <c r="M13" s="2493">
        <f ca="1">'数据-取费表'!B39</f>
        <v>1.4999999999999999E-2</v>
      </c>
    </row>
    <row r="14" spans="1:25" ht="18" customHeight="1" thickBot="1">
      <c r="A14" s="2538" t="s">
        <v>2470</v>
      </c>
      <c r="B14" s="2539" t="s">
        <v>2463</v>
      </c>
      <c r="C14" s="2540"/>
      <c r="D14" s="2541"/>
      <c r="E14" s="2542"/>
      <c r="F14" s="2543"/>
      <c r="G14" s="1592"/>
      <c r="H14" s="2552" t="s">
        <v>2470</v>
      </c>
      <c r="I14" s="2565" t="s">
        <v>2463</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2072</v>
      </c>
      <c r="I16" s="2232" t="s">
        <v>2828</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2073</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2072</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0.03</v>
      </c>
      <c r="G22" s="1593"/>
      <c r="H22" s="1833" t="s">
        <v>1851</v>
      </c>
      <c r="I22" s="1823" t="s">
        <v>668</v>
      </c>
      <c r="J22" s="54">
        <f ca="1">ROUND(M22*M23/10000,0)</f>
        <v>0</v>
      </c>
      <c r="K22" s="814" t="s">
        <v>669</v>
      </c>
      <c r="L22" s="784" t="s">
        <v>670</v>
      </c>
      <c r="M22" s="640">
        <f>'数据-取费表'!B52</f>
        <v>22</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2073</v>
      </c>
      <c r="I24" s="784" t="s">
        <v>676</v>
      </c>
      <c r="J24" s="53">
        <f ca="1">ROUND(J16*M24,0)</f>
        <v>0</v>
      </c>
      <c r="K24" s="1978" t="s">
        <v>677</v>
      </c>
      <c r="L24" s="784" t="s">
        <v>649</v>
      </c>
      <c r="M24" s="817">
        <f ca="1">INDIRECT("'数据-取费表'!Ak"&amp;$G$1)</f>
        <v>0</v>
      </c>
    </row>
    <row r="25" spans="1:25" s="2065" customFormat="1" ht="18" customHeight="1">
      <c r="A25" s="803" t="s">
        <v>1876</v>
      </c>
      <c r="B25" s="784" t="s">
        <v>2440</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2825</v>
      </c>
      <c r="J27" s="799">
        <f ca="1">J7-J18</f>
        <v>0</v>
      </c>
      <c r="K27" s="1980" t="s">
        <v>700</v>
      </c>
      <c r="L27" s="1982"/>
      <c r="M27" s="820"/>
    </row>
    <row r="28" spans="1:25" ht="18" customHeight="1">
      <c r="A28" s="803" t="s">
        <v>1876</v>
      </c>
      <c r="B28" s="784" t="s">
        <v>2441</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2826</v>
      </c>
      <c r="C31" s="2545">
        <f ca="1">ROUND((C21+C22+C25+C28)/(1-F23-C26-C29-C30),0)</f>
        <v>0</v>
      </c>
      <c r="D31" s="2546"/>
      <c r="E31" s="2547"/>
      <c r="F31" s="2548"/>
      <c r="G31" s="1593"/>
      <c r="H31" s="823" t="s">
        <v>1873</v>
      </c>
      <c r="I31" s="3013" t="s">
        <v>2827</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22</v>
      </c>
      <c r="G36" s="2063"/>
      <c r="H36" s="2066"/>
      <c r="I36" s="3512"/>
      <c r="J36" s="2080"/>
      <c r="K36" s="2081"/>
      <c r="L36" s="2080"/>
      <c r="M36" s="2080"/>
    </row>
    <row r="37" spans="1:18" ht="18" customHeight="1">
      <c r="A37" s="815"/>
      <c r="B37" s="793"/>
      <c r="C37" s="69"/>
      <c r="D37" s="816"/>
      <c r="E37" s="784" t="s">
        <v>674</v>
      </c>
      <c r="F37" s="785">
        <f ca="1">INDIRECT("'数据-取费表'!r"&amp;$G$1)</f>
        <v>0</v>
      </c>
      <c r="G37" s="2063"/>
      <c r="H37" s="2066"/>
      <c r="I37" s="351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24" t="s">
        <v>2969</v>
      </c>
      <c r="F43" s="3125">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39">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26" t="s">
        <v>2972</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2346</v>
      </c>
      <c r="J47" s="2380"/>
      <c r="K47" s="2381"/>
      <c r="L47" s="3162" t="str">
        <f ca="1">IF(M48="住宅",0,IF(L49&gt;J52,L61,J61))</f>
        <v>0</v>
      </c>
      <c r="O47" s="2395" t="s">
        <v>2413</v>
      </c>
      <c r="P47" s="1592"/>
      <c r="Q47" s="1604"/>
      <c r="R47" s="1592"/>
    </row>
    <row r="48" spans="1:18" s="2060" customFormat="1" ht="18" customHeight="1" thickBot="1">
      <c r="A48" s="2085"/>
      <c r="C48" s="2088"/>
      <c r="D48" s="2089"/>
      <c r="E48" s="2089"/>
      <c r="F48" s="2090"/>
      <c r="G48" s="2091"/>
      <c r="I48" s="3152" t="s">
        <v>2347</v>
      </c>
      <c r="J48" s="2382"/>
      <c r="K48" s="3159" t="s">
        <v>2352</v>
      </c>
      <c r="L48" s="3163">
        <f ca="1">INDIRECT("'数据-取费表'!d"&amp;$G$1)</f>
        <v>0</v>
      </c>
      <c r="M48" s="3123" t="str">
        <f>IF(ISNUMBER(FIND("住宅",C1)),"住宅","非住宅")</f>
        <v>非住宅</v>
      </c>
      <c r="O48" s="2396" t="s">
        <v>2378</v>
      </c>
      <c r="P48" s="2397" t="s">
        <v>2379</v>
      </c>
      <c r="Q48" s="2398" t="s">
        <v>2380</v>
      </c>
      <c r="R48" s="2397" t="s">
        <v>2381</v>
      </c>
    </row>
    <row r="49" spans="1:18" s="2060" customFormat="1" ht="18" customHeight="1" thickBot="1">
      <c r="A49" s="2085"/>
      <c r="D49" s="2092"/>
      <c r="E49" s="2093"/>
      <c r="F49" s="2090"/>
      <c r="G49" s="2091"/>
      <c r="H49" s="2094"/>
      <c r="I49" s="3128" t="s">
        <v>2348</v>
      </c>
      <c r="J49" s="2383"/>
      <c r="K49" s="3160" t="s">
        <v>2354</v>
      </c>
      <c r="L49" s="1909">
        <f ca="1">INDIRECT("'数据-取费表'!f"&amp;$G$1)</f>
        <v>0</v>
      </c>
      <c r="O49" s="2399" t="s">
        <v>2382</v>
      </c>
      <c r="P49" s="2400" t="s">
        <v>2408</v>
      </c>
      <c r="Q49" s="2401">
        <f ca="1">C41+J31</f>
        <v>0</v>
      </c>
      <c r="R49" s="2400" t="s">
        <v>2383</v>
      </c>
    </row>
    <row r="50" spans="1:18" s="2060" customFormat="1" ht="18" customHeight="1" thickBot="1">
      <c r="A50" s="2085"/>
      <c r="D50" s="2095"/>
      <c r="E50" s="2095"/>
      <c r="F50" s="2089"/>
      <c r="G50" s="2096"/>
      <c r="H50" s="2094"/>
      <c r="I50" s="3128" t="s">
        <v>2349</v>
      </c>
      <c r="J50" s="2384"/>
      <c r="K50" s="3161" t="s">
        <v>2355</v>
      </c>
      <c r="L50" s="2385"/>
      <c r="O50" s="2399" t="s">
        <v>2384</v>
      </c>
      <c r="P50" s="2400" t="s">
        <v>2409</v>
      </c>
      <c r="Q50" s="2401" t="str">
        <f ca="1">J61</f>
        <v>0</v>
      </c>
      <c r="R50" s="2400" t="s">
        <v>2385</v>
      </c>
    </row>
    <row r="51" spans="1:18" s="2060" customFormat="1" ht="18" customHeight="1" thickBot="1">
      <c r="A51" s="2097"/>
      <c r="D51" s="2095"/>
      <c r="E51" s="2095"/>
      <c r="F51" s="2086"/>
      <c r="H51" s="2094"/>
      <c r="I51" s="3128" t="s">
        <v>2350</v>
      </c>
      <c r="J51" s="3156">
        <f>SUMPRODUCT((I64:I66=J48)*(J63:L63=J49)*(J64:L66))</f>
        <v>0</v>
      </c>
      <c r="K51" s="3161" t="s">
        <v>2356</v>
      </c>
      <c r="L51" s="2385"/>
      <c r="O51" s="2402" t="s">
        <v>2386</v>
      </c>
      <c r="P51" s="2400" t="s">
        <v>2410</v>
      </c>
      <c r="Q51" s="2401">
        <f ca="1">C31</f>
        <v>0</v>
      </c>
      <c r="R51" s="2400" t="s">
        <v>2383</v>
      </c>
    </row>
    <row r="52" spans="1:18" s="2060" customFormat="1" ht="18" customHeight="1" thickBot="1">
      <c r="A52" s="2097"/>
      <c r="F52" s="2086"/>
      <c r="I52" s="3153" t="s">
        <v>2351</v>
      </c>
      <c r="J52" s="3157">
        <f>IF(J50="",J51,J50+J51-YEAR('数据-取费表'!B3))</f>
        <v>0</v>
      </c>
      <c r="K52" s="3128" t="s">
        <v>2357</v>
      </c>
      <c r="L52" s="3164">
        <f ca="1">ROUND(-PV(INDIRECT("'数据-取费表'!h"&amp;$G$1),L49,(C40-C14*J36),0),0)</f>
        <v>0</v>
      </c>
      <c r="O52" s="2402" t="s">
        <v>2387</v>
      </c>
      <c r="P52" s="2400" t="s">
        <v>2388</v>
      </c>
      <c r="Q52" s="2403" t="e">
        <f ca="1">J59</f>
        <v>#VALUE!</v>
      </c>
      <c r="R52" s="2404"/>
    </row>
    <row r="53" spans="1:18" s="2060" customFormat="1" ht="18" customHeight="1" thickBot="1">
      <c r="A53" s="2097"/>
      <c r="F53" s="2086"/>
      <c r="I53" s="3154" t="s">
        <v>2424</v>
      </c>
      <c r="J53" s="2386"/>
      <c r="K53" s="3154" t="s">
        <v>2423</v>
      </c>
      <c r="L53" s="2386"/>
      <c r="O53" s="2402" t="s">
        <v>2389</v>
      </c>
      <c r="P53" s="2400" t="s">
        <v>2390</v>
      </c>
      <c r="Q53" s="2403">
        <f>J53</f>
        <v>0</v>
      </c>
      <c r="R53" s="2404"/>
    </row>
    <row r="54" spans="1:18" s="2060" customFormat="1" ht="29.25" thickBot="1">
      <c r="A54" s="2097"/>
      <c r="I54" s="3155" t="s">
        <v>2986</v>
      </c>
      <c r="J54" s="3158">
        <f ca="1">IF(M48="住宅",MAX(J52,L49-'数据-取费表'!B20),MIN(J52,L49-'数据-取费表'!B20))</f>
        <v>-2</v>
      </c>
      <c r="K54" s="3517"/>
      <c r="L54" s="3518"/>
      <c r="O54" s="2402" t="s">
        <v>2391</v>
      </c>
      <c r="P54" s="2400" t="s">
        <v>2392</v>
      </c>
      <c r="Q54" s="2401">
        <f ca="1">J54</f>
        <v>-2</v>
      </c>
      <c r="R54" s="2400" t="s">
        <v>2393</v>
      </c>
    </row>
    <row r="55" spans="1:18" s="2060" customFormat="1" ht="18" customHeight="1" thickBot="1">
      <c r="A55" s="2097"/>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399" t="s">
        <v>2394</v>
      </c>
      <c r="P55" s="2400" t="s">
        <v>2411</v>
      </c>
      <c r="Q55" s="2401">
        <f ca="1">Q49+Q50</f>
        <v>0</v>
      </c>
      <c r="R55" s="2404" t="s">
        <v>2395</v>
      </c>
    </row>
    <row r="56" spans="1:18" s="2060" customFormat="1" ht="16.5" thickBot="1">
      <c r="A56" s="2097"/>
      <c r="B56" s="2098"/>
      <c r="C56" s="2098"/>
      <c r="I56" s="3167" t="s">
        <v>2358</v>
      </c>
      <c r="J56" s="3103" t="e">
        <f ca="1">ROUND(IF(J48="钢混",J58/J51,1-(1-2%)*(J51-J58)/J51),3)</f>
        <v>#VALUE!</v>
      </c>
      <c r="K56" s="3168" t="s">
        <v>2359</v>
      </c>
      <c r="L56" s="2387"/>
      <c r="O56" s="2405" t="s">
        <v>2414</v>
      </c>
      <c r="P56" s="1592"/>
      <c r="Q56" s="1604"/>
      <c r="R56" s="1592"/>
    </row>
    <row r="57" spans="1:18" s="2060" customFormat="1" ht="43.5" thickBot="1">
      <c r="A57" s="2097"/>
      <c r="B57" s="2098"/>
      <c r="C57" s="2098"/>
      <c r="I57" s="3169" t="s">
        <v>2360</v>
      </c>
      <c r="J57" s="3179" t="s">
        <v>1679</v>
      </c>
      <c r="K57" s="3128" t="s">
        <v>2365</v>
      </c>
      <c r="L57" s="1909">
        <f ca="1">IF(L49&lt;J52,"——",L49-J52)</f>
        <v>0</v>
      </c>
      <c r="O57" s="2396" t="s">
        <v>2378</v>
      </c>
      <c r="P57" s="2397" t="s">
        <v>2379</v>
      </c>
      <c r="Q57" s="2398" t="s">
        <v>2380</v>
      </c>
      <c r="R57" s="2397" t="s">
        <v>2381</v>
      </c>
    </row>
    <row r="58" spans="1:18" s="2060" customFormat="1" ht="29.25" thickBot="1">
      <c r="A58" s="2097"/>
      <c r="B58" s="2098"/>
      <c r="C58" s="2098"/>
      <c r="I58" s="3170" t="s">
        <v>2361</v>
      </c>
      <c r="J58" s="3171" t="str">
        <f ca="1">IF(OR(M48="住宅",J52&lt;L49,J57="是"),"——",J52-L49)</f>
        <v>——</v>
      </c>
      <c r="K58" s="3128" t="s">
        <v>2366</v>
      </c>
      <c r="L58" s="1909">
        <f ca="1">IF(L49&lt;J52,"——",IF(L56="比较法",L50,IF(L56="基准地价",L51,L52)))</f>
        <v>0</v>
      </c>
      <c r="O58" s="2399" t="s">
        <v>2382</v>
      </c>
      <c r="P58" s="2400" t="s">
        <v>2408</v>
      </c>
      <c r="Q58" s="2401">
        <f ca="1">C41+J31</f>
        <v>0</v>
      </c>
      <c r="R58" s="2400" t="s">
        <v>2383</v>
      </c>
    </row>
    <row r="59" spans="1:18" s="2060" customFormat="1" ht="29.25" thickBot="1">
      <c r="A59" s="2097"/>
      <c r="B59" s="2098"/>
      <c r="C59" s="2098"/>
      <c r="I59" s="3170" t="s">
        <v>2362</v>
      </c>
      <c r="J59" s="3104" t="e">
        <f ca="1">IF(J56&lt;0.4,0.4,J56)</f>
        <v>#VALUE!</v>
      </c>
      <c r="K59" s="3128" t="s">
        <v>2367</v>
      </c>
      <c r="L59" s="1909">
        <f ca="1">IF(ISERROR(POWER(1+L53,L48-L49)*(POWER(1+L53,L49)-1)/(POWER(1+L53,L48)-1)),0,POWER(1+L53,L48-L49)*(POWER(1+L53,L49)-1)/(POWER(1+L53,L48)-1))</f>
        <v>0</v>
      </c>
      <c r="O59" s="2399" t="s">
        <v>2384</v>
      </c>
      <c r="P59" s="2400" t="s">
        <v>2415</v>
      </c>
      <c r="Q59" s="2401" t="e">
        <f ca="1">L61</f>
        <v>#DIV/0!</v>
      </c>
      <c r="R59" s="2404" t="s">
        <v>2417</v>
      </c>
    </row>
    <row r="60" spans="1:18" s="2060" customFormat="1" ht="29.25" thickBot="1">
      <c r="A60" s="2097"/>
      <c r="B60" s="2098"/>
      <c r="C60" s="2098"/>
      <c r="I60" s="3170" t="s">
        <v>2363</v>
      </c>
      <c r="J60" s="3171" t="str">
        <f ca="1">IF(OR(M48="住宅",J52&lt;L49,J57="是"),"——",ROUND(C30*J59,0))</f>
        <v>——</v>
      </c>
      <c r="K60" s="3128" t="s">
        <v>2368</v>
      </c>
      <c r="L60" s="1909">
        <f ca="1">IF(ISERROR(POWER(1+L53,L48-J52)*(POWER(1+L53,J52)-1)/(POWER(1+L53,L48)-1)),0,POWER(1+L53,L48-J52)*(POWER(1+L53,J52)-1)/(POWER(1+L53,L48)-1))</f>
        <v>0</v>
      </c>
      <c r="O60" s="2402" t="s">
        <v>2386</v>
      </c>
      <c r="P60" s="2400" t="s">
        <v>2416</v>
      </c>
      <c r="Q60" s="2401">
        <f>IF(L56="比较法",L50,IF(L56="基准地价",L51,0))</f>
        <v>0</v>
      </c>
      <c r="R60" s="2400" t="s">
        <v>2383</v>
      </c>
    </row>
    <row r="61" spans="1:18" s="2060" customFormat="1" ht="15.75" thickBot="1">
      <c r="A61" s="2097"/>
      <c r="B61" s="2098"/>
      <c r="C61" s="2098"/>
      <c r="I61" s="3172" t="s">
        <v>2364</v>
      </c>
      <c r="J61" s="3173" t="str">
        <f ca="1">IF(OR(M48="住宅",J52&lt;L49,J57="是"),"0",ROUND(J60/(1+J53)^J54,0))</f>
        <v>0</v>
      </c>
      <c r="K61" s="3174" t="s">
        <v>2369</v>
      </c>
      <c r="L61" s="3173" t="e">
        <f ca="1">IF(OR(M48="住宅",L49&lt;J52),0,ROUND(L58*(L59/L60-1),0))</f>
        <v>#DIV/0!</v>
      </c>
      <c r="O61" s="2402" t="s">
        <v>2387</v>
      </c>
      <c r="P61" s="2400" t="s">
        <v>2396</v>
      </c>
      <c r="Q61" s="2403">
        <f>L53</f>
        <v>0</v>
      </c>
      <c r="R61" s="2404"/>
    </row>
    <row r="62" spans="1:18" s="2060" customFormat="1" ht="20.25" thickBot="1">
      <c r="A62" s="2097"/>
      <c r="B62" s="2098"/>
      <c r="C62" s="2098"/>
      <c r="K62" s="2087"/>
      <c r="O62" s="2402" t="s">
        <v>2389</v>
      </c>
      <c r="P62" s="2400" t="s">
        <v>2397</v>
      </c>
      <c r="Q62" s="2401">
        <f ca="1">L59</f>
        <v>0</v>
      </c>
      <c r="R62" s="2404" t="s">
        <v>2398</v>
      </c>
    </row>
    <row r="63" spans="1:18" s="2060" customFormat="1" ht="20.25" thickBot="1">
      <c r="A63" s="2097"/>
      <c r="B63" s="2098"/>
      <c r="C63" s="2098"/>
      <c r="I63" s="3175" t="s">
        <v>2370</v>
      </c>
      <c r="J63" s="3176" t="s">
        <v>2371</v>
      </c>
      <c r="K63" s="3176" t="s">
        <v>2372</v>
      </c>
      <c r="L63" s="3176" t="s">
        <v>2353</v>
      </c>
      <c r="M63" s="3177" t="s">
        <v>2949</v>
      </c>
      <c r="O63" s="2402" t="s">
        <v>2391</v>
      </c>
      <c r="P63" s="2400" t="s">
        <v>2399</v>
      </c>
      <c r="Q63" s="2401">
        <f ca="1">L60</f>
        <v>0</v>
      </c>
      <c r="R63" s="2404" t="s">
        <v>2400</v>
      </c>
    </row>
    <row r="64" spans="1:18" s="2060" customFormat="1" ht="15.75" thickBot="1">
      <c r="A64" s="2097"/>
      <c r="B64" s="2098"/>
      <c r="C64" s="2098"/>
      <c r="I64" s="3175" t="s">
        <v>2373</v>
      </c>
      <c r="J64" s="3176">
        <v>70</v>
      </c>
      <c r="K64" s="3176">
        <v>50</v>
      </c>
      <c r="L64" s="3176">
        <v>80</v>
      </c>
      <c r="M64" s="3178">
        <v>0.02</v>
      </c>
      <c r="O64" s="2399" t="s">
        <v>2394</v>
      </c>
      <c r="P64" s="2400" t="s">
        <v>2411</v>
      </c>
      <c r="Q64" s="2401" t="e">
        <f ca="1">Q58+Q59</f>
        <v>#DIV/0!</v>
      </c>
      <c r="R64" s="2404" t="s">
        <v>2395</v>
      </c>
    </row>
    <row r="65" spans="1:18" s="2060" customFormat="1" ht="16.5" thickBot="1">
      <c r="A65" s="2097"/>
      <c r="B65" s="2098"/>
      <c r="C65" s="2098"/>
      <c r="I65" s="3175" t="s">
        <v>2374</v>
      </c>
      <c r="J65" s="3176">
        <v>50</v>
      </c>
      <c r="K65" s="3176">
        <v>35</v>
      </c>
      <c r="L65" s="3176">
        <v>60</v>
      </c>
      <c r="M65" s="846">
        <v>0</v>
      </c>
      <c r="O65" s="2405" t="s">
        <v>2418</v>
      </c>
      <c r="P65" s="1592"/>
      <c r="Q65" s="1604"/>
      <c r="R65" s="1592"/>
    </row>
    <row r="66" spans="1:18" s="2060" customFormat="1" ht="15.75" thickBot="1">
      <c r="A66" s="2097"/>
      <c r="B66" s="2098"/>
      <c r="C66" s="2098"/>
      <c r="I66" s="3175" t="s">
        <v>2375</v>
      </c>
      <c r="J66" s="3176">
        <v>40</v>
      </c>
      <c r="K66" s="3176">
        <v>30</v>
      </c>
      <c r="L66" s="3176">
        <v>50</v>
      </c>
      <c r="M66" s="3178">
        <v>0.02</v>
      </c>
      <c r="O66" s="2396" t="s">
        <v>2378</v>
      </c>
      <c r="P66" s="2397" t="s">
        <v>2379</v>
      </c>
      <c r="Q66" s="2398" t="s">
        <v>2380</v>
      </c>
      <c r="R66" s="2397" t="s">
        <v>2381</v>
      </c>
    </row>
    <row r="67" spans="1:18" s="2060" customFormat="1" ht="15.75" thickBot="1">
      <c r="A67" s="2097"/>
      <c r="B67" s="2098"/>
      <c r="C67" s="2098"/>
      <c r="K67" s="2087"/>
      <c r="O67" s="2399" t="s">
        <v>2382</v>
      </c>
      <c r="P67" s="2400" t="s">
        <v>2408</v>
      </c>
      <c r="Q67" s="2401">
        <f ca="1">C41+J31</f>
        <v>0</v>
      </c>
      <c r="R67" s="2400" t="s">
        <v>2383</v>
      </c>
    </row>
    <row r="68" spans="1:18" s="2060" customFormat="1" ht="20.25" thickBot="1">
      <c r="A68" s="2097"/>
      <c r="B68" s="2098"/>
      <c r="C68" s="2098"/>
      <c r="K68" s="2087"/>
      <c r="O68" s="2399" t="s">
        <v>2384</v>
      </c>
      <c r="P68" s="2400" t="s">
        <v>2415</v>
      </c>
      <c r="Q68" s="2401" t="e">
        <f ca="1">L61</f>
        <v>#DIV/0!</v>
      </c>
      <c r="R68" s="2404" t="s">
        <v>2417</v>
      </c>
    </row>
    <row r="69" spans="1:18" s="2060" customFormat="1" ht="21.75" thickBot="1">
      <c r="A69" s="2097"/>
      <c r="B69" s="2098"/>
      <c r="C69" s="2098"/>
      <c r="K69" s="2087"/>
      <c r="O69" s="2402" t="s">
        <v>2386</v>
      </c>
      <c r="P69" s="2400" t="s">
        <v>2416</v>
      </c>
      <c r="Q69" s="2406">
        <f ca="1">L52</f>
        <v>0</v>
      </c>
      <c r="R69" s="2407" t="s">
        <v>2419</v>
      </c>
    </row>
    <row r="70" spans="1:18" s="2060" customFormat="1" ht="20.25" thickBot="1">
      <c r="A70" s="2097"/>
      <c r="B70" s="2098"/>
      <c r="C70" s="2098"/>
      <c r="K70" s="2087"/>
      <c r="O70" s="2402" t="s">
        <v>2387</v>
      </c>
      <c r="P70" s="2408" t="s">
        <v>2401</v>
      </c>
      <c r="Q70" s="2401">
        <f ca="1">ROUND(Q71-Q72*Q73,0)</f>
        <v>0</v>
      </c>
      <c r="R70" s="2404"/>
    </row>
    <row r="71" spans="1:18" s="2060" customFormat="1" ht="15.75" thickBot="1">
      <c r="A71" s="2097"/>
      <c r="B71" s="2098"/>
      <c r="C71" s="2098"/>
      <c r="K71" s="2087"/>
      <c r="O71" s="2402" t="s">
        <v>2402</v>
      </c>
      <c r="P71" s="2408" t="s">
        <v>2403</v>
      </c>
      <c r="Q71" s="2401">
        <f ca="1">C42</f>
        <v>0</v>
      </c>
      <c r="R71" s="2400" t="s">
        <v>2383</v>
      </c>
    </row>
    <row r="72" spans="1:18" s="2060" customFormat="1" ht="15.75" thickBot="1">
      <c r="A72" s="2097"/>
      <c r="B72" s="2098"/>
      <c r="C72" s="2098"/>
      <c r="K72" s="2087"/>
      <c r="O72" s="2402" t="s">
        <v>2404</v>
      </c>
      <c r="P72" s="2408" t="s">
        <v>2405</v>
      </c>
      <c r="Q72" s="2401">
        <f ca="1">C15</f>
        <v>0</v>
      </c>
      <c r="R72" s="2400" t="s">
        <v>2383</v>
      </c>
    </row>
    <row r="73" spans="1:18" s="2060" customFormat="1" ht="15.75" thickBot="1">
      <c r="A73" s="2097"/>
      <c r="B73" s="2098"/>
      <c r="C73" s="2098"/>
      <c r="K73" s="2087"/>
      <c r="O73" s="2402" t="s">
        <v>2406</v>
      </c>
      <c r="P73" s="2408" t="s">
        <v>2407</v>
      </c>
      <c r="Q73" s="2403">
        <f ca="1">F43</f>
        <v>0</v>
      </c>
      <c r="R73" s="2404"/>
    </row>
    <row r="74" spans="1:18" s="2060" customFormat="1" ht="15.75" thickBot="1">
      <c r="A74" s="2097"/>
      <c r="B74" s="2098"/>
      <c r="C74" s="2098"/>
      <c r="K74" s="2087"/>
      <c r="O74" s="2402" t="s">
        <v>2389</v>
      </c>
      <c r="P74" s="2400" t="s">
        <v>2396</v>
      </c>
      <c r="Q74" s="2403">
        <f>L53</f>
        <v>0</v>
      </c>
      <c r="R74" s="2404"/>
    </row>
    <row r="75" spans="1:18" s="2060" customFormat="1" ht="20.25" thickBot="1">
      <c r="A75" s="2097"/>
      <c r="B75" s="2098"/>
      <c r="C75" s="2098"/>
      <c r="K75" s="2087"/>
      <c r="O75" s="2402" t="s">
        <v>2391</v>
      </c>
      <c r="P75" s="2400" t="s">
        <v>2397</v>
      </c>
      <c r="Q75" s="2401">
        <f ca="1">L59</f>
        <v>0</v>
      </c>
      <c r="R75" s="2404" t="s">
        <v>2398</v>
      </c>
    </row>
    <row r="76" spans="1:18" s="2060" customFormat="1" ht="20.25" thickBot="1">
      <c r="A76" s="2097"/>
      <c r="B76" s="2098"/>
      <c r="C76" s="2098"/>
      <c r="K76" s="2087"/>
      <c r="O76" s="2402" t="s">
        <v>2420</v>
      </c>
      <c r="P76" s="2400" t="s">
        <v>2399</v>
      </c>
      <c r="Q76" s="2401">
        <f ca="1">L60</f>
        <v>0</v>
      </c>
      <c r="R76" s="2404" t="s">
        <v>2400</v>
      </c>
    </row>
    <row r="77" spans="1:18" s="2060" customFormat="1" ht="15.75" thickBot="1">
      <c r="A77" s="2097"/>
      <c r="B77" s="2098"/>
      <c r="C77" s="2098"/>
      <c r="K77" s="2087"/>
      <c r="O77" s="2399" t="s">
        <v>2394</v>
      </c>
      <c r="P77" s="2400" t="s">
        <v>2411</v>
      </c>
      <c r="Q77" s="2401" t="e">
        <f ca="1">Q67+Q68</f>
        <v>#DIV/0!</v>
      </c>
      <c r="R77" s="2404" t="s">
        <v>2395</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32" sqref="G32"/>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525" t="s">
        <v>2579</v>
      </c>
      <c r="C1" s="3525"/>
      <c r="D1" s="3525"/>
      <c r="E1" s="3525"/>
      <c r="F1" s="3525"/>
      <c r="G1" s="3524" t="s">
        <v>2580</v>
      </c>
      <c r="H1" s="3524"/>
      <c r="I1" s="3524"/>
      <c r="J1" s="3524"/>
      <c r="K1" s="3524"/>
      <c r="L1" s="3524"/>
      <c r="N1" s="3524" t="s">
        <v>2581</v>
      </c>
      <c r="O1" s="3524"/>
      <c r="P1" s="3524"/>
      <c r="Q1" s="3524"/>
      <c r="R1" s="2655"/>
      <c r="S1" s="3524" t="s">
        <v>2582</v>
      </c>
      <c r="T1" s="3524"/>
      <c r="U1" s="3524"/>
      <c r="V1" s="3524"/>
      <c r="X1" s="3523" t="s">
        <v>2642</v>
      </c>
      <c r="Y1" s="3524"/>
      <c r="Z1" s="3524"/>
      <c r="AA1" s="3524"/>
      <c r="AB1" s="3524"/>
      <c r="AD1" s="3523" t="s">
        <v>2646</v>
      </c>
      <c r="AE1" s="3524"/>
      <c r="AF1" s="3524"/>
      <c r="AG1" s="3524"/>
      <c r="AH1" s="3524"/>
    </row>
    <row r="2" spans="1:34" s="2757" customFormat="1" ht="14.25" thickBot="1">
      <c r="B2" s="2765" t="s">
        <v>2583</v>
      </c>
      <c r="C2" s="2765" t="s">
        <v>2644</v>
      </c>
      <c r="D2" s="2758" t="s">
        <v>1645</v>
      </c>
      <c r="E2" s="2758" t="s">
        <v>1952</v>
      </c>
      <c r="F2" s="2765" t="s">
        <v>2645</v>
      </c>
      <c r="G2" s="2761"/>
      <c r="H2" s="2760"/>
      <c r="I2" s="2765" t="s">
        <v>2963</v>
      </c>
      <c r="J2" s="2758" t="s">
        <v>2965</v>
      </c>
      <c r="K2" s="2758" t="s">
        <v>2966</v>
      </c>
      <c r="L2" s="2765" t="s">
        <v>2967</v>
      </c>
      <c r="N2" s="2765" t="s">
        <v>2583</v>
      </c>
      <c r="O2" s="2758" t="s">
        <v>2964</v>
      </c>
      <c r="P2" s="2758" t="s">
        <v>1952</v>
      </c>
      <c r="Q2" s="2765" t="s">
        <v>2645</v>
      </c>
      <c r="R2" s="2759"/>
      <c r="S2" s="2765" t="s">
        <v>2583</v>
      </c>
      <c r="T2" s="2758" t="s">
        <v>2964</v>
      </c>
      <c r="U2" s="2758" t="s">
        <v>1952</v>
      </c>
      <c r="V2" s="2765" t="s">
        <v>2645</v>
      </c>
      <c r="X2" s="2765" t="s">
        <v>2583</v>
      </c>
      <c r="Y2" s="2765" t="s">
        <v>2644</v>
      </c>
      <c r="Z2" s="2758" t="s">
        <v>1645</v>
      </c>
      <c r="AA2" s="2758" t="s">
        <v>1952</v>
      </c>
      <c r="AB2" s="2765" t="s">
        <v>2645</v>
      </c>
      <c r="AD2" s="2765" t="s">
        <v>2583</v>
      </c>
      <c r="AE2" s="2765" t="s">
        <v>2644</v>
      </c>
      <c r="AF2" s="2758" t="s">
        <v>1645</v>
      </c>
      <c r="AG2" s="2758" t="s">
        <v>1952</v>
      </c>
      <c r="AH2" s="2765" t="s">
        <v>2645</v>
      </c>
    </row>
    <row r="3" spans="1:34" s="3136" customFormat="1" ht="14.25">
      <c r="A3" s="3148" t="s">
        <v>2976</v>
      </c>
      <c r="B3" s="3137"/>
      <c r="C3" s="3137"/>
      <c r="D3" s="3138"/>
      <c r="E3" s="3138"/>
      <c r="F3" s="3137"/>
      <c r="G3" s="3139"/>
      <c r="H3" s="3140"/>
      <c r="I3" s="3147">
        <f>ROUND(AVERAGE($I4:$I24),2)</f>
        <v>2.19</v>
      </c>
      <c r="J3" s="3147">
        <f>ROUND(AVERAGE($J4:$J24),2)</f>
        <v>1.53</v>
      </c>
      <c r="K3" s="3147">
        <f>ROUND(AVERAGE($K4:$K24),2)</f>
        <v>2.41</v>
      </c>
      <c r="L3" s="3147">
        <f>ROUND(AVERAGE($L4:$L24),2)</f>
        <v>1.42</v>
      </c>
      <c r="N3" s="3139"/>
      <c r="O3" s="3141"/>
      <c r="P3" s="3141"/>
      <c r="Q3" s="3141"/>
      <c r="R3" s="3141"/>
      <c r="S3" s="3139"/>
      <c r="T3" s="3141"/>
      <c r="U3" s="3141"/>
      <c r="V3" s="3141"/>
      <c r="W3" s="3144"/>
      <c r="X3" s="3142">
        <f>ROUND(SUMPRODUCT(PRODUCT(1+N3:N$23)),4)</f>
        <v>1.4956</v>
      </c>
      <c r="Y3" s="3142">
        <f>ROUND(SUMPRODUCT(PRODUCT(1+O3:O$23)),4)</f>
        <v>1.3237000000000001</v>
      </c>
      <c r="Z3" s="3142">
        <f t="shared" ref="Z3:Z21" si="0">Y3</f>
        <v>1.3237000000000001</v>
      </c>
      <c r="AA3" s="3142">
        <f>ROUND(SUMPRODUCT(PRODUCT(1+P3:P$23)),4)</f>
        <v>1.554</v>
      </c>
      <c r="AB3" s="3142">
        <f>ROUND(SUMPRODUCT(PRODUCT(1+Q3:Q$23)),4)</f>
        <v>1.3087</v>
      </c>
      <c r="AD3" s="3143">
        <f>ROUND(AVERAGE(I3:I$24)/100,4)</f>
        <v>2.1899999999999999E-2</v>
      </c>
      <c r="AE3" s="3143">
        <f>ROUND(AVERAGE(J3:J$24)/100,4)</f>
        <v>1.5299999999999999E-2</v>
      </c>
      <c r="AF3" s="3143">
        <f t="shared" ref="AF3:AF22" si="1">AE3</f>
        <v>1.5299999999999999E-2</v>
      </c>
      <c r="AG3" s="3143">
        <f>ROUND(AVERAGE(K3:K$24)/100,4)</f>
        <v>2.41E-2</v>
      </c>
      <c r="AH3" s="3143">
        <f>ROUND(AVERAGE(L3:L$24)/100,4)</f>
        <v>1.4200000000000001E-2</v>
      </c>
    </row>
    <row r="4" spans="1:34" s="2750" customFormat="1" ht="14.25">
      <c r="B4" s="2751"/>
      <c r="C4" s="2751"/>
      <c r="D4" s="2752"/>
      <c r="E4" s="2752"/>
      <c r="F4" s="2751"/>
      <c r="G4" s="2756"/>
      <c r="H4" s="2753"/>
      <c r="I4" s="3129"/>
      <c r="J4" s="3129"/>
      <c r="K4" s="3129"/>
      <c r="L4" s="3129"/>
      <c r="N4" s="2756"/>
      <c r="O4" s="2754"/>
      <c r="P4" s="2754"/>
      <c r="Q4" s="2754"/>
      <c r="R4" s="2754"/>
      <c r="S4" s="2756"/>
      <c r="T4" s="2754"/>
      <c r="U4" s="2754"/>
      <c r="V4" s="2754"/>
      <c r="W4" s="3145"/>
      <c r="X4" s="2755"/>
      <c r="Y4" s="2755"/>
      <c r="Z4" s="2755"/>
      <c r="AA4" s="2755"/>
      <c r="AB4" s="2755"/>
      <c r="AD4" s="2675"/>
      <c r="AE4" s="2675"/>
      <c r="AF4" s="2675"/>
      <c r="AG4" s="2675"/>
      <c r="AH4" s="2675"/>
    </row>
    <row r="5" spans="1:34" s="3117" customFormat="1">
      <c r="A5" s="3115" t="s">
        <v>2989</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6">
        <v>4</v>
      </c>
      <c r="I5" s="3130">
        <v>0</v>
      </c>
      <c r="J5" s="3130">
        <v>0</v>
      </c>
      <c r="K5" s="3130">
        <v>0</v>
      </c>
      <c r="L5" s="3130">
        <v>0</v>
      </c>
      <c r="N5" s="2763">
        <f t="shared" ref="N5" si="6">I5/100</f>
        <v>0</v>
      </c>
      <c r="O5" s="2763">
        <f t="shared" ref="O5" si="7">J5/100</f>
        <v>0</v>
      </c>
      <c r="P5" s="2763">
        <f t="shared" ref="P5" si="8">K5/100</f>
        <v>0</v>
      </c>
      <c r="Q5" s="2763">
        <f t="shared" ref="Q5" si="9">L5/100</f>
        <v>0</v>
      </c>
      <c r="R5" s="3118"/>
      <c r="S5" s="3119"/>
      <c r="T5" s="3118"/>
      <c r="U5" s="3118"/>
      <c r="V5" s="3118"/>
      <c r="W5" s="3146" t="s">
        <v>2977</v>
      </c>
      <c r="X5" s="3120">
        <f>ROUND(SUMPRODUCT(PRODUCT(1+N5:N$23)),4)</f>
        <v>1.4956</v>
      </c>
      <c r="Y5" s="3120">
        <f>ROUND(SUMPRODUCT(PRODUCT(1+O5:O$23)),4)</f>
        <v>1.3237000000000001</v>
      </c>
      <c r="Z5" s="3120">
        <f t="shared" ref="Z5" si="10">Y5</f>
        <v>1.3237000000000001</v>
      </c>
      <c r="AA5" s="3120">
        <f>ROUND(SUMPRODUCT(PRODUCT(1+P5:P$23)),4)</f>
        <v>1.554</v>
      </c>
      <c r="AB5" s="3120">
        <f>ROUND(SUMPRODUCT(PRODUCT(1+Q5:Q$23)),4)</f>
        <v>1.3087</v>
      </c>
      <c r="AD5" s="3121">
        <f>ROUND(AVERAGE(I5:I$24)/100,4)</f>
        <v>2.1899999999999999E-2</v>
      </c>
      <c r="AE5" s="3121">
        <f>ROUND(AVERAGE(J5:J$24)/100,4)</f>
        <v>1.5299999999999999E-2</v>
      </c>
      <c r="AF5" s="3121">
        <f t="shared" ref="AF5" si="11">AE5</f>
        <v>1.5299999999999999E-2</v>
      </c>
      <c r="AG5" s="3121">
        <f>ROUND(AVERAGE(K5:K$24)/100,4)</f>
        <v>2.41E-2</v>
      </c>
      <c r="AH5" s="3121">
        <f>ROUND(AVERAGE(L5:L$24)/100,4)</f>
        <v>1.4200000000000001E-2</v>
      </c>
    </row>
    <row r="6" spans="1:34" s="2762" customFormat="1" ht="13.5" thickBot="1">
      <c r="A6" s="2656" t="s">
        <v>2987</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5"/>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2988</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5"/>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2983</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5"/>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2974</v>
      </c>
      <c r="B9" s="3150">
        <v>439</v>
      </c>
      <c r="C9" s="3150">
        <v>327</v>
      </c>
      <c r="D9" s="3150">
        <f t="shared" si="33"/>
        <v>327</v>
      </c>
      <c r="E9" s="3150">
        <v>627</v>
      </c>
      <c r="F9" s="3151">
        <v>283</v>
      </c>
      <c r="G9" s="3133">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2978</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5"/>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2584</v>
      </c>
      <c r="B11" s="2670">
        <f t="shared" si="45"/>
        <v>419.31181600000002</v>
      </c>
      <c r="C11" s="2670">
        <f t="shared" si="45"/>
        <v>313.95436800000004</v>
      </c>
      <c r="D11" s="2670">
        <f t="shared" si="33"/>
        <v>313.95436800000004</v>
      </c>
      <c r="E11" s="2670">
        <f t="shared" si="46"/>
        <v>596.63028431999999</v>
      </c>
      <c r="F11" s="2670">
        <f t="shared" si="46"/>
        <v>274.74220703999998</v>
      </c>
      <c r="G11" s="3134"/>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2585</v>
      </c>
      <c r="B12" s="2670">
        <f t="shared" si="45"/>
        <v>405.524</v>
      </c>
      <c r="C12" s="2670">
        <f t="shared" si="45"/>
        <v>307.79840000000002</v>
      </c>
      <c r="D12" s="2670">
        <f t="shared" si="33"/>
        <v>307.79840000000002</v>
      </c>
      <c r="E12" s="2670">
        <f t="shared" si="46"/>
        <v>574.67759999999998</v>
      </c>
      <c r="F12" s="2670">
        <f t="shared" si="46"/>
        <v>270.20280000000002</v>
      </c>
      <c r="G12" s="3135"/>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971</v>
      </c>
      <c r="B13" s="2662">
        <v>392</v>
      </c>
      <c r="C13" s="2662">
        <v>302</v>
      </c>
      <c r="D13" s="2662">
        <f t="shared" si="33"/>
        <v>302</v>
      </c>
      <c r="E13" s="2662">
        <v>553</v>
      </c>
      <c r="F13" s="2663">
        <v>266</v>
      </c>
      <c r="G13" s="3522">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970</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520"/>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960</v>
      </c>
      <c r="B15" s="2670">
        <f t="shared" si="54"/>
        <v>360.06949782209392</v>
      </c>
      <c r="C15" s="2670">
        <f t="shared" si="54"/>
        <v>289.84672674747821</v>
      </c>
      <c r="D15" s="2670">
        <f t="shared" si="55"/>
        <v>289.84672674747821</v>
      </c>
      <c r="E15" s="2670">
        <f t="shared" si="56"/>
        <v>501.06543001181495</v>
      </c>
      <c r="F15" s="2670">
        <f t="shared" si="56"/>
        <v>256.82882500744967</v>
      </c>
      <c r="G15" s="3520"/>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969</v>
      </c>
      <c r="B16" s="2670">
        <f t="shared" si="54"/>
        <v>346.720748986128</v>
      </c>
      <c r="C16" s="2670">
        <f t="shared" si="54"/>
        <v>284.30282172386285</v>
      </c>
      <c r="D16" s="2670">
        <f t="shared" si="55"/>
        <v>284.30282172386285</v>
      </c>
      <c r="E16" s="2670">
        <f t="shared" si="56"/>
        <v>479.58023546306947</v>
      </c>
      <c r="F16" s="2670">
        <f t="shared" si="56"/>
        <v>253.25788877571213</v>
      </c>
      <c r="G16" s="3521"/>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968</v>
      </c>
      <c r="B17" s="2662">
        <v>333</v>
      </c>
      <c r="C17" s="2662">
        <v>277</v>
      </c>
      <c r="D17" s="2662">
        <f t="shared" si="55"/>
        <v>277</v>
      </c>
      <c r="E17" s="2662">
        <v>459</v>
      </c>
      <c r="F17" s="2663">
        <v>249</v>
      </c>
      <c r="G17" s="3519">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967</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520"/>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966</v>
      </c>
      <c r="B19" s="2670">
        <f t="shared" si="58"/>
        <v>322.34053690220776</v>
      </c>
      <c r="C19" s="2670">
        <f t="shared" si="58"/>
        <v>271.46160770422546</v>
      </c>
      <c r="D19" s="2670">
        <f t="shared" si="55"/>
        <v>271.46160770422546</v>
      </c>
      <c r="E19" s="2670">
        <f t="shared" si="59"/>
        <v>442.69434542172456</v>
      </c>
      <c r="F19" s="2670">
        <f t="shared" si="59"/>
        <v>241.34030753190925</v>
      </c>
      <c r="G19" s="3520"/>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965</v>
      </c>
      <c r="B20" s="2670">
        <f t="shared" si="58"/>
        <v>319.87748030386797</v>
      </c>
      <c r="C20" s="2670">
        <f t="shared" si="58"/>
        <v>269.60135833173649</v>
      </c>
      <c r="D20" s="2670">
        <f t="shared" si="55"/>
        <v>269.60135833173649</v>
      </c>
      <c r="E20" s="2670">
        <f t="shared" si="59"/>
        <v>439.18089823583784</v>
      </c>
      <c r="F20" s="2670">
        <f t="shared" si="59"/>
        <v>239.23503918706311</v>
      </c>
      <c r="G20" s="3521"/>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964</v>
      </c>
      <c r="B21" s="2684">
        <v>318</v>
      </c>
      <c r="C21" s="2684">
        <v>268</v>
      </c>
      <c r="D21" s="2684">
        <f t="shared" si="55"/>
        <v>268</v>
      </c>
      <c r="E21" s="2684">
        <v>437</v>
      </c>
      <c r="F21" s="2685">
        <v>237</v>
      </c>
      <c r="G21" s="3519">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963</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520"/>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962</v>
      </c>
      <c r="B23" s="2670">
        <f t="shared" si="60"/>
        <v>314.72141172386546</v>
      </c>
      <c r="C23" s="2670">
        <f t="shared" si="60"/>
        <v>263.03901319069001</v>
      </c>
      <c r="D23" s="2670">
        <f t="shared" si="55"/>
        <v>263.03901319069001</v>
      </c>
      <c r="E23" s="2670">
        <f t="shared" si="61"/>
        <v>433.65745506782821</v>
      </c>
      <c r="F23" s="2670">
        <f t="shared" si="61"/>
        <v>233.23005080045735</v>
      </c>
      <c r="G23" s="3520"/>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961</v>
      </c>
      <c r="B24" s="2689">
        <f t="shared" si="60"/>
        <v>307.34512863658733</v>
      </c>
      <c r="C24" s="2689">
        <f t="shared" si="60"/>
        <v>257.80556031626975</v>
      </c>
      <c r="D24" s="2689">
        <f t="shared" si="55"/>
        <v>257.80556031626975</v>
      </c>
      <c r="E24" s="2689">
        <f t="shared" si="61"/>
        <v>422.70928459677179</v>
      </c>
      <c r="F24" s="2689">
        <f t="shared" si="61"/>
        <v>229.73803270336617</v>
      </c>
      <c r="G24" s="3521"/>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2643</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2586</v>
      </c>
      <c r="B25" s="2662">
        <v>299</v>
      </c>
      <c r="C25" s="2662">
        <v>252</v>
      </c>
      <c r="D25" s="2662">
        <f t="shared" si="55"/>
        <v>252</v>
      </c>
      <c r="E25" s="2662">
        <v>409</v>
      </c>
      <c r="F25" s="2663">
        <v>227</v>
      </c>
      <c r="G25" s="3526">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2587</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527"/>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2588</v>
      </c>
      <c r="B27" s="2670">
        <f t="shared" si="64"/>
        <v>288.2649053828776</v>
      </c>
      <c r="C27" s="2670">
        <f t="shared" si="64"/>
        <v>243.64564425013293</v>
      </c>
      <c r="D27" s="2670">
        <f t="shared" si="55"/>
        <v>243.64564425013293</v>
      </c>
      <c r="E27" s="2670">
        <f t="shared" si="65"/>
        <v>393.31080825986544</v>
      </c>
      <c r="F27" s="2670">
        <f t="shared" si="65"/>
        <v>223.07903790551154</v>
      </c>
      <c r="G27" s="3527"/>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2589</v>
      </c>
      <c r="B28" s="2670">
        <f t="shared" si="64"/>
        <v>282.50186729015837</v>
      </c>
      <c r="C28" s="2670">
        <f t="shared" si="64"/>
        <v>238.09796174155468</v>
      </c>
      <c r="D28" s="2670">
        <f t="shared" si="55"/>
        <v>238.09796174155468</v>
      </c>
      <c r="E28" s="2670">
        <f t="shared" si="65"/>
        <v>385.33438646014054</v>
      </c>
      <c r="F28" s="2670">
        <f t="shared" si="65"/>
        <v>221.55034055567739</v>
      </c>
      <c r="G28" s="3528"/>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2590</v>
      </c>
      <c r="B29" s="2700">
        <v>278</v>
      </c>
      <c r="C29" s="2700">
        <v>234</v>
      </c>
      <c r="D29" s="2700">
        <f t="shared" si="55"/>
        <v>234</v>
      </c>
      <c r="E29" s="2700">
        <v>379</v>
      </c>
      <c r="F29" s="2701">
        <v>220</v>
      </c>
      <c r="G29" s="3519">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2591</v>
      </c>
      <c r="B30" s="2670">
        <f>B29/(1+N29)</f>
        <v>275.49301357645425</v>
      </c>
      <c r="C30" s="2670">
        <f>C29/(1+O29)</f>
        <v>232.41954707985698</v>
      </c>
      <c r="D30" s="2670">
        <f t="shared" si="55"/>
        <v>232.41954707985698</v>
      </c>
      <c r="E30" s="2670">
        <f t="shared" ref="E30:F32" si="66">E29/(1+P29)</f>
        <v>375.32184591008121</v>
      </c>
      <c r="F30" s="2670">
        <f t="shared" si="66"/>
        <v>218.03766105054513</v>
      </c>
      <c r="G30" s="3520"/>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2592</v>
      </c>
      <c r="B31" s="2670">
        <f>B30/(1+N30)</f>
        <v>275.24529281292263</v>
      </c>
      <c r="C31" s="2670">
        <f>C30/(1+O30)</f>
        <v>231.74747938962707</v>
      </c>
      <c r="D31" s="2670">
        <f t="shared" si="55"/>
        <v>231.74747938962707</v>
      </c>
      <c r="E31" s="2670">
        <f t="shared" si="66"/>
        <v>375.35938184826603</v>
      </c>
      <c r="F31" s="2670">
        <f t="shared" si="66"/>
        <v>216.78033510692495</v>
      </c>
      <c r="G31" s="3520"/>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2593</v>
      </c>
      <c r="B32" s="2670">
        <f>B31/(1+N31)</f>
        <v>275.19025476197027</v>
      </c>
      <c r="C32" s="2702">
        <v>232</v>
      </c>
      <c r="D32" s="2702">
        <f t="shared" si="55"/>
        <v>232</v>
      </c>
      <c r="E32" s="2670">
        <f t="shared" si="66"/>
        <v>375.65990977608692</v>
      </c>
      <c r="F32" s="2670">
        <f t="shared" si="66"/>
        <v>214.12518283971252</v>
      </c>
      <c r="G32" s="3521"/>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2594</v>
      </c>
      <c r="B33" s="2662">
        <v>275</v>
      </c>
      <c r="C33" s="2662">
        <v>232</v>
      </c>
      <c r="D33" s="2662">
        <f t="shared" si="55"/>
        <v>232</v>
      </c>
      <c r="E33" s="2662">
        <v>376</v>
      </c>
      <c r="F33" s="2663">
        <v>213</v>
      </c>
      <c r="G33" s="3519">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2595</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520">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2596</v>
      </c>
      <c r="B35" s="2670">
        <f t="shared" si="67"/>
        <v>275.19335084830601</v>
      </c>
      <c r="C35" s="2670">
        <f t="shared" si="67"/>
        <v>230.18088050139744</v>
      </c>
      <c r="D35" s="2670">
        <f t="shared" si="55"/>
        <v>230.18088050139744</v>
      </c>
      <c r="E35" s="2670">
        <f t="shared" si="68"/>
        <v>377.58482925212331</v>
      </c>
      <c r="F35" s="2670">
        <f t="shared" si="68"/>
        <v>210.90687997847917</v>
      </c>
      <c r="G35" s="3520">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2597</v>
      </c>
      <c r="B36" s="2670">
        <f t="shared" si="67"/>
        <v>276.29854502841971</v>
      </c>
      <c r="C36" s="2670">
        <f t="shared" si="67"/>
        <v>229.79023709833027</v>
      </c>
      <c r="D36" s="2670">
        <f t="shared" si="55"/>
        <v>229.79023709833027</v>
      </c>
      <c r="E36" s="2670">
        <f t="shared" si="68"/>
        <v>379.78759731655936</v>
      </c>
      <c r="F36" s="2670">
        <f t="shared" si="68"/>
        <v>211.32953905659235</v>
      </c>
      <c r="G36" s="3521">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2598</v>
      </c>
      <c r="B37" s="2662">
        <v>269</v>
      </c>
      <c r="C37" s="2662">
        <v>221</v>
      </c>
      <c r="D37" s="2662">
        <f t="shared" si="55"/>
        <v>221</v>
      </c>
      <c r="E37" s="2662">
        <v>373</v>
      </c>
      <c r="F37" s="2663">
        <v>196</v>
      </c>
      <c r="G37" s="3519">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2599</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520">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2600</v>
      </c>
      <c r="B39" s="2670">
        <f t="shared" si="69"/>
        <v>242.95398227588385</v>
      </c>
      <c r="C39" s="2670">
        <f t="shared" si="69"/>
        <v>199.59137053614126</v>
      </c>
      <c r="D39" s="2670">
        <f t="shared" si="55"/>
        <v>199.59137053614126</v>
      </c>
      <c r="E39" s="2670">
        <f t="shared" si="70"/>
        <v>335.92189522342125</v>
      </c>
      <c r="F39" s="2670">
        <f t="shared" si="70"/>
        <v>183.10139991109489</v>
      </c>
      <c r="G39" s="3520">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2601</v>
      </c>
      <c r="B40" s="2670">
        <f t="shared" si="69"/>
        <v>232.06990378821649</v>
      </c>
      <c r="C40" s="2670">
        <f t="shared" si="69"/>
        <v>192.74878854286936</v>
      </c>
      <c r="D40" s="2670">
        <f t="shared" si="55"/>
        <v>192.74878854286936</v>
      </c>
      <c r="E40" s="2670">
        <f t="shared" si="70"/>
        <v>319.71247284992984</v>
      </c>
      <c r="F40" s="2670">
        <f t="shared" si="70"/>
        <v>175.67053622862409</v>
      </c>
      <c r="G40" s="3521">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2602</v>
      </c>
      <c r="B41" s="2662">
        <v>220</v>
      </c>
      <c r="C41" s="2662">
        <v>187</v>
      </c>
      <c r="D41" s="2662">
        <f t="shared" si="55"/>
        <v>187</v>
      </c>
      <c r="E41" s="2662">
        <v>301</v>
      </c>
      <c r="F41" s="2663">
        <v>168</v>
      </c>
      <c r="G41" s="3519">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2603</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520">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2604</v>
      </c>
      <c r="B43" s="2670">
        <f t="shared" si="71"/>
        <v>210.630522469011</v>
      </c>
      <c r="C43" s="2670">
        <f t="shared" si="71"/>
        <v>181.69567812247232</v>
      </c>
      <c r="D43" s="2670">
        <f t="shared" si="55"/>
        <v>181.69567812247232</v>
      </c>
      <c r="E43" s="2670">
        <f t="shared" si="72"/>
        <v>286.13517466736738</v>
      </c>
      <c r="F43" s="2670">
        <f t="shared" si="72"/>
        <v>165.47535084591149</v>
      </c>
      <c r="G43" s="3520">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2605</v>
      </c>
      <c r="B44" s="2670">
        <f t="shared" si="71"/>
        <v>208.83454537875372</v>
      </c>
      <c r="C44" s="2670">
        <f t="shared" si="71"/>
        <v>183.77230517090351</v>
      </c>
      <c r="D44" s="2670">
        <f t="shared" si="55"/>
        <v>183.77230517090351</v>
      </c>
      <c r="E44" s="2670">
        <f t="shared" si="72"/>
        <v>281.10342338870947</v>
      </c>
      <c r="F44" s="2670">
        <f t="shared" si="72"/>
        <v>168.97309388942256</v>
      </c>
      <c r="G44" s="3521">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2606</v>
      </c>
      <c r="B45" s="2700">
        <v>214</v>
      </c>
      <c r="C45" s="2700">
        <v>188</v>
      </c>
      <c r="D45" s="2700">
        <f t="shared" si="55"/>
        <v>188</v>
      </c>
      <c r="E45" s="2700">
        <v>289</v>
      </c>
      <c r="F45" s="2701">
        <v>166</v>
      </c>
      <c r="G45" s="3519">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2607</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520">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2608</v>
      </c>
      <c r="B47" s="2670">
        <f t="shared" si="73"/>
        <v>206.31694671589116</v>
      </c>
      <c r="C47" s="2670">
        <f t="shared" si="73"/>
        <v>183.61041121036101</v>
      </c>
      <c r="D47" s="2670">
        <f t="shared" si="55"/>
        <v>183.61041121036101</v>
      </c>
      <c r="E47" s="2670">
        <f t="shared" si="74"/>
        <v>276.66850301795557</v>
      </c>
      <c r="F47" s="2670">
        <f t="shared" si="74"/>
        <v>165.1360938278614</v>
      </c>
      <c r="G47" s="3520">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2609</v>
      </c>
      <c r="B48" s="2703">
        <f t="shared" si="73"/>
        <v>196.62341248059772</v>
      </c>
      <c r="C48" s="2703">
        <f t="shared" si="73"/>
        <v>170.99125648199012</v>
      </c>
      <c r="D48" s="2703">
        <f t="shared" si="55"/>
        <v>170.99125648199012</v>
      </c>
      <c r="E48" s="2703">
        <f t="shared" si="74"/>
        <v>266.07857570490052</v>
      </c>
      <c r="F48" s="2703">
        <f t="shared" si="74"/>
        <v>154.53499328828505</v>
      </c>
      <c r="G48" s="3521">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2610</v>
      </c>
      <c r="B49" s="2662">
        <v>188</v>
      </c>
      <c r="C49" s="2662">
        <v>165</v>
      </c>
      <c r="D49" s="2662">
        <f t="shared" si="55"/>
        <v>165</v>
      </c>
      <c r="E49" s="2662">
        <v>254</v>
      </c>
      <c r="F49" s="2663">
        <v>148</v>
      </c>
      <c r="G49" s="3519">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2611</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520">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2612</v>
      </c>
      <c r="B51" s="2670">
        <f t="shared" si="77"/>
        <v>168.82017748715555</v>
      </c>
      <c r="C51" s="2670">
        <f t="shared" si="77"/>
        <v>148.06267029972753</v>
      </c>
      <c r="D51" s="2670">
        <f t="shared" si="55"/>
        <v>148.06267029972753</v>
      </c>
      <c r="E51" s="2670">
        <f t="shared" si="78"/>
        <v>216.46288379323747</v>
      </c>
      <c r="F51" s="2670">
        <f t="shared" si="78"/>
        <v>134.23529411764704</v>
      </c>
      <c r="G51" s="3520">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2613</v>
      </c>
      <c r="B52" s="2670">
        <f t="shared" si="77"/>
        <v>163.84913591779542</v>
      </c>
      <c r="C52" s="2670">
        <f t="shared" si="77"/>
        <v>145.0283378746594</v>
      </c>
      <c r="D52" s="2670">
        <f t="shared" si="55"/>
        <v>145.0283378746594</v>
      </c>
      <c r="E52" s="2670">
        <f t="shared" si="78"/>
        <v>204.95180722891567</v>
      </c>
      <c r="F52" s="2670">
        <f t="shared" si="78"/>
        <v>125.95920303605313</v>
      </c>
      <c r="G52" s="3521">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2614</v>
      </c>
      <c r="B53" s="2684">
        <v>159</v>
      </c>
      <c r="C53" s="2684">
        <v>141</v>
      </c>
      <c r="D53" s="2684">
        <f t="shared" si="55"/>
        <v>141</v>
      </c>
      <c r="E53" s="2684">
        <v>195</v>
      </c>
      <c r="F53" s="2685">
        <v>122</v>
      </c>
      <c r="G53" s="3519">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2615</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520">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2616</v>
      </c>
      <c r="B55" s="2670">
        <f t="shared" si="81"/>
        <v>146.57412060301507</v>
      </c>
      <c r="C55" s="2670">
        <f t="shared" si="81"/>
        <v>136.46831955922866</v>
      </c>
      <c r="D55" s="2670">
        <f t="shared" si="55"/>
        <v>136.46831955922866</v>
      </c>
      <c r="E55" s="2670">
        <f t="shared" si="82"/>
        <v>166.73864894795128</v>
      </c>
      <c r="F55" s="2670">
        <f t="shared" si="82"/>
        <v>115.05882352941177</v>
      </c>
      <c r="G55" s="3520">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2617</v>
      </c>
      <c r="B56" s="2670">
        <f t="shared" si="81"/>
        <v>144.04145728643215</v>
      </c>
      <c r="C56" s="2670">
        <f t="shared" si="81"/>
        <v>136.12396694214877</v>
      </c>
      <c r="D56" s="2670">
        <f t="shared" si="55"/>
        <v>136.12396694214877</v>
      </c>
      <c r="E56" s="2670">
        <f t="shared" si="82"/>
        <v>158.32225913621264</v>
      </c>
      <c r="F56" s="2670">
        <f t="shared" si="82"/>
        <v>114.04278074866311</v>
      </c>
      <c r="G56" s="3521">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2618</v>
      </c>
      <c r="B57" s="2684">
        <v>138</v>
      </c>
      <c r="C57" s="2684">
        <v>131</v>
      </c>
      <c r="D57" s="2684">
        <f t="shared" si="55"/>
        <v>131</v>
      </c>
      <c r="E57" s="2684">
        <v>155</v>
      </c>
      <c r="F57" s="2685">
        <v>114</v>
      </c>
      <c r="G57" s="3519">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2619</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520">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2620</v>
      </c>
      <c r="B59" s="2670">
        <f t="shared" si="85"/>
        <v>124.29032258064517</v>
      </c>
      <c r="C59" s="2670">
        <f t="shared" si="85"/>
        <v>123.8968609865471</v>
      </c>
      <c r="D59" s="2670">
        <f t="shared" si="55"/>
        <v>123.8968609865471</v>
      </c>
      <c r="E59" s="2670">
        <f t="shared" si="86"/>
        <v>138.00507614213197</v>
      </c>
      <c r="F59" s="2670">
        <f t="shared" si="86"/>
        <v>107.96106557377048</v>
      </c>
      <c r="G59" s="3520">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2621</v>
      </c>
      <c r="B60" s="2670">
        <f t="shared" si="85"/>
        <v>122.57204301075269</v>
      </c>
      <c r="C60" s="2670">
        <f t="shared" si="85"/>
        <v>123.4932735426009</v>
      </c>
      <c r="D60" s="2670">
        <f t="shared" si="55"/>
        <v>123.4932735426009</v>
      </c>
      <c r="E60" s="2670">
        <f t="shared" si="86"/>
        <v>129.82233502538071</v>
      </c>
      <c r="F60" s="2670">
        <f t="shared" si="86"/>
        <v>107.39446721311475</v>
      </c>
      <c r="G60" s="3521">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2622</v>
      </c>
      <c r="B61" s="2700">
        <v>121</v>
      </c>
      <c r="C61" s="2700">
        <v>122</v>
      </c>
      <c r="D61" s="2700">
        <f t="shared" si="55"/>
        <v>122</v>
      </c>
      <c r="E61" s="2700">
        <v>124</v>
      </c>
      <c r="F61" s="2701">
        <v>107</v>
      </c>
      <c r="G61" s="3519">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2623</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520">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2624</v>
      </c>
      <c r="B63" s="2670">
        <f t="shared" si="89"/>
        <v>116.99099099099099</v>
      </c>
      <c r="C63" s="2670">
        <f t="shared" si="89"/>
        <v>118.84848484848486</v>
      </c>
      <c r="D63" s="2670">
        <f t="shared" si="55"/>
        <v>118.84848484848486</v>
      </c>
      <c r="E63" s="2670">
        <f t="shared" si="90"/>
        <v>117.60960960960961</v>
      </c>
      <c r="F63" s="2670">
        <f t="shared" si="90"/>
        <v>104</v>
      </c>
      <c r="G63" s="3520">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2625</v>
      </c>
      <c r="B64" s="2703">
        <f t="shared" si="89"/>
        <v>112.48648648648648</v>
      </c>
      <c r="C64" s="2703">
        <f t="shared" si="89"/>
        <v>115.21212121212122</v>
      </c>
      <c r="D64" s="2703">
        <f t="shared" si="55"/>
        <v>115.21212121212122</v>
      </c>
      <c r="E64" s="2703">
        <f t="shared" si="90"/>
        <v>110.4024024024024</v>
      </c>
      <c r="F64" s="2703">
        <f t="shared" si="90"/>
        <v>104</v>
      </c>
      <c r="G64" s="3521">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2626</v>
      </c>
      <c r="B65" s="2721">
        <v>111</v>
      </c>
      <c r="C65" s="2721">
        <v>114</v>
      </c>
      <c r="D65" s="2721">
        <f t="shared" si="55"/>
        <v>114</v>
      </c>
      <c r="E65" s="2721">
        <v>108</v>
      </c>
      <c r="F65" s="2722">
        <v>104</v>
      </c>
      <c r="G65" s="3519">
        <v>2003</v>
      </c>
      <c r="H65" s="2711">
        <v>4</v>
      </c>
      <c r="I65" s="2723"/>
      <c r="J65" s="2723"/>
      <c r="K65" s="2723"/>
      <c r="L65" s="2723"/>
      <c r="N65" s="2724"/>
      <c r="O65" s="2723"/>
      <c r="P65" s="2723"/>
      <c r="Q65" s="2723"/>
      <c r="S65" s="2724"/>
      <c r="T65" s="2723"/>
      <c r="U65" s="2723"/>
      <c r="V65" s="2723"/>
      <c r="X65" s="2715"/>
      <c r="Y65" s="2715"/>
      <c r="Z65" s="2715"/>
    </row>
    <row r="66" spans="1:26">
      <c r="A66" s="2656" t="s">
        <v>2627</v>
      </c>
      <c r="B66" s="2725">
        <f t="shared" ref="B66:C68" si="91">B67+(B$65-B$69)/4</f>
        <v>109.75</v>
      </c>
      <c r="C66" s="2725">
        <f t="shared" si="91"/>
        <v>112.25</v>
      </c>
      <c r="D66" s="2725">
        <f t="shared" si="55"/>
        <v>112.25</v>
      </c>
      <c r="E66" s="2725">
        <f t="shared" ref="E66:F68" si="92">E67+(E$65-E$69)/4</f>
        <v>107.25</v>
      </c>
      <c r="F66" s="2725">
        <f t="shared" si="92"/>
        <v>103.5</v>
      </c>
      <c r="G66" s="3520">
        <v>2003</v>
      </c>
      <c r="H66" s="2681">
        <v>3</v>
      </c>
      <c r="I66" s="2723"/>
      <c r="J66" s="2723"/>
      <c r="K66" s="2723"/>
      <c r="L66" s="2723"/>
      <c r="X66" s="2715"/>
      <c r="Y66" s="2715"/>
      <c r="Z66" s="2715"/>
    </row>
    <row r="67" spans="1:26">
      <c r="A67" s="2656" t="s">
        <v>2628</v>
      </c>
      <c r="B67" s="2725">
        <f t="shared" si="91"/>
        <v>108.5</v>
      </c>
      <c r="C67" s="2725">
        <f t="shared" si="91"/>
        <v>110.5</v>
      </c>
      <c r="D67" s="2725">
        <f t="shared" si="55"/>
        <v>110.5</v>
      </c>
      <c r="E67" s="2725">
        <f t="shared" si="92"/>
        <v>106.5</v>
      </c>
      <c r="F67" s="2725">
        <f t="shared" si="92"/>
        <v>103</v>
      </c>
      <c r="G67" s="3520">
        <v>2003</v>
      </c>
      <c r="H67" s="2661">
        <v>2</v>
      </c>
      <c r="I67" s="2723"/>
      <c r="J67" s="2723"/>
      <c r="K67" s="2723"/>
      <c r="L67" s="2723"/>
      <c r="X67" s="2715"/>
      <c r="Y67" s="2715"/>
      <c r="Z67" s="2715"/>
    </row>
    <row r="68" spans="1:26" ht="13.5" thickBot="1">
      <c r="A68" s="2656" t="s">
        <v>2629</v>
      </c>
      <c r="B68" s="2725">
        <f t="shared" si="91"/>
        <v>107.25</v>
      </c>
      <c r="C68" s="2725">
        <f t="shared" si="91"/>
        <v>108.75</v>
      </c>
      <c r="D68" s="2725">
        <f t="shared" si="55"/>
        <v>108.75</v>
      </c>
      <c r="E68" s="2725">
        <f t="shared" si="92"/>
        <v>105.75</v>
      </c>
      <c r="F68" s="2725">
        <f t="shared" si="92"/>
        <v>102.5</v>
      </c>
      <c r="G68" s="3521">
        <v>2003</v>
      </c>
      <c r="H68" s="2726">
        <v>1</v>
      </c>
      <c r="I68" s="2723"/>
      <c r="J68" s="2723"/>
      <c r="K68" s="2723"/>
      <c r="L68" s="2723"/>
      <c r="S68" s="2665"/>
      <c r="T68" s="2666"/>
      <c r="U68" s="2666"/>
      <c r="X68" s="2715"/>
      <c r="Y68" s="2715"/>
      <c r="Z68" s="2715"/>
    </row>
    <row r="69" spans="1:26" ht="13.5" thickBot="1">
      <c r="A69" s="2656" t="s">
        <v>2630</v>
      </c>
      <c r="B69" s="2727">
        <v>106</v>
      </c>
      <c r="C69" s="2727">
        <v>107</v>
      </c>
      <c r="D69" s="2727">
        <f t="shared" si="55"/>
        <v>107</v>
      </c>
      <c r="E69" s="2727">
        <v>105</v>
      </c>
      <c r="F69" s="2728">
        <v>102</v>
      </c>
      <c r="G69" s="3519">
        <v>2002</v>
      </c>
      <c r="H69" s="2676">
        <v>4</v>
      </c>
      <c r="I69" s="2723"/>
      <c r="J69" s="2723"/>
      <c r="K69" s="2723"/>
      <c r="L69" s="2723"/>
      <c r="N69" s="2724"/>
      <c r="O69" s="2723"/>
      <c r="P69" s="2723"/>
      <c r="Q69" s="2723"/>
      <c r="S69" s="2724"/>
      <c r="T69" s="2723"/>
      <c r="U69" s="2723"/>
      <c r="V69" s="2723"/>
      <c r="X69" s="2715"/>
      <c r="Y69" s="2715"/>
      <c r="Z69" s="2715"/>
    </row>
    <row r="70" spans="1:26">
      <c r="A70" s="2656" t="s">
        <v>2631</v>
      </c>
      <c r="B70" s="2725">
        <f t="shared" ref="B70:C72" si="93">B71+(B$69-B$73)/4</f>
        <v>105</v>
      </c>
      <c r="C70" s="2725">
        <f t="shared" si="93"/>
        <v>106</v>
      </c>
      <c r="D70" s="2725">
        <f t="shared" si="55"/>
        <v>106</v>
      </c>
      <c r="E70" s="2725">
        <f t="shared" ref="E70:F72" si="94">E71+(E$69-E$73)/4</f>
        <v>104.5</v>
      </c>
      <c r="F70" s="2725">
        <f t="shared" si="94"/>
        <v>101.5</v>
      </c>
      <c r="G70" s="3520">
        <v>2002</v>
      </c>
      <c r="H70" s="2681">
        <v>3</v>
      </c>
      <c r="I70" s="2723"/>
      <c r="J70" s="2723"/>
      <c r="K70" s="2723"/>
      <c r="L70" s="2723"/>
      <c r="X70" s="2715"/>
      <c r="Y70" s="2715"/>
      <c r="Z70" s="2715"/>
    </row>
    <row r="71" spans="1:26">
      <c r="A71" s="2656" t="s">
        <v>2632</v>
      </c>
      <c r="B71" s="2725">
        <f t="shared" si="93"/>
        <v>104</v>
      </c>
      <c r="C71" s="2725">
        <f t="shared" si="93"/>
        <v>105</v>
      </c>
      <c r="D71" s="2725">
        <f t="shared" si="55"/>
        <v>105</v>
      </c>
      <c r="E71" s="2725">
        <f t="shared" si="94"/>
        <v>104</v>
      </c>
      <c r="F71" s="2725">
        <f t="shared" si="94"/>
        <v>101</v>
      </c>
      <c r="G71" s="3520">
        <v>2002</v>
      </c>
      <c r="H71" s="2661">
        <v>2</v>
      </c>
      <c r="I71" s="2723"/>
      <c r="J71" s="2723"/>
      <c r="K71" s="2723"/>
      <c r="L71" s="2723"/>
      <c r="X71" s="2715"/>
      <c r="Y71" s="2715"/>
      <c r="Z71" s="2715"/>
    </row>
    <row r="72" spans="1:26" s="2692" customFormat="1" ht="13.5" thickBot="1">
      <c r="A72" s="2688" t="s">
        <v>2633</v>
      </c>
      <c r="B72" s="2729">
        <f t="shared" si="93"/>
        <v>103</v>
      </c>
      <c r="C72" s="2729">
        <f t="shared" si="93"/>
        <v>104</v>
      </c>
      <c r="D72" s="2729">
        <f t="shared" si="55"/>
        <v>104</v>
      </c>
      <c r="E72" s="2729">
        <f t="shared" si="94"/>
        <v>103.5</v>
      </c>
      <c r="F72" s="2729">
        <f t="shared" si="94"/>
        <v>100.5</v>
      </c>
      <c r="G72" s="3521">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2634</v>
      </c>
      <c r="G75" s="2739"/>
      <c r="N75" s="2739"/>
      <c r="S75" s="2739"/>
    </row>
    <row r="76" spans="1:26" s="2738" customFormat="1">
      <c r="A76" s="2738" t="s">
        <v>2635</v>
      </c>
      <c r="G76" s="2739"/>
      <c r="N76" s="2739"/>
      <c r="S76" s="2739"/>
    </row>
    <row r="77" spans="1:26" s="2738" customFormat="1">
      <c r="A77" s="2738" t="s">
        <v>2636</v>
      </c>
      <c r="G77" s="2739"/>
      <c r="I77" s="2740"/>
      <c r="J77" s="2740"/>
      <c r="K77" s="2740"/>
      <c r="L77" s="2740"/>
      <c r="N77" s="2741"/>
      <c r="O77" s="2740"/>
      <c r="P77" s="2740"/>
      <c r="Q77" s="2740"/>
      <c r="S77" s="2741"/>
      <c r="T77" s="2740"/>
      <c r="U77" s="2740"/>
      <c r="V77" s="2740"/>
    </row>
    <row r="78" spans="1:26" s="2738" customFormat="1">
      <c r="A78" s="2738" t="s">
        <v>2637</v>
      </c>
      <c r="G78" s="2739"/>
      <c r="N78" s="2739"/>
      <c r="S78" s="2739"/>
    </row>
    <row r="85" spans="7:22" ht="13.5" thickBot="1"/>
    <row r="86" spans="7:22">
      <c r="G86" s="2664"/>
      <c r="S86" s="2742" t="s">
        <v>2638</v>
      </c>
      <c r="T86" s="2743" t="s">
        <v>2639</v>
      </c>
      <c r="U86" s="2743" t="s">
        <v>2640</v>
      </c>
      <c r="V86" s="2743" t="s">
        <v>2641</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I1" workbookViewId="0">
      <selection activeCell="P29" sqref="P29"/>
    </sheetView>
  </sheetViews>
  <sheetFormatPr defaultRowHeight="13.5"/>
  <cols>
    <col min="1" max="1" width="37.625" style="2940" customWidth="1"/>
    <col min="2" max="2" width="6.25" style="2940" customWidth="1"/>
    <col min="3" max="3" width="13.875" style="2940" customWidth="1"/>
    <col min="4" max="4" width="7.875" style="2940" customWidth="1"/>
    <col min="5" max="6" width="13.875" style="2940" customWidth="1"/>
    <col min="7" max="7" width="39.5" style="2940" customWidth="1"/>
    <col min="8" max="9" width="11.625" style="2940" bestFit="1" customWidth="1"/>
    <col min="10" max="10" width="45.875" style="2940" customWidth="1"/>
    <col min="11" max="11" width="10.625" style="2940" customWidth="1"/>
    <col min="12" max="12" width="14.375" style="2940" customWidth="1"/>
    <col min="13" max="13" width="6.25" style="2940" customWidth="1"/>
    <col min="14" max="14" width="15" style="2940" customWidth="1"/>
    <col min="15" max="256" width="9" style="2940"/>
    <col min="257" max="257" width="37.625" style="2940" customWidth="1"/>
    <col min="258" max="258" width="6.25" style="2940" customWidth="1"/>
    <col min="259" max="259" width="13.875" style="2940" customWidth="1"/>
    <col min="260" max="260" width="7.875" style="2940" customWidth="1"/>
    <col min="261" max="262" width="13.875" style="2940" customWidth="1"/>
    <col min="263" max="263" width="39.5" style="2940" customWidth="1"/>
    <col min="264" max="265" width="9" style="2940" customWidth="1"/>
    <col min="266" max="266" width="45.875" style="2940" customWidth="1"/>
    <col min="267" max="267" width="10.625" style="2940" customWidth="1"/>
    <col min="268" max="268" width="14.375" style="2940" customWidth="1"/>
    <col min="269" max="269" width="6.25" style="2940" customWidth="1"/>
    <col min="270" max="270" width="15" style="2940" customWidth="1"/>
    <col min="271" max="512" width="9" style="2940"/>
    <col min="513" max="513" width="37.625" style="2940" customWidth="1"/>
    <col min="514" max="514" width="6.25" style="2940" customWidth="1"/>
    <col min="515" max="515" width="13.875" style="2940" customWidth="1"/>
    <col min="516" max="516" width="7.875" style="2940" customWidth="1"/>
    <col min="517" max="518" width="13.875" style="2940" customWidth="1"/>
    <col min="519" max="519" width="39.5" style="2940" customWidth="1"/>
    <col min="520" max="521" width="9" style="2940" customWidth="1"/>
    <col min="522" max="522" width="45.875" style="2940" customWidth="1"/>
    <col min="523" max="523" width="10.625" style="2940" customWidth="1"/>
    <col min="524" max="524" width="14.375" style="2940" customWidth="1"/>
    <col min="525" max="525" width="6.25" style="2940" customWidth="1"/>
    <col min="526" max="526" width="15" style="2940" customWidth="1"/>
    <col min="527" max="768" width="9" style="2940"/>
    <col min="769" max="769" width="37.625" style="2940" customWidth="1"/>
    <col min="770" max="770" width="6.25" style="2940" customWidth="1"/>
    <col min="771" max="771" width="13.875" style="2940" customWidth="1"/>
    <col min="772" max="772" width="7.875" style="2940" customWidth="1"/>
    <col min="773" max="774" width="13.875" style="2940" customWidth="1"/>
    <col min="775" max="775" width="39.5" style="2940" customWidth="1"/>
    <col min="776" max="777" width="9" style="2940" customWidth="1"/>
    <col min="778" max="778" width="45.875" style="2940" customWidth="1"/>
    <col min="779" max="779" width="10.625" style="2940" customWidth="1"/>
    <col min="780" max="780" width="14.375" style="2940" customWidth="1"/>
    <col min="781" max="781" width="6.25" style="2940" customWidth="1"/>
    <col min="782" max="782" width="15" style="2940" customWidth="1"/>
    <col min="783" max="1024" width="9" style="2940"/>
    <col min="1025" max="1025" width="37.625" style="2940" customWidth="1"/>
    <col min="1026" max="1026" width="6.25" style="2940" customWidth="1"/>
    <col min="1027" max="1027" width="13.875" style="2940" customWidth="1"/>
    <col min="1028" max="1028" width="7.875" style="2940" customWidth="1"/>
    <col min="1029" max="1030" width="13.875" style="2940" customWidth="1"/>
    <col min="1031" max="1031" width="39.5" style="2940" customWidth="1"/>
    <col min="1032" max="1033" width="9" style="2940" customWidth="1"/>
    <col min="1034" max="1034" width="45.875" style="2940" customWidth="1"/>
    <col min="1035" max="1035" width="10.625" style="2940" customWidth="1"/>
    <col min="1036" max="1036" width="14.375" style="2940" customWidth="1"/>
    <col min="1037" max="1037" width="6.25" style="2940" customWidth="1"/>
    <col min="1038" max="1038" width="15" style="2940" customWidth="1"/>
    <col min="1039" max="1280" width="9" style="2940"/>
    <col min="1281" max="1281" width="37.625" style="2940" customWidth="1"/>
    <col min="1282" max="1282" width="6.25" style="2940" customWidth="1"/>
    <col min="1283" max="1283" width="13.875" style="2940" customWidth="1"/>
    <col min="1284" max="1284" width="7.875" style="2940" customWidth="1"/>
    <col min="1285" max="1286" width="13.875" style="2940" customWidth="1"/>
    <col min="1287" max="1287" width="39.5" style="2940" customWidth="1"/>
    <col min="1288" max="1289" width="9" style="2940" customWidth="1"/>
    <col min="1290" max="1290" width="45.875" style="2940" customWidth="1"/>
    <col min="1291" max="1291" width="10.625" style="2940" customWidth="1"/>
    <col min="1292" max="1292" width="14.375" style="2940" customWidth="1"/>
    <col min="1293" max="1293" width="6.25" style="2940" customWidth="1"/>
    <col min="1294" max="1294" width="15" style="2940" customWidth="1"/>
    <col min="1295" max="1536" width="9" style="2940"/>
    <col min="1537" max="1537" width="37.625" style="2940" customWidth="1"/>
    <col min="1538" max="1538" width="6.25" style="2940" customWidth="1"/>
    <col min="1539" max="1539" width="13.875" style="2940" customWidth="1"/>
    <col min="1540" max="1540" width="7.875" style="2940" customWidth="1"/>
    <col min="1541" max="1542" width="13.875" style="2940" customWidth="1"/>
    <col min="1543" max="1543" width="39.5" style="2940" customWidth="1"/>
    <col min="1544" max="1545" width="9" style="2940" customWidth="1"/>
    <col min="1546" max="1546" width="45.875" style="2940" customWidth="1"/>
    <col min="1547" max="1547" width="10.625" style="2940" customWidth="1"/>
    <col min="1548" max="1548" width="14.375" style="2940" customWidth="1"/>
    <col min="1549" max="1549" width="6.25" style="2940" customWidth="1"/>
    <col min="1550" max="1550" width="15" style="2940" customWidth="1"/>
    <col min="1551" max="1792" width="9" style="2940"/>
    <col min="1793" max="1793" width="37.625" style="2940" customWidth="1"/>
    <col min="1794" max="1794" width="6.25" style="2940" customWidth="1"/>
    <col min="1795" max="1795" width="13.875" style="2940" customWidth="1"/>
    <col min="1796" max="1796" width="7.875" style="2940" customWidth="1"/>
    <col min="1797" max="1798" width="13.875" style="2940" customWidth="1"/>
    <col min="1799" max="1799" width="39.5" style="2940" customWidth="1"/>
    <col min="1800" max="1801" width="9" style="2940" customWidth="1"/>
    <col min="1802" max="1802" width="45.875" style="2940" customWidth="1"/>
    <col min="1803" max="1803" width="10.625" style="2940" customWidth="1"/>
    <col min="1804" max="1804" width="14.375" style="2940" customWidth="1"/>
    <col min="1805" max="1805" width="6.25" style="2940" customWidth="1"/>
    <col min="1806" max="1806" width="15" style="2940" customWidth="1"/>
    <col min="1807" max="2048" width="9" style="2940"/>
    <col min="2049" max="2049" width="37.625" style="2940" customWidth="1"/>
    <col min="2050" max="2050" width="6.25" style="2940" customWidth="1"/>
    <col min="2051" max="2051" width="13.875" style="2940" customWidth="1"/>
    <col min="2052" max="2052" width="7.875" style="2940" customWidth="1"/>
    <col min="2053" max="2054" width="13.875" style="2940" customWidth="1"/>
    <col min="2055" max="2055" width="39.5" style="2940" customWidth="1"/>
    <col min="2056" max="2057" width="9" style="2940" customWidth="1"/>
    <col min="2058" max="2058" width="45.875" style="2940" customWidth="1"/>
    <col min="2059" max="2059" width="10.625" style="2940" customWidth="1"/>
    <col min="2060" max="2060" width="14.375" style="2940" customWidth="1"/>
    <col min="2061" max="2061" width="6.25" style="2940" customWidth="1"/>
    <col min="2062" max="2062" width="15" style="2940" customWidth="1"/>
    <col min="2063" max="2304" width="9" style="2940"/>
    <col min="2305" max="2305" width="37.625" style="2940" customWidth="1"/>
    <col min="2306" max="2306" width="6.25" style="2940" customWidth="1"/>
    <col min="2307" max="2307" width="13.875" style="2940" customWidth="1"/>
    <col min="2308" max="2308" width="7.875" style="2940" customWidth="1"/>
    <col min="2309" max="2310" width="13.875" style="2940" customWidth="1"/>
    <col min="2311" max="2311" width="39.5" style="2940" customWidth="1"/>
    <col min="2312" max="2313" width="9" style="2940" customWidth="1"/>
    <col min="2314" max="2314" width="45.875" style="2940" customWidth="1"/>
    <col min="2315" max="2315" width="10.625" style="2940" customWidth="1"/>
    <col min="2316" max="2316" width="14.375" style="2940" customWidth="1"/>
    <col min="2317" max="2317" width="6.25" style="2940" customWidth="1"/>
    <col min="2318" max="2318" width="15" style="2940" customWidth="1"/>
    <col min="2319" max="2560" width="9" style="2940"/>
    <col min="2561" max="2561" width="37.625" style="2940" customWidth="1"/>
    <col min="2562" max="2562" width="6.25" style="2940" customWidth="1"/>
    <col min="2563" max="2563" width="13.875" style="2940" customWidth="1"/>
    <col min="2564" max="2564" width="7.875" style="2940" customWidth="1"/>
    <col min="2565" max="2566" width="13.875" style="2940" customWidth="1"/>
    <col min="2567" max="2567" width="39.5" style="2940" customWidth="1"/>
    <col min="2568" max="2569" width="9" style="2940" customWidth="1"/>
    <col min="2570" max="2570" width="45.875" style="2940" customWidth="1"/>
    <col min="2571" max="2571" width="10.625" style="2940" customWidth="1"/>
    <col min="2572" max="2572" width="14.375" style="2940" customWidth="1"/>
    <col min="2573" max="2573" width="6.25" style="2940" customWidth="1"/>
    <col min="2574" max="2574" width="15" style="2940" customWidth="1"/>
    <col min="2575" max="2816" width="9" style="2940"/>
    <col min="2817" max="2817" width="37.625" style="2940" customWidth="1"/>
    <col min="2818" max="2818" width="6.25" style="2940" customWidth="1"/>
    <col min="2819" max="2819" width="13.875" style="2940" customWidth="1"/>
    <col min="2820" max="2820" width="7.875" style="2940" customWidth="1"/>
    <col min="2821" max="2822" width="13.875" style="2940" customWidth="1"/>
    <col min="2823" max="2823" width="39.5" style="2940" customWidth="1"/>
    <col min="2824" max="2825" width="9" style="2940" customWidth="1"/>
    <col min="2826" max="2826" width="45.875" style="2940" customWidth="1"/>
    <col min="2827" max="2827" width="10.625" style="2940" customWidth="1"/>
    <col min="2828" max="2828" width="14.375" style="2940" customWidth="1"/>
    <col min="2829" max="2829" width="6.25" style="2940" customWidth="1"/>
    <col min="2830" max="2830" width="15" style="2940" customWidth="1"/>
    <col min="2831" max="3072" width="9" style="2940"/>
    <col min="3073" max="3073" width="37.625" style="2940" customWidth="1"/>
    <col min="3074" max="3074" width="6.25" style="2940" customWidth="1"/>
    <col min="3075" max="3075" width="13.875" style="2940" customWidth="1"/>
    <col min="3076" max="3076" width="7.875" style="2940" customWidth="1"/>
    <col min="3077" max="3078" width="13.875" style="2940" customWidth="1"/>
    <col min="3079" max="3079" width="39.5" style="2940" customWidth="1"/>
    <col min="3080" max="3081" width="9" style="2940" customWidth="1"/>
    <col min="3082" max="3082" width="45.875" style="2940" customWidth="1"/>
    <col min="3083" max="3083" width="10.625" style="2940" customWidth="1"/>
    <col min="3084" max="3084" width="14.375" style="2940" customWidth="1"/>
    <col min="3085" max="3085" width="6.25" style="2940" customWidth="1"/>
    <col min="3086" max="3086" width="15" style="2940" customWidth="1"/>
    <col min="3087" max="3328" width="9" style="2940"/>
    <col min="3329" max="3329" width="37.625" style="2940" customWidth="1"/>
    <col min="3330" max="3330" width="6.25" style="2940" customWidth="1"/>
    <col min="3331" max="3331" width="13.875" style="2940" customWidth="1"/>
    <col min="3332" max="3332" width="7.875" style="2940" customWidth="1"/>
    <col min="3333" max="3334" width="13.875" style="2940" customWidth="1"/>
    <col min="3335" max="3335" width="39.5" style="2940" customWidth="1"/>
    <col min="3336" max="3337" width="9" style="2940" customWidth="1"/>
    <col min="3338" max="3338" width="45.875" style="2940" customWidth="1"/>
    <col min="3339" max="3339" width="10.625" style="2940" customWidth="1"/>
    <col min="3340" max="3340" width="14.375" style="2940" customWidth="1"/>
    <col min="3341" max="3341" width="6.25" style="2940" customWidth="1"/>
    <col min="3342" max="3342" width="15" style="2940" customWidth="1"/>
    <col min="3343" max="3584" width="9" style="2940"/>
    <col min="3585" max="3585" width="37.625" style="2940" customWidth="1"/>
    <col min="3586" max="3586" width="6.25" style="2940" customWidth="1"/>
    <col min="3587" max="3587" width="13.875" style="2940" customWidth="1"/>
    <col min="3588" max="3588" width="7.875" style="2940" customWidth="1"/>
    <col min="3589" max="3590" width="13.875" style="2940" customWidth="1"/>
    <col min="3591" max="3591" width="39.5" style="2940" customWidth="1"/>
    <col min="3592" max="3593" width="9" style="2940" customWidth="1"/>
    <col min="3594" max="3594" width="45.875" style="2940" customWidth="1"/>
    <col min="3595" max="3595" width="10.625" style="2940" customWidth="1"/>
    <col min="3596" max="3596" width="14.375" style="2940" customWidth="1"/>
    <col min="3597" max="3597" width="6.25" style="2940" customWidth="1"/>
    <col min="3598" max="3598" width="15" style="2940" customWidth="1"/>
    <col min="3599" max="3840" width="9" style="2940"/>
    <col min="3841" max="3841" width="37.625" style="2940" customWidth="1"/>
    <col min="3842" max="3842" width="6.25" style="2940" customWidth="1"/>
    <col min="3843" max="3843" width="13.875" style="2940" customWidth="1"/>
    <col min="3844" max="3844" width="7.875" style="2940" customWidth="1"/>
    <col min="3845" max="3846" width="13.875" style="2940" customWidth="1"/>
    <col min="3847" max="3847" width="39.5" style="2940" customWidth="1"/>
    <col min="3848" max="3849" width="9" style="2940" customWidth="1"/>
    <col min="3850" max="3850" width="45.875" style="2940" customWidth="1"/>
    <col min="3851" max="3851" width="10.625" style="2940" customWidth="1"/>
    <col min="3852" max="3852" width="14.375" style="2940" customWidth="1"/>
    <col min="3853" max="3853" width="6.25" style="2940" customWidth="1"/>
    <col min="3854" max="3854" width="15" style="2940" customWidth="1"/>
    <col min="3855" max="4096" width="9" style="2940"/>
    <col min="4097" max="4097" width="37.625" style="2940" customWidth="1"/>
    <col min="4098" max="4098" width="6.25" style="2940" customWidth="1"/>
    <col min="4099" max="4099" width="13.875" style="2940" customWidth="1"/>
    <col min="4100" max="4100" width="7.875" style="2940" customWidth="1"/>
    <col min="4101" max="4102" width="13.875" style="2940" customWidth="1"/>
    <col min="4103" max="4103" width="39.5" style="2940" customWidth="1"/>
    <col min="4104" max="4105" width="9" style="2940" customWidth="1"/>
    <col min="4106" max="4106" width="45.875" style="2940" customWidth="1"/>
    <col min="4107" max="4107" width="10.625" style="2940" customWidth="1"/>
    <col min="4108" max="4108" width="14.375" style="2940" customWidth="1"/>
    <col min="4109" max="4109" width="6.25" style="2940" customWidth="1"/>
    <col min="4110" max="4110" width="15" style="2940" customWidth="1"/>
    <col min="4111" max="4352" width="9" style="2940"/>
    <col min="4353" max="4353" width="37.625" style="2940" customWidth="1"/>
    <col min="4354" max="4354" width="6.25" style="2940" customWidth="1"/>
    <col min="4355" max="4355" width="13.875" style="2940" customWidth="1"/>
    <col min="4356" max="4356" width="7.875" style="2940" customWidth="1"/>
    <col min="4357" max="4358" width="13.875" style="2940" customWidth="1"/>
    <col min="4359" max="4359" width="39.5" style="2940" customWidth="1"/>
    <col min="4360" max="4361" width="9" style="2940" customWidth="1"/>
    <col min="4362" max="4362" width="45.875" style="2940" customWidth="1"/>
    <col min="4363" max="4363" width="10.625" style="2940" customWidth="1"/>
    <col min="4364" max="4364" width="14.375" style="2940" customWidth="1"/>
    <col min="4365" max="4365" width="6.25" style="2940" customWidth="1"/>
    <col min="4366" max="4366" width="15" style="2940" customWidth="1"/>
    <col min="4367" max="4608" width="9" style="2940"/>
    <col min="4609" max="4609" width="37.625" style="2940" customWidth="1"/>
    <col min="4610" max="4610" width="6.25" style="2940" customWidth="1"/>
    <col min="4611" max="4611" width="13.875" style="2940" customWidth="1"/>
    <col min="4612" max="4612" width="7.875" style="2940" customWidth="1"/>
    <col min="4613" max="4614" width="13.875" style="2940" customWidth="1"/>
    <col min="4615" max="4615" width="39.5" style="2940" customWidth="1"/>
    <col min="4616" max="4617" width="9" style="2940" customWidth="1"/>
    <col min="4618" max="4618" width="45.875" style="2940" customWidth="1"/>
    <col min="4619" max="4619" width="10.625" style="2940" customWidth="1"/>
    <col min="4620" max="4620" width="14.375" style="2940" customWidth="1"/>
    <col min="4621" max="4621" width="6.25" style="2940" customWidth="1"/>
    <col min="4622" max="4622" width="15" style="2940" customWidth="1"/>
    <col min="4623" max="4864" width="9" style="2940"/>
    <col min="4865" max="4865" width="37.625" style="2940" customWidth="1"/>
    <col min="4866" max="4866" width="6.25" style="2940" customWidth="1"/>
    <col min="4867" max="4867" width="13.875" style="2940" customWidth="1"/>
    <col min="4868" max="4868" width="7.875" style="2940" customWidth="1"/>
    <col min="4869" max="4870" width="13.875" style="2940" customWidth="1"/>
    <col min="4871" max="4871" width="39.5" style="2940" customWidth="1"/>
    <col min="4872" max="4873" width="9" style="2940" customWidth="1"/>
    <col min="4874" max="4874" width="45.875" style="2940" customWidth="1"/>
    <col min="4875" max="4875" width="10.625" style="2940" customWidth="1"/>
    <col min="4876" max="4876" width="14.375" style="2940" customWidth="1"/>
    <col min="4877" max="4877" width="6.25" style="2940" customWidth="1"/>
    <col min="4878" max="4878" width="15" style="2940" customWidth="1"/>
    <col min="4879" max="5120" width="9" style="2940"/>
    <col min="5121" max="5121" width="37.625" style="2940" customWidth="1"/>
    <col min="5122" max="5122" width="6.25" style="2940" customWidth="1"/>
    <col min="5123" max="5123" width="13.875" style="2940" customWidth="1"/>
    <col min="5124" max="5124" width="7.875" style="2940" customWidth="1"/>
    <col min="5125" max="5126" width="13.875" style="2940" customWidth="1"/>
    <col min="5127" max="5127" width="39.5" style="2940" customWidth="1"/>
    <col min="5128" max="5129" width="9" style="2940" customWidth="1"/>
    <col min="5130" max="5130" width="45.875" style="2940" customWidth="1"/>
    <col min="5131" max="5131" width="10.625" style="2940" customWidth="1"/>
    <col min="5132" max="5132" width="14.375" style="2940" customWidth="1"/>
    <col min="5133" max="5133" width="6.25" style="2940" customWidth="1"/>
    <col min="5134" max="5134" width="15" style="2940" customWidth="1"/>
    <col min="5135" max="5376" width="9" style="2940"/>
    <col min="5377" max="5377" width="37.625" style="2940" customWidth="1"/>
    <col min="5378" max="5378" width="6.25" style="2940" customWidth="1"/>
    <col min="5379" max="5379" width="13.875" style="2940" customWidth="1"/>
    <col min="5380" max="5380" width="7.875" style="2940" customWidth="1"/>
    <col min="5381" max="5382" width="13.875" style="2940" customWidth="1"/>
    <col min="5383" max="5383" width="39.5" style="2940" customWidth="1"/>
    <col min="5384" max="5385" width="9" style="2940" customWidth="1"/>
    <col min="5386" max="5386" width="45.875" style="2940" customWidth="1"/>
    <col min="5387" max="5387" width="10.625" style="2940" customWidth="1"/>
    <col min="5388" max="5388" width="14.375" style="2940" customWidth="1"/>
    <col min="5389" max="5389" width="6.25" style="2940" customWidth="1"/>
    <col min="5390" max="5390" width="15" style="2940" customWidth="1"/>
    <col min="5391" max="5632" width="9" style="2940"/>
    <col min="5633" max="5633" width="37.625" style="2940" customWidth="1"/>
    <col min="5634" max="5634" width="6.25" style="2940" customWidth="1"/>
    <col min="5635" max="5635" width="13.875" style="2940" customWidth="1"/>
    <col min="5636" max="5636" width="7.875" style="2940" customWidth="1"/>
    <col min="5637" max="5638" width="13.875" style="2940" customWidth="1"/>
    <col min="5639" max="5639" width="39.5" style="2940" customWidth="1"/>
    <col min="5640" max="5641" width="9" style="2940" customWidth="1"/>
    <col min="5642" max="5642" width="45.875" style="2940" customWidth="1"/>
    <col min="5643" max="5643" width="10.625" style="2940" customWidth="1"/>
    <col min="5644" max="5644" width="14.375" style="2940" customWidth="1"/>
    <col min="5645" max="5645" width="6.25" style="2940" customWidth="1"/>
    <col min="5646" max="5646" width="15" style="2940" customWidth="1"/>
    <col min="5647" max="5888" width="9" style="2940"/>
    <col min="5889" max="5889" width="37.625" style="2940" customWidth="1"/>
    <col min="5890" max="5890" width="6.25" style="2940" customWidth="1"/>
    <col min="5891" max="5891" width="13.875" style="2940" customWidth="1"/>
    <col min="5892" max="5892" width="7.875" style="2940" customWidth="1"/>
    <col min="5893" max="5894" width="13.875" style="2940" customWidth="1"/>
    <col min="5895" max="5895" width="39.5" style="2940" customWidth="1"/>
    <col min="5896" max="5897" width="9" style="2940" customWidth="1"/>
    <col min="5898" max="5898" width="45.875" style="2940" customWidth="1"/>
    <col min="5899" max="5899" width="10.625" style="2940" customWidth="1"/>
    <col min="5900" max="5900" width="14.375" style="2940" customWidth="1"/>
    <col min="5901" max="5901" width="6.25" style="2940" customWidth="1"/>
    <col min="5902" max="5902" width="15" style="2940" customWidth="1"/>
    <col min="5903" max="6144" width="9" style="2940"/>
    <col min="6145" max="6145" width="37.625" style="2940" customWidth="1"/>
    <col min="6146" max="6146" width="6.25" style="2940" customWidth="1"/>
    <col min="6147" max="6147" width="13.875" style="2940" customWidth="1"/>
    <col min="6148" max="6148" width="7.875" style="2940" customWidth="1"/>
    <col min="6149" max="6150" width="13.875" style="2940" customWidth="1"/>
    <col min="6151" max="6151" width="39.5" style="2940" customWidth="1"/>
    <col min="6152" max="6153" width="9" style="2940" customWidth="1"/>
    <col min="6154" max="6154" width="45.875" style="2940" customWidth="1"/>
    <col min="6155" max="6155" width="10.625" style="2940" customWidth="1"/>
    <col min="6156" max="6156" width="14.375" style="2940" customWidth="1"/>
    <col min="6157" max="6157" width="6.25" style="2940" customWidth="1"/>
    <col min="6158" max="6158" width="15" style="2940" customWidth="1"/>
    <col min="6159" max="6400" width="9" style="2940"/>
    <col min="6401" max="6401" width="37.625" style="2940" customWidth="1"/>
    <col min="6402" max="6402" width="6.25" style="2940" customWidth="1"/>
    <col min="6403" max="6403" width="13.875" style="2940" customWidth="1"/>
    <col min="6404" max="6404" width="7.875" style="2940" customWidth="1"/>
    <col min="6405" max="6406" width="13.875" style="2940" customWidth="1"/>
    <col min="6407" max="6407" width="39.5" style="2940" customWidth="1"/>
    <col min="6408" max="6409" width="9" style="2940" customWidth="1"/>
    <col min="6410" max="6410" width="45.875" style="2940" customWidth="1"/>
    <col min="6411" max="6411" width="10.625" style="2940" customWidth="1"/>
    <col min="6412" max="6412" width="14.375" style="2940" customWidth="1"/>
    <col min="6413" max="6413" width="6.25" style="2940" customWidth="1"/>
    <col min="6414" max="6414" width="15" style="2940" customWidth="1"/>
    <col min="6415" max="6656" width="9" style="2940"/>
    <col min="6657" max="6657" width="37.625" style="2940" customWidth="1"/>
    <col min="6658" max="6658" width="6.25" style="2940" customWidth="1"/>
    <col min="6659" max="6659" width="13.875" style="2940" customWidth="1"/>
    <col min="6660" max="6660" width="7.875" style="2940" customWidth="1"/>
    <col min="6661" max="6662" width="13.875" style="2940" customWidth="1"/>
    <col min="6663" max="6663" width="39.5" style="2940" customWidth="1"/>
    <col min="6664" max="6665" width="9" style="2940" customWidth="1"/>
    <col min="6666" max="6666" width="45.875" style="2940" customWidth="1"/>
    <col min="6667" max="6667" width="10.625" style="2940" customWidth="1"/>
    <col min="6668" max="6668" width="14.375" style="2940" customWidth="1"/>
    <col min="6669" max="6669" width="6.25" style="2940" customWidth="1"/>
    <col min="6670" max="6670" width="15" style="2940" customWidth="1"/>
    <col min="6671" max="6912" width="9" style="2940"/>
    <col min="6913" max="6913" width="37.625" style="2940" customWidth="1"/>
    <col min="6914" max="6914" width="6.25" style="2940" customWidth="1"/>
    <col min="6915" max="6915" width="13.875" style="2940" customWidth="1"/>
    <col min="6916" max="6916" width="7.875" style="2940" customWidth="1"/>
    <col min="6917" max="6918" width="13.875" style="2940" customWidth="1"/>
    <col min="6919" max="6919" width="39.5" style="2940" customWidth="1"/>
    <col min="6920" max="6921" width="9" style="2940" customWidth="1"/>
    <col min="6922" max="6922" width="45.875" style="2940" customWidth="1"/>
    <col min="6923" max="6923" width="10.625" style="2940" customWidth="1"/>
    <col min="6924" max="6924" width="14.375" style="2940" customWidth="1"/>
    <col min="6925" max="6925" width="6.25" style="2940" customWidth="1"/>
    <col min="6926" max="6926" width="15" style="2940" customWidth="1"/>
    <col min="6927" max="7168" width="9" style="2940"/>
    <col min="7169" max="7169" width="37.625" style="2940" customWidth="1"/>
    <col min="7170" max="7170" width="6.25" style="2940" customWidth="1"/>
    <col min="7171" max="7171" width="13.875" style="2940" customWidth="1"/>
    <col min="7172" max="7172" width="7.875" style="2940" customWidth="1"/>
    <col min="7173" max="7174" width="13.875" style="2940" customWidth="1"/>
    <col min="7175" max="7175" width="39.5" style="2940" customWidth="1"/>
    <col min="7176" max="7177" width="9" style="2940" customWidth="1"/>
    <col min="7178" max="7178" width="45.875" style="2940" customWidth="1"/>
    <col min="7179" max="7179" width="10.625" style="2940" customWidth="1"/>
    <col min="7180" max="7180" width="14.375" style="2940" customWidth="1"/>
    <col min="7181" max="7181" width="6.25" style="2940" customWidth="1"/>
    <col min="7182" max="7182" width="15" style="2940" customWidth="1"/>
    <col min="7183" max="7424" width="9" style="2940"/>
    <col min="7425" max="7425" width="37.625" style="2940" customWidth="1"/>
    <col min="7426" max="7426" width="6.25" style="2940" customWidth="1"/>
    <col min="7427" max="7427" width="13.875" style="2940" customWidth="1"/>
    <col min="7428" max="7428" width="7.875" style="2940" customWidth="1"/>
    <col min="7429" max="7430" width="13.875" style="2940" customWidth="1"/>
    <col min="7431" max="7431" width="39.5" style="2940" customWidth="1"/>
    <col min="7432" max="7433" width="9" style="2940" customWidth="1"/>
    <col min="7434" max="7434" width="45.875" style="2940" customWidth="1"/>
    <col min="7435" max="7435" width="10.625" style="2940" customWidth="1"/>
    <col min="7436" max="7436" width="14.375" style="2940" customWidth="1"/>
    <col min="7437" max="7437" width="6.25" style="2940" customWidth="1"/>
    <col min="7438" max="7438" width="15" style="2940" customWidth="1"/>
    <col min="7439" max="7680" width="9" style="2940"/>
    <col min="7681" max="7681" width="37.625" style="2940" customWidth="1"/>
    <col min="7682" max="7682" width="6.25" style="2940" customWidth="1"/>
    <col min="7683" max="7683" width="13.875" style="2940" customWidth="1"/>
    <col min="7684" max="7684" width="7.875" style="2940" customWidth="1"/>
    <col min="7685" max="7686" width="13.875" style="2940" customWidth="1"/>
    <col min="7687" max="7687" width="39.5" style="2940" customWidth="1"/>
    <col min="7688" max="7689" width="9" style="2940" customWidth="1"/>
    <col min="7690" max="7690" width="45.875" style="2940" customWidth="1"/>
    <col min="7691" max="7691" width="10.625" style="2940" customWidth="1"/>
    <col min="7692" max="7692" width="14.375" style="2940" customWidth="1"/>
    <col min="7693" max="7693" width="6.25" style="2940" customWidth="1"/>
    <col min="7694" max="7694" width="15" style="2940" customWidth="1"/>
    <col min="7695" max="7936" width="9" style="2940"/>
    <col min="7937" max="7937" width="37.625" style="2940" customWidth="1"/>
    <col min="7938" max="7938" width="6.25" style="2940" customWidth="1"/>
    <col min="7939" max="7939" width="13.875" style="2940" customWidth="1"/>
    <col min="7940" max="7940" width="7.875" style="2940" customWidth="1"/>
    <col min="7941" max="7942" width="13.875" style="2940" customWidth="1"/>
    <col min="7943" max="7943" width="39.5" style="2940" customWidth="1"/>
    <col min="7944" max="7945" width="9" style="2940" customWidth="1"/>
    <col min="7946" max="7946" width="45.875" style="2940" customWidth="1"/>
    <col min="7947" max="7947" width="10.625" style="2940" customWidth="1"/>
    <col min="7948" max="7948" width="14.375" style="2940" customWidth="1"/>
    <col min="7949" max="7949" width="6.25" style="2940" customWidth="1"/>
    <col min="7950" max="7950" width="15" style="2940" customWidth="1"/>
    <col min="7951" max="8192" width="9" style="2940"/>
    <col min="8193" max="8193" width="37.625" style="2940" customWidth="1"/>
    <col min="8194" max="8194" width="6.25" style="2940" customWidth="1"/>
    <col min="8195" max="8195" width="13.875" style="2940" customWidth="1"/>
    <col min="8196" max="8196" width="7.875" style="2940" customWidth="1"/>
    <col min="8197" max="8198" width="13.875" style="2940" customWidth="1"/>
    <col min="8199" max="8199" width="39.5" style="2940" customWidth="1"/>
    <col min="8200" max="8201" width="9" style="2940" customWidth="1"/>
    <col min="8202" max="8202" width="45.875" style="2940" customWidth="1"/>
    <col min="8203" max="8203" width="10.625" style="2940" customWidth="1"/>
    <col min="8204" max="8204" width="14.375" style="2940" customWidth="1"/>
    <col min="8205" max="8205" width="6.25" style="2940" customWidth="1"/>
    <col min="8206" max="8206" width="15" style="2940" customWidth="1"/>
    <col min="8207" max="8448" width="9" style="2940"/>
    <col min="8449" max="8449" width="37.625" style="2940" customWidth="1"/>
    <col min="8450" max="8450" width="6.25" style="2940" customWidth="1"/>
    <col min="8451" max="8451" width="13.875" style="2940" customWidth="1"/>
    <col min="8452" max="8452" width="7.875" style="2940" customWidth="1"/>
    <col min="8453" max="8454" width="13.875" style="2940" customWidth="1"/>
    <col min="8455" max="8455" width="39.5" style="2940" customWidth="1"/>
    <col min="8456" max="8457" width="9" style="2940" customWidth="1"/>
    <col min="8458" max="8458" width="45.875" style="2940" customWidth="1"/>
    <col min="8459" max="8459" width="10.625" style="2940" customWidth="1"/>
    <col min="8460" max="8460" width="14.375" style="2940" customWidth="1"/>
    <col min="8461" max="8461" width="6.25" style="2940" customWidth="1"/>
    <col min="8462" max="8462" width="15" style="2940" customWidth="1"/>
    <col min="8463" max="8704" width="9" style="2940"/>
    <col min="8705" max="8705" width="37.625" style="2940" customWidth="1"/>
    <col min="8706" max="8706" width="6.25" style="2940" customWidth="1"/>
    <col min="8707" max="8707" width="13.875" style="2940" customWidth="1"/>
    <col min="8708" max="8708" width="7.875" style="2940" customWidth="1"/>
    <col min="8709" max="8710" width="13.875" style="2940" customWidth="1"/>
    <col min="8711" max="8711" width="39.5" style="2940" customWidth="1"/>
    <col min="8712" max="8713" width="9" style="2940" customWidth="1"/>
    <col min="8714" max="8714" width="45.875" style="2940" customWidth="1"/>
    <col min="8715" max="8715" width="10.625" style="2940" customWidth="1"/>
    <col min="8716" max="8716" width="14.375" style="2940" customWidth="1"/>
    <col min="8717" max="8717" width="6.25" style="2940" customWidth="1"/>
    <col min="8718" max="8718" width="15" style="2940" customWidth="1"/>
    <col min="8719" max="8960" width="9" style="2940"/>
    <col min="8961" max="8961" width="37.625" style="2940" customWidth="1"/>
    <col min="8962" max="8962" width="6.25" style="2940" customWidth="1"/>
    <col min="8963" max="8963" width="13.875" style="2940" customWidth="1"/>
    <col min="8964" max="8964" width="7.875" style="2940" customWidth="1"/>
    <col min="8965" max="8966" width="13.875" style="2940" customWidth="1"/>
    <col min="8967" max="8967" width="39.5" style="2940" customWidth="1"/>
    <col min="8968" max="8969" width="9" style="2940" customWidth="1"/>
    <col min="8970" max="8970" width="45.875" style="2940" customWidth="1"/>
    <col min="8971" max="8971" width="10.625" style="2940" customWidth="1"/>
    <col min="8972" max="8972" width="14.375" style="2940" customWidth="1"/>
    <col min="8973" max="8973" width="6.25" style="2940" customWidth="1"/>
    <col min="8974" max="8974" width="15" style="2940" customWidth="1"/>
    <col min="8975" max="9216" width="9" style="2940"/>
    <col min="9217" max="9217" width="37.625" style="2940" customWidth="1"/>
    <col min="9218" max="9218" width="6.25" style="2940" customWidth="1"/>
    <col min="9219" max="9219" width="13.875" style="2940" customWidth="1"/>
    <col min="9220" max="9220" width="7.875" style="2940" customWidth="1"/>
    <col min="9221" max="9222" width="13.875" style="2940" customWidth="1"/>
    <col min="9223" max="9223" width="39.5" style="2940" customWidth="1"/>
    <col min="9224" max="9225" width="9" style="2940" customWidth="1"/>
    <col min="9226" max="9226" width="45.875" style="2940" customWidth="1"/>
    <col min="9227" max="9227" width="10.625" style="2940" customWidth="1"/>
    <col min="9228" max="9228" width="14.375" style="2940" customWidth="1"/>
    <col min="9229" max="9229" width="6.25" style="2940" customWidth="1"/>
    <col min="9230" max="9230" width="15" style="2940" customWidth="1"/>
    <col min="9231" max="9472" width="9" style="2940"/>
    <col min="9473" max="9473" width="37.625" style="2940" customWidth="1"/>
    <col min="9474" max="9474" width="6.25" style="2940" customWidth="1"/>
    <col min="9475" max="9475" width="13.875" style="2940" customWidth="1"/>
    <col min="9476" max="9476" width="7.875" style="2940" customWidth="1"/>
    <col min="9477" max="9478" width="13.875" style="2940" customWidth="1"/>
    <col min="9479" max="9479" width="39.5" style="2940" customWidth="1"/>
    <col min="9480" max="9481" width="9" style="2940" customWidth="1"/>
    <col min="9482" max="9482" width="45.875" style="2940" customWidth="1"/>
    <col min="9483" max="9483" width="10.625" style="2940" customWidth="1"/>
    <col min="9484" max="9484" width="14.375" style="2940" customWidth="1"/>
    <col min="9485" max="9485" width="6.25" style="2940" customWidth="1"/>
    <col min="9486" max="9486" width="15" style="2940" customWidth="1"/>
    <col min="9487" max="9728" width="9" style="2940"/>
    <col min="9729" max="9729" width="37.625" style="2940" customWidth="1"/>
    <col min="9730" max="9730" width="6.25" style="2940" customWidth="1"/>
    <col min="9731" max="9731" width="13.875" style="2940" customWidth="1"/>
    <col min="9732" max="9732" width="7.875" style="2940" customWidth="1"/>
    <col min="9733" max="9734" width="13.875" style="2940" customWidth="1"/>
    <col min="9735" max="9735" width="39.5" style="2940" customWidth="1"/>
    <col min="9736" max="9737" width="9" style="2940" customWidth="1"/>
    <col min="9738" max="9738" width="45.875" style="2940" customWidth="1"/>
    <col min="9739" max="9739" width="10.625" style="2940" customWidth="1"/>
    <col min="9740" max="9740" width="14.375" style="2940" customWidth="1"/>
    <col min="9741" max="9741" width="6.25" style="2940" customWidth="1"/>
    <col min="9742" max="9742" width="15" style="2940" customWidth="1"/>
    <col min="9743" max="9984" width="9" style="2940"/>
    <col min="9985" max="9985" width="37.625" style="2940" customWidth="1"/>
    <col min="9986" max="9986" width="6.25" style="2940" customWidth="1"/>
    <col min="9987" max="9987" width="13.875" style="2940" customWidth="1"/>
    <col min="9988" max="9988" width="7.875" style="2940" customWidth="1"/>
    <col min="9989" max="9990" width="13.875" style="2940" customWidth="1"/>
    <col min="9991" max="9991" width="39.5" style="2940" customWidth="1"/>
    <col min="9992" max="9993" width="9" style="2940" customWidth="1"/>
    <col min="9994" max="9994" width="45.875" style="2940" customWidth="1"/>
    <col min="9995" max="9995" width="10.625" style="2940" customWidth="1"/>
    <col min="9996" max="9996" width="14.375" style="2940" customWidth="1"/>
    <col min="9997" max="9997" width="6.25" style="2940" customWidth="1"/>
    <col min="9998" max="9998" width="15" style="2940" customWidth="1"/>
    <col min="9999" max="10240" width="9" style="2940"/>
    <col min="10241" max="10241" width="37.625" style="2940" customWidth="1"/>
    <col min="10242" max="10242" width="6.25" style="2940" customWidth="1"/>
    <col min="10243" max="10243" width="13.875" style="2940" customWidth="1"/>
    <col min="10244" max="10244" width="7.875" style="2940" customWidth="1"/>
    <col min="10245" max="10246" width="13.875" style="2940" customWidth="1"/>
    <col min="10247" max="10247" width="39.5" style="2940" customWidth="1"/>
    <col min="10248" max="10249" width="9" style="2940" customWidth="1"/>
    <col min="10250" max="10250" width="45.875" style="2940" customWidth="1"/>
    <col min="10251" max="10251" width="10.625" style="2940" customWidth="1"/>
    <col min="10252" max="10252" width="14.375" style="2940" customWidth="1"/>
    <col min="10253" max="10253" width="6.25" style="2940" customWidth="1"/>
    <col min="10254" max="10254" width="15" style="2940" customWidth="1"/>
    <col min="10255" max="10496" width="9" style="2940"/>
    <col min="10497" max="10497" width="37.625" style="2940" customWidth="1"/>
    <col min="10498" max="10498" width="6.25" style="2940" customWidth="1"/>
    <col min="10499" max="10499" width="13.875" style="2940" customWidth="1"/>
    <col min="10500" max="10500" width="7.875" style="2940" customWidth="1"/>
    <col min="10501" max="10502" width="13.875" style="2940" customWidth="1"/>
    <col min="10503" max="10503" width="39.5" style="2940" customWidth="1"/>
    <col min="10504" max="10505" width="9" style="2940" customWidth="1"/>
    <col min="10506" max="10506" width="45.875" style="2940" customWidth="1"/>
    <col min="10507" max="10507" width="10.625" style="2940" customWidth="1"/>
    <col min="10508" max="10508" width="14.375" style="2940" customWidth="1"/>
    <col min="10509" max="10509" width="6.25" style="2940" customWidth="1"/>
    <col min="10510" max="10510" width="15" style="2940" customWidth="1"/>
    <col min="10511" max="10752" width="9" style="2940"/>
    <col min="10753" max="10753" width="37.625" style="2940" customWidth="1"/>
    <col min="10754" max="10754" width="6.25" style="2940" customWidth="1"/>
    <col min="10755" max="10755" width="13.875" style="2940" customWidth="1"/>
    <col min="10756" max="10756" width="7.875" style="2940" customWidth="1"/>
    <col min="10757" max="10758" width="13.875" style="2940" customWidth="1"/>
    <col min="10759" max="10759" width="39.5" style="2940" customWidth="1"/>
    <col min="10760" max="10761" width="9" style="2940" customWidth="1"/>
    <col min="10762" max="10762" width="45.875" style="2940" customWidth="1"/>
    <col min="10763" max="10763" width="10.625" style="2940" customWidth="1"/>
    <col min="10764" max="10764" width="14.375" style="2940" customWidth="1"/>
    <col min="10765" max="10765" width="6.25" style="2940" customWidth="1"/>
    <col min="10766" max="10766" width="15" style="2940" customWidth="1"/>
    <col min="10767" max="11008" width="9" style="2940"/>
    <col min="11009" max="11009" width="37.625" style="2940" customWidth="1"/>
    <col min="11010" max="11010" width="6.25" style="2940" customWidth="1"/>
    <col min="11011" max="11011" width="13.875" style="2940" customWidth="1"/>
    <col min="11012" max="11012" width="7.875" style="2940" customWidth="1"/>
    <col min="11013" max="11014" width="13.875" style="2940" customWidth="1"/>
    <col min="11015" max="11015" width="39.5" style="2940" customWidth="1"/>
    <col min="11016" max="11017" width="9" style="2940" customWidth="1"/>
    <col min="11018" max="11018" width="45.875" style="2940" customWidth="1"/>
    <col min="11019" max="11019" width="10.625" style="2940" customWidth="1"/>
    <col min="11020" max="11020" width="14.375" style="2940" customWidth="1"/>
    <col min="11021" max="11021" width="6.25" style="2940" customWidth="1"/>
    <col min="11022" max="11022" width="15" style="2940" customWidth="1"/>
    <col min="11023" max="11264" width="9" style="2940"/>
    <col min="11265" max="11265" width="37.625" style="2940" customWidth="1"/>
    <col min="11266" max="11266" width="6.25" style="2940" customWidth="1"/>
    <col min="11267" max="11267" width="13.875" style="2940" customWidth="1"/>
    <col min="11268" max="11268" width="7.875" style="2940" customWidth="1"/>
    <col min="11269" max="11270" width="13.875" style="2940" customWidth="1"/>
    <col min="11271" max="11271" width="39.5" style="2940" customWidth="1"/>
    <col min="11272" max="11273" width="9" style="2940" customWidth="1"/>
    <col min="11274" max="11274" width="45.875" style="2940" customWidth="1"/>
    <col min="11275" max="11275" width="10.625" style="2940" customWidth="1"/>
    <col min="11276" max="11276" width="14.375" style="2940" customWidth="1"/>
    <col min="11277" max="11277" width="6.25" style="2940" customWidth="1"/>
    <col min="11278" max="11278" width="15" style="2940" customWidth="1"/>
    <col min="11279" max="11520" width="9" style="2940"/>
    <col min="11521" max="11521" width="37.625" style="2940" customWidth="1"/>
    <col min="11522" max="11522" width="6.25" style="2940" customWidth="1"/>
    <col min="11523" max="11523" width="13.875" style="2940" customWidth="1"/>
    <col min="11524" max="11524" width="7.875" style="2940" customWidth="1"/>
    <col min="11525" max="11526" width="13.875" style="2940" customWidth="1"/>
    <col min="11527" max="11527" width="39.5" style="2940" customWidth="1"/>
    <col min="11528" max="11529" width="9" style="2940" customWidth="1"/>
    <col min="11530" max="11530" width="45.875" style="2940" customWidth="1"/>
    <col min="11531" max="11531" width="10.625" style="2940" customWidth="1"/>
    <col min="11532" max="11532" width="14.375" style="2940" customWidth="1"/>
    <col min="11533" max="11533" width="6.25" style="2940" customWidth="1"/>
    <col min="11534" max="11534" width="15" style="2940" customWidth="1"/>
    <col min="11535" max="11776" width="9" style="2940"/>
    <col min="11777" max="11777" width="37.625" style="2940" customWidth="1"/>
    <col min="11778" max="11778" width="6.25" style="2940" customWidth="1"/>
    <col min="11779" max="11779" width="13.875" style="2940" customWidth="1"/>
    <col min="11780" max="11780" width="7.875" style="2940" customWidth="1"/>
    <col min="11781" max="11782" width="13.875" style="2940" customWidth="1"/>
    <col min="11783" max="11783" width="39.5" style="2940" customWidth="1"/>
    <col min="11784" max="11785" width="9" style="2940" customWidth="1"/>
    <col min="11786" max="11786" width="45.875" style="2940" customWidth="1"/>
    <col min="11787" max="11787" width="10.625" style="2940" customWidth="1"/>
    <col min="11788" max="11788" width="14.375" style="2940" customWidth="1"/>
    <col min="11789" max="11789" width="6.25" style="2940" customWidth="1"/>
    <col min="11790" max="11790" width="15" style="2940" customWidth="1"/>
    <col min="11791" max="12032" width="9" style="2940"/>
    <col min="12033" max="12033" width="37.625" style="2940" customWidth="1"/>
    <col min="12034" max="12034" width="6.25" style="2940" customWidth="1"/>
    <col min="12035" max="12035" width="13.875" style="2940" customWidth="1"/>
    <col min="12036" max="12036" width="7.875" style="2940" customWidth="1"/>
    <col min="12037" max="12038" width="13.875" style="2940" customWidth="1"/>
    <col min="12039" max="12039" width="39.5" style="2940" customWidth="1"/>
    <col min="12040" max="12041" width="9" style="2940" customWidth="1"/>
    <col min="12042" max="12042" width="45.875" style="2940" customWidth="1"/>
    <col min="12043" max="12043" width="10.625" style="2940" customWidth="1"/>
    <col min="12044" max="12044" width="14.375" style="2940" customWidth="1"/>
    <col min="12045" max="12045" width="6.25" style="2940" customWidth="1"/>
    <col min="12046" max="12046" width="15" style="2940" customWidth="1"/>
    <col min="12047" max="12288" width="9" style="2940"/>
    <col min="12289" max="12289" width="37.625" style="2940" customWidth="1"/>
    <col min="12290" max="12290" width="6.25" style="2940" customWidth="1"/>
    <col min="12291" max="12291" width="13.875" style="2940" customWidth="1"/>
    <col min="12292" max="12292" width="7.875" style="2940" customWidth="1"/>
    <col min="12293" max="12294" width="13.875" style="2940" customWidth="1"/>
    <col min="12295" max="12295" width="39.5" style="2940" customWidth="1"/>
    <col min="12296" max="12297" width="9" style="2940" customWidth="1"/>
    <col min="12298" max="12298" width="45.875" style="2940" customWidth="1"/>
    <col min="12299" max="12299" width="10.625" style="2940" customWidth="1"/>
    <col min="12300" max="12300" width="14.375" style="2940" customWidth="1"/>
    <col min="12301" max="12301" width="6.25" style="2940" customWidth="1"/>
    <col min="12302" max="12302" width="15" style="2940" customWidth="1"/>
    <col min="12303" max="12544" width="9" style="2940"/>
    <col min="12545" max="12545" width="37.625" style="2940" customWidth="1"/>
    <col min="12546" max="12546" width="6.25" style="2940" customWidth="1"/>
    <col min="12547" max="12547" width="13.875" style="2940" customWidth="1"/>
    <col min="12548" max="12548" width="7.875" style="2940" customWidth="1"/>
    <col min="12549" max="12550" width="13.875" style="2940" customWidth="1"/>
    <col min="12551" max="12551" width="39.5" style="2940" customWidth="1"/>
    <col min="12552" max="12553" width="9" style="2940" customWidth="1"/>
    <col min="12554" max="12554" width="45.875" style="2940" customWidth="1"/>
    <col min="12555" max="12555" width="10.625" style="2940" customWidth="1"/>
    <col min="12556" max="12556" width="14.375" style="2940" customWidth="1"/>
    <col min="12557" max="12557" width="6.25" style="2940" customWidth="1"/>
    <col min="12558" max="12558" width="15" style="2940" customWidth="1"/>
    <col min="12559" max="12800" width="9" style="2940"/>
    <col min="12801" max="12801" width="37.625" style="2940" customWidth="1"/>
    <col min="12802" max="12802" width="6.25" style="2940" customWidth="1"/>
    <col min="12803" max="12803" width="13.875" style="2940" customWidth="1"/>
    <col min="12804" max="12804" width="7.875" style="2940" customWidth="1"/>
    <col min="12805" max="12806" width="13.875" style="2940" customWidth="1"/>
    <col min="12807" max="12807" width="39.5" style="2940" customWidth="1"/>
    <col min="12808" max="12809" width="9" style="2940" customWidth="1"/>
    <col min="12810" max="12810" width="45.875" style="2940" customWidth="1"/>
    <col min="12811" max="12811" width="10.625" style="2940" customWidth="1"/>
    <col min="12812" max="12812" width="14.375" style="2940" customWidth="1"/>
    <col min="12813" max="12813" width="6.25" style="2940" customWidth="1"/>
    <col min="12814" max="12814" width="15" style="2940" customWidth="1"/>
    <col min="12815" max="13056" width="9" style="2940"/>
    <col min="13057" max="13057" width="37.625" style="2940" customWidth="1"/>
    <col min="13058" max="13058" width="6.25" style="2940" customWidth="1"/>
    <col min="13059" max="13059" width="13.875" style="2940" customWidth="1"/>
    <col min="13060" max="13060" width="7.875" style="2940" customWidth="1"/>
    <col min="13061" max="13062" width="13.875" style="2940" customWidth="1"/>
    <col min="13063" max="13063" width="39.5" style="2940" customWidth="1"/>
    <col min="13064" max="13065" width="9" style="2940" customWidth="1"/>
    <col min="13066" max="13066" width="45.875" style="2940" customWidth="1"/>
    <col min="13067" max="13067" width="10.625" style="2940" customWidth="1"/>
    <col min="13068" max="13068" width="14.375" style="2940" customWidth="1"/>
    <col min="13069" max="13069" width="6.25" style="2940" customWidth="1"/>
    <col min="13070" max="13070" width="15" style="2940" customWidth="1"/>
    <col min="13071" max="13312" width="9" style="2940"/>
    <col min="13313" max="13313" width="37.625" style="2940" customWidth="1"/>
    <col min="13314" max="13314" width="6.25" style="2940" customWidth="1"/>
    <col min="13315" max="13315" width="13.875" style="2940" customWidth="1"/>
    <col min="13316" max="13316" width="7.875" style="2940" customWidth="1"/>
    <col min="13317" max="13318" width="13.875" style="2940" customWidth="1"/>
    <col min="13319" max="13319" width="39.5" style="2940" customWidth="1"/>
    <col min="13320" max="13321" width="9" style="2940" customWidth="1"/>
    <col min="13322" max="13322" width="45.875" style="2940" customWidth="1"/>
    <col min="13323" max="13323" width="10.625" style="2940" customWidth="1"/>
    <col min="13324" max="13324" width="14.375" style="2940" customWidth="1"/>
    <col min="13325" max="13325" width="6.25" style="2940" customWidth="1"/>
    <col min="13326" max="13326" width="15" style="2940" customWidth="1"/>
    <col min="13327" max="13568" width="9" style="2940"/>
    <col min="13569" max="13569" width="37.625" style="2940" customWidth="1"/>
    <col min="13570" max="13570" width="6.25" style="2940" customWidth="1"/>
    <col min="13571" max="13571" width="13.875" style="2940" customWidth="1"/>
    <col min="13572" max="13572" width="7.875" style="2940" customWidth="1"/>
    <col min="13573" max="13574" width="13.875" style="2940" customWidth="1"/>
    <col min="13575" max="13575" width="39.5" style="2940" customWidth="1"/>
    <col min="13576" max="13577" width="9" style="2940" customWidth="1"/>
    <col min="13578" max="13578" width="45.875" style="2940" customWidth="1"/>
    <col min="13579" max="13579" width="10.625" style="2940" customWidth="1"/>
    <col min="13580" max="13580" width="14.375" style="2940" customWidth="1"/>
    <col min="13581" max="13581" width="6.25" style="2940" customWidth="1"/>
    <col min="13582" max="13582" width="15" style="2940" customWidth="1"/>
    <col min="13583" max="13824" width="9" style="2940"/>
    <col min="13825" max="13825" width="37.625" style="2940" customWidth="1"/>
    <col min="13826" max="13826" width="6.25" style="2940" customWidth="1"/>
    <col min="13827" max="13827" width="13.875" style="2940" customWidth="1"/>
    <col min="13828" max="13828" width="7.875" style="2940" customWidth="1"/>
    <col min="13829" max="13830" width="13.875" style="2940" customWidth="1"/>
    <col min="13831" max="13831" width="39.5" style="2940" customWidth="1"/>
    <col min="13832" max="13833" width="9" style="2940" customWidth="1"/>
    <col min="13834" max="13834" width="45.875" style="2940" customWidth="1"/>
    <col min="13835" max="13835" width="10.625" style="2940" customWidth="1"/>
    <col min="13836" max="13836" width="14.375" style="2940" customWidth="1"/>
    <col min="13837" max="13837" width="6.25" style="2940" customWidth="1"/>
    <col min="13838" max="13838" width="15" style="2940" customWidth="1"/>
    <col min="13839" max="14080" width="9" style="2940"/>
    <col min="14081" max="14081" width="37.625" style="2940" customWidth="1"/>
    <col min="14082" max="14082" width="6.25" style="2940" customWidth="1"/>
    <col min="14083" max="14083" width="13.875" style="2940" customWidth="1"/>
    <col min="14084" max="14084" width="7.875" style="2940" customWidth="1"/>
    <col min="14085" max="14086" width="13.875" style="2940" customWidth="1"/>
    <col min="14087" max="14087" width="39.5" style="2940" customWidth="1"/>
    <col min="14088" max="14089" width="9" style="2940" customWidth="1"/>
    <col min="14090" max="14090" width="45.875" style="2940" customWidth="1"/>
    <col min="14091" max="14091" width="10.625" style="2940" customWidth="1"/>
    <col min="14092" max="14092" width="14.375" style="2940" customWidth="1"/>
    <col min="14093" max="14093" width="6.25" style="2940" customWidth="1"/>
    <col min="14094" max="14094" width="15" style="2940" customWidth="1"/>
    <col min="14095" max="14336" width="9" style="2940"/>
    <col min="14337" max="14337" width="37.625" style="2940" customWidth="1"/>
    <col min="14338" max="14338" width="6.25" style="2940" customWidth="1"/>
    <col min="14339" max="14339" width="13.875" style="2940" customWidth="1"/>
    <col min="14340" max="14340" width="7.875" style="2940" customWidth="1"/>
    <col min="14341" max="14342" width="13.875" style="2940" customWidth="1"/>
    <col min="14343" max="14343" width="39.5" style="2940" customWidth="1"/>
    <col min="14344" max="14345" width="9" style="2940" customWidth="1"/>
    <col min="14346" max="14346" width="45.875" style="2940" customWidth="1"/>
    <col min="14347" max="14347" width="10.625" style="2940" customWidth="1"/>
    <col min="14348" max="14348" width="14.375" style="2940" customWidth="1"/>
    <col min="14349" max="14349" width="6.25" style="2940" customWidth="1"/>
    <col min="14350" max="14350" width="15" style="2940" customWidth="1"/>
    <col min="14351" max="14592" width="9" style="2940"/>
    <col min="14593" max="14593" width="37.625" style="2940" customWidth="1"/>
    <col min="14594" max="14594" width="6.25" style="2940" customWidth="1"/>
    <col min="14595" max="14595" width="13.875" style="2940" customWidth="1"/>
    <col min="14596" max="14596" width="7.875" style="2940" customWidth="1"/>
    <col min="14597" max="14598" width="13.875" style="2940" customWidth="1"/>
    <col min="14599" max="14599" width="39.5" style="2940" customWidth="1"/>
    <col min="14600" max="14601" width="9" style="2940" customWidth="1"/>
    <col min="14602" max="14602" width="45.875" style="2940" customWidth="1"/>
    <col min="14603" max="14603" width="10.625" style="2940" customWidth="1"/>
    <col min="14604" max="14604" width="14.375" style="2940" customWidth="1"/>
    <col min="14605" max="14605" width="6.25" style="2940" customWidth="1"/>
    <col min="14606" max="14606" width="15" style="2940" customWidth="1"/>
    <col min="14607" max="14848" width="9" style="2940"/>
    <col min="14849" max="14849" width="37.625" style="2940" customWidth="1"/>
    <col min="14850" max="14850" width="6.25" style="2940" customWidth="1"/>
    <col min="14851" max="14851" width="13.875" style="2940" customWidth="1"/>
    <col min="14852" max="14852" width="7.875" style="2940" customWidth="1"/>
    <col min="14853" max="14854" width="13.875" style="2940" customWidth="1"/>
    <col min="14855" max="14855" width="39.5" style="2940" customWidth="1"/>
    <col min="14856" max="14857" width="9" style="2940" customWidth="1"/>
    <col min="14858" max="14858" width="45.875" style="2940" customWidth="1"/>
    <col min="14859" max="14859" width="10.625" style="2940" customWidth="1"/>
    <col min="14860" max="14860" width="14.375" style="2940" customWidth="1"/>
    <col min="14861" max="14861" width="6.25" style="2940" customWidth="1"/>
    <col min="14862" max="14862" width="15" style="2940" customWidth="1"/>
    <col min="14863" max="15104" width="9" style="2940"/>
    <col min="15105" max="15105" width="37.625" style="2940" customWidth="1"/>
    <col min="15106" max="15106" width="6.25" style="2940" customWidth="1"/>
    <col min="15107" max="15107" width="13.875" style="2940" customWidth="1"/>
    <col min="15108" max="15108" width="7.875" style="2940" customWidth="1"/>
    <col min="15109" max="15110" width="13.875" style="2940" customWidth="1"/>
    <col min="15111" max="15111" width="39.5" style="2940" customWidth="1"/>
    <col min="15112" max="15113" width="9" style="2940" customWidth="1"/>
    <col min="15114" max="15114" width="45.875" style="2940" customWidth="1"/>
    <col min="15115" max="15115" width="10.625" style="2940" customWidth="1"/>
    <col min="15116" max="15116" width="14.375" style="2940" customWidth="1"/>
    <col min="15117" max="15117" width="6.25" style="2940" customWidth="1"/>
    <col min="15118" max="15118" width="15" style="2940" customWidth="1"/>
    <col min="15119" max="15360" width="9" style="2940"/>
    <col min="15361" max="15361" width="37.625" style="2940" customWidth="1"/>
    <col min="15362" max="15362" width="6.25" style="2940" customWidth="1"/>
    <col min="15363" max="15363" width="13.875" style="2940" customWidth="1"/>
    <col min="15364" max="15364" width="7.875" style="2940" customWidth="1"/>
    <col min="15365" max="15366" width="13.875" style="2940" customWidth="1"/>
    <col min="15367" max="15367" width="39.5" style="2940" customWidth="1"/>
    <col min="15368" max="15369" width="9" style="2940" customWidth="1"/>
    <col min="15370" max="15370" width="45.875" style="2940" customWidth="1"/>
    <col min="15371" max="15371" width="10.625" style="2940" customWidth="1"/>
    <col min="15372" max="15372" width="14.375" style="2940" customWidth="1"/>
    <col min="15373" max="15373" width="6.25" style="2940" customWidth="1"/>
    <col min="15374" max="15374" width="15" style="2940" customWidth="1"/>
    <col min="15375" max="15616" width="9" style="2940"/>
    <col min="15617" max="15617" width="37.625" style="2940" customWidth="1"/>
    <col min="15618" max="15618" width="6.25" style="2940" customWidth="1"/>
    <col min="15619" max="15619" width="13.875" style="2940" customWidth="1"/>
    <col min="15620" max="15620" width="7.875" style="2940" customWidth="1"/>
    <col min="15621" max="15622" width="13.875" style="2940" customWidth="1"/>
    <col min="15623" max="15623" width="39.5" style="2940" customWidth="1"/>
    <col min="15624" max="15625" width="9" style="2940" customWidth="1"/>
    <col min="15626" max="15626" width="45.875" style="2940" customWidth="1"/>
    <col min="15627" max="15627" width="10.625" style="2940" customWidth="1"/>
    <col min="15628" max="15628" width="14.375" style="2940" customWidth="1"/>
    <col min="15629" max="15629" width="6.25" style="2940" customWidth="1"/>
    <col min="15630" max="15630" width="15" style="2940" customWidth="1"/>
    <col min="15631" max="15872" width="9" style="2940"/>
    <col min="15873" max="15873" width="37.625" style="2940" customWidth="1"/>
    <col min="15874" max="15874" width="6.25" style="2940" customWidth="1"/>
    <col min="15875" max="15875" width="13.875" style="2940" customWidth="1"/>
    <col min="15876" max="15876" width="7.875" style="2940" customWidth="1"/>
    <col min="15877" max="15878" width="13.875" style="2940" customWidth="1"/>
    <col min="15879" max="15879" width="39.5" style="2940" customWidth="1"/>
    <col min="15880" max="15881" width="9" style="2940" customWidth="1"/>
    <col min="15882" max="15882" width="45.875" style="2940" customWidth="1"/>
    <col min="15883" max="15883" width="10.625" style="2940" customWidth="1"/>
    <col min="15884" max="15884" width="14.375" style="2940" customWidth="1"/>
    <col min="15885" max="15885" width="6.25" style="2940" customWidth="1"/>
    <col min="15886" max="15886" width="15" style="2940" customWidth="1"/>
    <col min="15887" max="16128" width="9" style="2940"/>
    <col min="16129" max="16129" width="37.625" style="2940" customWidth="1"/>
    <col min="16130" max="16130" width="6.25" style="2940" customWidth="1"/>
    <col min="16131" max="16131" width="13.875" style="2940" customWidth="1"/>
    <col min="16132" max="16132" width="7.875" style="2940" customWidth="1"/>
    <col min="16133" max="16134" width="13.875" style="2940" customWidth="1"/>
    <col min="16135" max="16135" width="39.5" style="2940" customWidth="1"/>
    <col min="16136" max="16137" width="9" style="2940" customWidth="1"/>
    <col min="16138" max="16138" width="45.875" style="2940" customWidth="1"/>
    <col min="16139" max="16139" width="10.625" style="2940" customWidth="1"/>
    <col min="16140" max="16140" width="14.375" style="2940" customWidth="1"/>
    <col min="16141" max="16141" width="6.25" style="2940" customWidth="1"/>
    <col min="16142" max="16142" width="15" style="2940" customWidth="1"/>
    <col min="16143" max="16384" width="9" style="2940"/>
  </cols>
  <sheetData>
    <row r="1" spans="1:14">
      <c r="A1" s="2940" t="s">
        <v>3188</v>
      </c>
      <c r="B1" s="2940" t="s">
        <v>3189</v>
      </c>
      <c r="C1" s="2940" t="s">
        <v>3190</v>
      </c>
      <c r="D1" s="2940" t="s">
        <v>3191</v>
      </c>
      <c r="E1" s="2940" t="s">
        <v>3192</v>
      </c>
      <c r="F1" s="2940" t="s">
        <v>3193</v>
      </c>
      <c r="G1" s="2940" t="s">
        <v>2035</v>
      </c>
      <c r="H1" s="2940" t="s">
        <v>3194</v>
      </c>
      <c r="I1" s="2940" t="s">
        <v>3195</v>
      </c>
      <c r="J1" s="2940" t="s">
        <v>3196</v>
      </c>
      <c r="K1" s="2940" t="s">
        <v>3197</v>
      </c>
      <c r="L1" s="2940" t="s">
        <v>3198</v>
      </c>
      <c r="M1" s="2940" t="s">
        <v>3199</v>
      </c>
      <c r="N1" s="2940" t="s">
        <v>3200</v>
      </c>
    </row>
    <row r="2" spans="1:14" s="3244" customFormat="1">
      <c r="A2" s="3244" t="s">
        <v>3201</v>
      </c>
      <c r="B2" s="3244" t="s">
        <v>3202</v>
      </c>
      <c r="C2" s="3244" t="s">
        <v>3203</v>
      </c>
      <c r="D2" s="3244" t="s">
        <v>3204</v>
      </c>
      <c r="E2" s="3244">
        <v>136776.20000000001</v>
      </c>
      <c r="F2" s="3244">
        <v>150453.79999999999</v>
      </c>
      <c r="G2" s="3244" t="s">
        <v>3205</v>
      </c>
      <c r="H2" s="3244" t="s">
        <v>3206</v>
      </c>
      <c r="I2" s="3244" t="s">
        <v>3206</v>
      </c>
      <c r="J2" s="3244" t="s">
        <v>3330</v>
      </c>
      <c r="K2" s="3244">
        <v>173300</v>
      </c>
      <c r="L2" s="3244">
        <v>11518.48</v>
      </c>
      <c r="M2" s="3244">
        <v>40.549999999999997</v>
      </c>
      <c r="N2" s="3244" t="s">
        <v>3208</v>
      </c>
    </row>
    <row r="3" spans="1:14">
      <c r="A3" s="2940" t="s">
        <v>3201</v>
      </c>
      <c r="B3" s="2940" t="s">
        <v>3202</v>
      </c>
      <c r="C3" s="2940" t="s">
        <v>3203</v>
      </c>
      <c r="D3" s="2940" t="s">
        <v>3204</v>
      </c>
      <c r="E3" s="2940">
        <v>54956.09</v>
      </c>
      <c r="F3" s="2940">
        <v>65947.31</v>
      </c>
      <c r="G3" s="2940" t="s">
        <v>3209</v>
      </c>
      <c r="H3" s="2940" t="s">
        <v>3206</v>
      </c>
      <c r="I3" s="2940" t="s">
        <v>3206</v>
      </c>
      <c r="J3" s="2940" t="s">
        <v>3207</v>
      </c>
      <c r="K3" s="2940">
        <v>72500</v>
      </c>
      <c r="L3" s="2940">
        <v>10993.62</v>
      </c>
      <c r="M3" s="2940">
        <v>46.35</v>
      </c>
      <c r="N3" s="2940" t="s">
        <v>3208</v>
      </c>
    </row>
    <row r="4" spans="1:14" s="3244" customFormat="1">
      <c r="A4" s="3244" t="s">
        <v>3332</v>
      </c>
      <c r="B4" s="3244" t="s">
        <v>3202</v>
      </c>
      <c r="C4" s="3244" t="s">
        <v>3203</v>
      </c>
      <c r="D4" s="3244" t="s">
        <v>3204</v>
      </c>
      <c r="E4" s="3244">
        <v>5655.95</v>
      </c>
      <c r="F4" s="3244">
        <v>14139.88</v>
      </c>
      <c r="G4" s="3244" t="s">
        <v>3211</v>
      </c>
      <c r="H4" s="3244" t="s">
        <v>3212</v>
      </c>
      <c r="I4" s="3244" t="s">
        <v>3212</v>
      </c>
      <c r="J4" s="3244" t="s">
        <v>3331</v>
      </c>
      <c r="K4" s="3244">
        <v>13551</v>
      </c>
      <c r="L4" s="3244">
        <v>9583.5300000000007</v>
      </c>
      <c r="M4" s="3244">
        <v>85.81</v>
      </c>
      <c r="N4" s="3244" t="s">
        <v>3208</v>
      </c>
    </row>
    <row r="5" spans="1:14">
      <c r="A5" s="2940" t="s">
        <v>3210</v>
      </c>
      <c r="B5" s="2940" t="s">
        <v>3202</v>
      </c>
      <c r="C5" s="2940" t="s">
        <v>3203</v>
      </c>
      <c r="D5" s="2940" t="s">
        <v>3204</v>
      </c>
      <c r="E5" s="2940">
        <v>2486.54</v>
      </c>
      <c r="F5" s="2940">
        <v>6216.35</v>
      </c>
      <c r="G5" s="2940" t="s">
        <v>3211</v>
      </c>
      <c r="H5" s="2940" t="s">
        <v>3212</v>
      </c>
      <c r="I5" s="2940" t="s">
        <v>3212</v>
      </c>
      <c r="J5" s="2940" t="s">
        <v>3213</v>
      </c>
      <c r="K5" s="2940">
        <v>5957.46</v>
      </c>
      <c r="L5" s="2940">
        <v>9583.5300000000007</v>
      </c>
      <c r="M5" s="2940">
        <v>85.93</v>
      </c>
      <c r="N5" s="2940" t="s">
        <v>3208</v>
      </c>
    </row>
    <row r="6" spans="1:14">
      <c r="A6" s="2940" t="s">
        <v>3214</v>
      </c>
      <c r="B6" s="2940" t="s">
        <v>3202</v>
      </c>
      <c r="C6" s="2940" t="s">
        <v>3203</v>
      </c>
      <c r="D6" s="2940" t="s">
        <v>3204</v>
      </c>
      <c r="E6" s="2940">
        <v>130273.8</v>
      </c>
      <c r="F6" s="2940">
        <v>390821.4</v>
      </c>
      <c r="G6" s="2940" t="s">
        <v>3215</v>
      </c>
      <c r="H6" s="2940" t="s">
        <v>3216</v>
      </c>
      <c r="I6" s="2940" t="s">
        <v>3216</v>
      </c>
      <c r="J6" s="2940" t="s">
        <v>3217</v>
      </c>
      <c r="K6" s="2940">
        <v>249800</v>
      </c>
      <c r="L6" s="2940">
        <v>6391.67</v>
      </c>
      <c r="M6" s="2940">
        <v>208.21</v>
      </c>
      <c r="N6" s="2940" t="s">
        <v>3208</v>
      </c>
    </row>
    <row r="7" spans="1:14">
      <c r="A7" s="2940" t="s">
        <v>3218</v>
      </c>
      <c r="B7" s="2940" t="s">
        <v>3202</v>
      </c>
      <c r="C7" s="2940" t="s">
        <v>3203</v>
      </c>
      <c r="D7" s="2940" t="s">
        <v>3204</v>
      </c>
      <c r="E7" s="2940">
        <v>16301.78</v>
      </c>
      <c r="F7" s="2940">
        <v>73358.009999999995</v>
      </c>
      <c r="G7" s="2940" t="s">
        <v>3219</v>
      </c>
      <c r="H7" s="2940" t="s">
        <v>3220</v>
      </c>
      <c r="I7" s="2940" t="s">
        <v>3220</v>
      </c>
      <c r="J7" s="2940" t="s">
        <v>3221</v>
      </c>
      <c r="K7" s="2940">
        <v>46210.5</v>
      </c>
      <c r="L7" s="2940">
        <v>6299.31</v>
      </c>
      <c r="M7" s="2940">
        <v>0</v>
      </c>
      <c r="N7" s="2940" t="s">
        <v>3208</v>
      </c>
    </row>
    <row r="8" spans="1:14">
      <c r="A8" s="2940" t="s">
        <v>3218</v>
      </c>
      <c r="B8" s="2940" t="s">
        <v>3202</v>
      </c>
      <c r="C8" s="2940" t="s">
        <v>3203</v>
      </c>
      <c r="D8" s="2940" t="s">
        <v>3204</v>
      </c>
      <c r="E8" s="2940">
        <v>19397.43</v>
      </c>
      <c r="F8" s="2940">
        <v>73710.23</v>
      </c>
      <c r="G8" s="2940" t="s">
        <v>3222</v>
      </c>
      <c r="H8" s="2940" t="s">
        <v>3220</v>
      </c>
      <c r="I8" s="2940" t="s">
        <v>3220</v>
      </c>
      <c r="J8" s="2940" t="s">
        <v>3221</v>
      </c>
      <c r="K8" s="2940">
        <v>46427.63</v>
      </c>
      <c r="L8" s="2940">
        <v>6298.67</v>
      </c>
      <c r="M8" s="2940">
        <v>0</v>
      </c>
      <c r="N8" s="2940" t="s">
        <v>3208</v>
      </c>
    </row>
    <row r="9" spans="1:14">
      <c r="A9" s="2940" t="s">
        <v>3223</v>
      </c>
      <c r="B9" s="2940" t="s">
        <v>3202</v>
      </c>
      <c r="C9" s="2940" t="s">
        <v>3203</v>
      </c>
      <c r="D9" s="2940" t="s">
        <v>3204</v>
      </c>
      <c r="E9" s="2940">
        <v>34365.49</v>
      </c>
      <c r="F9" s="2940">
        <v>37802.04</v>
      </c>
      <c r="G9" s="2940" t="s">
        <v>3224</v>
      </c>
      <c r="H9" s="2940" t="s">
        <v>3225</v>
      </c>
      <c r="I9" s="2940" t="s">
        <v>3225</v>
      </c>
      <c r="J9" s="2940" t="s">
        <v>3226</v>
      </c>
      <c r="K9" s="2940">
        <v>23713</v>
      </c>
      <c r="L9" s="2940">
        <v>6272.93</v>
      </c>
      <c r="M9" s="2940">
        <v>0</v>
      </c>
      <c r="N9" s="2940" t="s">
        <v>3227</v>
      </c>
    </row>
    <row r="10" spans="1:14">
      <c r="A10" s="2940" t="s">
        <v>3223</v>
      </c>
      <c r="B10" s="2940" t="s">
        <v>3202</v>
      </c>
      <c r="C10" s="2940" t="s">
        <v>3203</v>
      </c>
      <c r="D10" s="2940" t="s">
        <v>3204</v>
      </c>
      <c r="E10" s="2940">
        <v>145397.79999999999</v>
      </c>
      <c r="F10" s="2940">
        <v>159937.60000000001</v>
      </c>
      <c r="G10" s="2940" t="s">
        <v>3224</v>
      </c>
      <c r="H10" s="2940" t="s">
        <v>3225</v>
      </c>
      <c r="I10" s="2940" t="s">
        <v>3225</v>
      </c>
      <c r="J10" s="2940" t="s">
        <v>3226</v>
      </c>
      <c r="K10" s="2940">
        <v>100326</v>
      </c>
      <c r="L10" s="2940">
        <v>6272.81</v>
      </c>
      <c r="M10" s="2940">
        <v>0</v>
      </c>
      <c r="N10" s="2940" t="s">
        <v>3227</v>
      </c>
    </row>
    <row r="11" spans="1:14">
      <c r="A11" s="2940" t="s">
        <v>3223</v>
      </c>
      <c r="B11" s="2940" t="s">
        <v>3202</v>
      </c>
      <c r="C11" s="2940" t="s">
        <v>3203</v>
      </c>
      <c r="D11" s="2940" t="s">
        <v>3204</v>
      </c>
      <c r="E11" s="2940">
        <v>66805.759999999995</v>
      </c>
      <c r="F11" s="2940">
        <v>73486.34</v>
      </c>
      <c r="G11" s="2940" t="s">
        <v>3224</v>
      </c>
      <c r="H11" s="2940" t="s">
        <v>3225</v>
      </c>
      <c r="I11" s="2940" t="s">
        <v>3225</v>
      </c>
      <c r="J11" s="2940" t="s">
        <v>3226</v>
      </c>
      <c r="K11" s="2940">
        <v>46096.59</v>
      </c>
      <c r="L11" s="2940">
        <v>6272.81</v>
      </c>
      <c r="M11" s="2940">
        <v>0</v>
      </c>
      <c r="N11" s="2940" t="s">
        <v>3227</v>
      </c>
    </row>
    <row r="12" spans="1:14">
      <c r="A12" s="2940" t="s">
        <v>3223</v>
      </c>
      <c r="B12" s="2940" t="s">
        <v>3202</v>
      </c>
      <c r="C12" s="2940" t="s">
        <v>3203</v>
      </c>
      <c r="D12" s="2940" t="s">
        <v>3204</v>
      </c>
      <c r="E12" s="2940">
        <v>59806.62</v>
      </c>
      <c r="F12" s="2940">
        <v>65787.28</v>
      </c>
      <c r="G12" s="2940" t="s">
        <v>3224</v>
      </c>
      <c r="H12" s="2940" t="s">
        <v>3225</v>
      </c>
      <c r="I12" s="2940" t="s">
        <v>3225</v>
      </c>
      <c r="J12" s="2940" t="s">
        <v>3226</v>
      </c>
      <c r="K12" s="2940">
        <v>41266.589999999997</v>
      </c>
      <c r="L12" s="2940">
        <v>6272.72</v>
      </c>
      <c r="M12" s="2940">
        <v>0</v>
      </c>
      <c r="N12" s="2940" t="s">
        <v>3227</v>
      </c>
    </row>
    <row r="13" spans="1:14">
      <c r="A13" s="2940" t="s">
        <v>3223</v>
      </c>
      <c r="B13" s="2940" t="s">
        <v>3202</v>
      </c>
      <c r="C13" s="2940" t="s">
        <v>3203</v>
      </c>
      <c r="D13" s="2940" t="s">
        <v>3204</v>
      </c>
      <c r="E13" s="2940">
        <v>127303.1</v>
      </c>
      <c r="F13" s="2940">
        <v>140033.4</v>
      </c>
      <c r="G13" s="2940" t="s">
        <v>3224</v>
      </c>
      <c r="H13" s="2940" t="s">
        <v>3225</v>
      </c>
      <c r="I13" s="2940" t="s">
        <v>3225</v>
      </c>
      <c r="J13" s="2940" t="s">
        <v>3226</v>
      </c>
      <c r="K13" s="2940">
        <v>87837</v>
      </c>
      <c r="L13" s="2940">
        <v>6272.56</v>
      </c>
      <c r="M13" s="2940">
        <v>0</v>
      </c>
      <c r="N13" s="2940" t="s">
        <v>3227</v>
      </c>
    </row>
    <row r="14" spans="1:14">
      <c r="A14" s="2940" t="s">
        <v>3223</v>
      </c>
      <c r="B14" s="2940" t="s">
        <v>3202</v>
      </c>
      <c r="C14" s="2940" t="s">
        <v>3203</v>
      </c>
      <c r="D14" s="2940" t="s">
        <v>3204</v>
      </c>
      <c r="E14" s="2940">
        <v>54935.24</v>
      </c>
      <c r="F14" s="2940">
        <v>60428.76</v>
      </c>
      <c r="G14" s="2940" t="s">
        <v>3224</v>
      </c>
      <c r="H14" s="2940" t="s">
        <v>3225</v>
      </c>
      <c r="I14" s="2940" t="s">
        <v>3225</v>
      </c>
      <c r="J14" s="2940" t="s">
        <v>3226</v>
      </c>
      <c r="K14" s="2940">
        <v>37904</v>
      </c>
      <c r="L14" s="2940">
        <v>6272.51</v>
      </c>
      <c r="M14" s="2940">
        <v>0</v>
      </c>
      <c r="N14" s="2940" t="s">
        <v>3227</v>
      </c>
    </row>
    <row r="15" spans="1:14">
      <c r="A15" s="2940" t="s">
        <v>3223</v>
      </c>
      <c r="B15" s="2940" t="s">
        <v>3202</v>
      </c>
      <c r="C15" s="2940" t="s">
        <v>3203</v>
      </c>
      <c r="D15" s="2940" t="s">
        <v>3204</v>
      </c>
      <c r="E15" s="2940">
        <v>84376.49</v>
      </c>
      <c r="F15" s="2940">
        <v>92814.14</v>
      </c>
      <c r="G15" s="2940" t="s">
        <v>3224</v>
      </c>
      <c r="H15" s="2940" t="s">
        <v>3225</v>
      </c>
      <c r="I15" s="2940" t="s">
        <v>3225</v>
      </c>
      <c r="J15" s="2940" t="s">
        <v>3226</v>
      </c>
      <c r="K15" s="2940">
        <v>58217.59</v>
      </c>
      <c r="L15" s="2940">
        <v>6272.48</v>
      </c>
      <c r="M15" s="2940">
        <v>0</v>
      </c>
      <c r="N15" s="2940" t="s">
        <v>3227</v>
      </c>
    </row>
    <row r="16" spans="1:14">
      <c r="A16" s="2940" t="s">
        <v>3223</v>
      </c>
      <c r="B16" s="2940" t="s">
        <v>3202</v>
      </c>
      <c r="C16" s="2940" t="s">
        <v>3203</v>
      </c>
      <c r="D16" s="2940" t="s">
        <v>3204</v>
      </c>
      <c r="E16" s="2940">
        <v>72362.98</v>
      </c>
      <c r="F16" s="2940">
        <v>79599.28</v>
      </c>
      <c r="G16" s="2940" t="s">
        <v>3228</v>
      </c>
      <c r="H16" s="2940" t="s">
        <v>3225</v>
      </c>
      <c r="I16" s="2940" t="s">
        <v>3225</v>
      </c>
      <c r="J16" s="2940" t="s">
        <v>3226</v>
      </c>
      <c r="K16" s="2940">
        <v>49928.4</v>
      </c>
      <c r="L16" s="2940">
        <v>6272.47</v>
      </c>
      <c r="M16" s="2940">
        <v>0</v>
      </c>
      <c r="N16" s="2940" t="s">
        <v>3227</v>
      </c>
    </row>
    <row r="17" spans="1:14">
      <c r="A17" s="2940" t="s">
        <v>3210</v>
      </c>
      <c r="B17" s="2940" t="s">
        <v>3202</v>
      </c>
      <c r="C17" s="2940" t="s">
        <v>3203</v>
      </c>
      <c r="D17" s="2940" t="s">
        <v>3204</v>
      </c>
      <c r="E17" s="2940">
        <v>82376.12</v>
      </c>
      <c r="F17" s="2940">
        <v>321266.90000000002</v>
      </c>
      <c r="G17" s="2940" t="s">
        <v>3229</v>
      </c>
      <c r="H17" s="2940" t="s">
        <v>3212</v>
      </c>
      <c r="I17" s="2940" t="s">
        <v>3212</v>
      </c>
      <c r="J17" s="2940" t="s">
        <v>3213</v>
      </c>
      <c r="K17" s="2940">
        <v>197363.6</v>
      </c>
      <c r="L17" s="2940">
        <v>6143.28</v>
      </c>
      <c r="M17" s="2940">
        <v>85.95</v>
      </c>
      <c r="N17" s="2940" t="s">
        <v>3208</v>
      </c>
    </row>
    <row r="18" spans="1:14">
      <c r="A18" s="2940" t="s">
        <v>3230</v>
      </c>
      <c r="B18" s="2940" t="s">
        <v>3202</v>
      </c>
      <c r="C18" s="2940" t="s">
        <v>3231</v>
      </c>
      <c r="D18" s="2940" t="s">
        <v>3204</v>
      </c>
      <c r="E18" s="2940">
        <v>90484.37</v>
      </c>
      <c r="F18" s="2940">
        <v>308854.7</v>
      </c>
      <c r="G18" s="2940" t="s">
        <v>3232</v>
      </c>
      <c r="H18" s="2940" t="s">
        <v>3233</v>
      </c>
      <c r="I18" s="2940" t="s">
        <v>3233</v>
      </c>
      <c r="J18" s="2940" t="s">
        <v>3234</v>
      </c>
      <c r="K18" s="2940">
        <v>180007</v>
      </c>
      <c r="L18" s="2940">
        <v>5828.21</v>
      </c>
      <c r="M18" s="2940">
        <v>80.72</v>
      </c>
      <c r="N18" s="2940" t="s">
        <v>3235</v>
      </c>
    </row>
    <row r="19" spans="1:14">
      <c r="A19" s="2940" t="s">
        <v>3218</v>
      </c>
      <c r="B19" s="2940" t="s">
        <v>3202</v>
      </c>
      <c r="C19" s="2940" t="s">
        <v>3231</v>
      </c>
      <c r="D19" s="2940" t="s">
        <v>3204</v>
      </c>
      <c r="E19" s="2940">
        <v>30510.83</v>
      </c>
      <c r="F19" s="2940">
        <v>122043.3</v>
      </c>
      <c r="G19" s="2940" t="s">
        <v>3236</v>
      </c>
      <c r="H19" s="2940" t="s">
        <v>3220</v>
      </c>
      <c r="I19" s="2940" t="s">
        <v>3220</v>
      </c>
      <c r="J19" s="2940" t="s">
        <v>3221</v>
      </c>
      <c r="K19" s="2940">
        <v>69661.94</v>
      </c>
      <c r="L19" s="2940">
        <v>5707.97</v>
      </c>
      <c r="M19" s="2940">
        <v>0</v>
      </c>
      <c r="N19" s="2940" t="s">
        <v>3235</v>
      </c>
    </row>
    <row r="20" spans="1:14">
      <c r="A20" s="2940" t="s">
        <v>3218</v>
      </c>
      <c r="B20" s="2940" t="s">
        <v>3202</v>
      </c>
      <c r="C20" s="2940" t="s">
        <v>3231</v>
      </c>
      <c r="D20" s="2940" t="s">
        <v>3204</v>
      </c>
      <c r="E20" s="2940">
        <v>25655.66</v>
      </c>
      <c r="F20" s="2940">
        <v>115450.5</v>
      </c>
      <c r="G20" s="2940" t="s">
        <v>3219</v>
      </c>
      <c r="H20" s="2940" t="s">
        <v>3220</v>
      </c>
      <c r="I20" s="2940" t="s">
        <v>3220</v>
      </c>
      <c r="J20" s="2940" t="s">
        <v>3221</v>
      </c>
      <c r="K20" s="2940">
        <v>65877.75</v>
      </c>
      <c r="L20" s="2940">
        <v>5706.14</v>
      </c>
      <c r="M20" s="2940">
        <v>0</v>
      </c>
      <c r="N20" s="2940" t="s">
        <v>3235</v>
      </c>
    </row>
    <row r="21" spans="1:14">
      <c r="A21" s="2940" t="s">
        <v>3218</v>
      </c>
      <c r="B21" s="2940" t="s">
        <v>3202</v>
      </c>
      <c r="C21" s="2940" t="s">
        <v>3231</v>
      </c>
      <c r="D21" s="2940" t="s">
        <v>3204</v>
      </c>
      <c r="E21" s="2940">
        <v>37756.6</v>
      </c>
      <c r="F21" s="2940">
        <v>143475.1</v>
      </c>
      <c r="G21" s="2940" t="s">
        <v>3222</v>
      </c>
      <c r="H21" s="2940" t="s">
        <v>3220</v>
      </c>
      <c r="I21" s="2940" t="s">
        <v>3220</v>
      </c>
      <c r="J21" s="2940" t="s">
        <v>3237</v>
      </c>
      <c r="K21" s="2940">
        <v>77483.520000000004</v>
      </c>
      <c r="L21" s="2940">
        <v>5400.48</v>
      </c>
      <c r="M21" s="2940">
        <v>0</v>
      </c>
      <c r="N21" s="2940" t="s">
        <v>3235</v>
      </c>
    </row>
    <row r="22" spans="1:14">
      <c r="A22" s="2940" t="s">
        <v>3218</v>
      </c>
      <c r="B22" s="2940" t="s">
        <v>3202</v>
      </c>
      <c r="C22" s="2940" t="s">
        <v>3231</v>
      </c>
      <c r="D22" s="2940" t="s">
        <v>3204</v>
      </c>
      <c r="E22" s="2940">
        <v>33156.03</v>
      </c>
      <c r="F22" s="2940">
        <v>125992.9</v>
      </c>
      <c r="G22" s="2940" t="s">
        <v>3222</v>
      </c>
      <c r="H22" s="2940" t="s">
        <v>3220</v>
      </c>
      <c r="I22" s="2940" t="s">
        <v>3220</v>
      </c>
      <c r="J22" s="2940" t="s">
        <v>3237</v>
      </c>
      <c r="K22" s="2940">
        <v>68030.63</v>
      </c>
      <c r="L22" s="2940">
        <v>5399.56</v>
      </c>
      <c r="M22" s="2940">
        <v>0</v>
      </c>
      <c r="N22" s="2940" t="s">
        <v>3235</v>
      </c>
    </row>
    <row r="23" spans="1:14">
      <c r="A23" s="2940" t="s">
        <v>3238</v>
      </c>
      <c r="B23" s="2940" t="s">
        <v>3202</v>
      </c>
      <c r="C23" s="2940" t="s">
        <v>3203</v>
      </c>
      <c r="D23" s="2940" t="s">
        <v>3239</v>
      </c>
      <c r="E23" s="2940">
        <v>2085.62</v>
      </c>
      <c r="F23" s="2940">
        <v>3983.53</v>
      </c>
      <c r="G23" s="2940" t="s">
        <v>3240</v>
      </c>
      <c r="H23" s="2940" t="s">
        <v>3241</v>
      </c>
      <c r="I23" s="2940" t="s">
        <v>3241</v>
      </c>
      <c r="J23" s="2940" t="s">
        <v>3242</v>
      </c>
      <c r="K23" s="2940">
        <v>2131.5300000000002</v>
      </c>
      <c r="L23" s="2940">
        <v>5350.85</v>
      </c>
      <c r="M23" s="2940">
        <v>0</v>
      </c>
      <c r="N23" s="2940" t="s">
        <v>3243</v>
      </c>
    </row>
    <row r="24" spans="1:14">
      <c r="A24" s="2940" t="s">
        <v>3244</v>
      </c>
      <c r="B24" s="2940" t="s">
        <v>3202</v>
      </c>
      <c r="C24" s="2940" t="s">
        <v>3231</v>
      </c>
      <c r="D24" s="2940" t="s">
        <v>3204</v>
      </c>
      <c r="E24" s="2940">
        <v>48729.77</v>
      </c>
      <c r="F24" s="2940">
        <v>243648.8</v>
      </c>
      <c r="G24" s="2940" t="s">
        <v>3245</v>
      </c>
      <c r="H24" s="2940" t="s">
        <v>3246</v>
      </c>
      <c r="I24" s="2940" t="s">
        <v>3246</v>
      </c>
      <c r="J24" s="2940" t="s">
        <v>3247</v>
      </c>
      <c r="K24" s="2940">
        <v>121900</v>
      </c>
      <c r="L24" s="2940">
        <v>5003.1000000000004</v>
      </c>
      <c r="M24" s="2940">
        <v>0.03</v>
      </c>
      <c r="N24" s="2940" t="s">
        <v>3248</v>
      </c>
    </row>
    <row r="25" spans="1:14">
      <c r="A25" s="2940" t="s">
        <v>3244</v>
      </c>
      <c r="B25" s="2940" t="s">
        <v>3202</v>
      </c>
      <c r="C25" s="2940" t="s">
        <v>3231</v>
      </c>
      <c r="D25" s="2940" t="s">
        <v>3204</v>
      </c>
      <c r="E25" s="2940">
        <v>118650.6</v>
      </c>
      <c r="F25" s="2940">
        <v>529644.30000000005</v>
      </c>
      <c r="G25" s="2940" t="s">
        <v>3249</v>
      </c>
      <c r="H25" s="2940" t="s">
        <v>3246</v>
      </c>
      <c r="I25" s="2940" t="s">
        <v>3246</v>
      </c>
      <c r="J25" s="2940" t="s">
        <v>3250</v>
      </c>
      <c r="K25" s="2940">
        <v>253300</v>
      </c>
      <c r="L25" s="2940">
        <v>4782.4399999999996</v>
      </c>
      <c r="M25" s="2940">
        <v>0.01</v>
      </c>
      <c r="N25" s="2940" t="s">
        <v>3248</v>
      </c>
    </row>
    <row r="26" spans="1:14">
      <c r="A26" s="2940" t="s">
        <v>3218</v>
      </c>
      <c r="B26" s="2940" t="s">
        <v>3202</v>
      </c>
      <c r="C26" s="2940" t="s">
        <v>3231</v>
      </c>
      <c r="D26" s="2940" t="s">
        <v>3204</v>
      </c>
      <c r="E26" s="2940">
        <v>19000.16</v>
      </c>
      <c r="F26" s="2940">
        <v>95000.8</v>
      </c>
      <c r="G26" s="2940" t="s">
        <v>3245</v>
      </c>
      <c r="H26" s="2940" t="s">
        <v>3220</v>
      </c>
      <c r="I26" s="2940" t="s">
        <v>3220</v>
      </c>
      <c r="J26" s="2940" t="s">
        <v>3237</v>
      </c>
      <c r="K26" s="2940">
        <v>45144</v>
      </c>
      <c r="L26" s="2940">
        <v>4751.96</v>
      </c>
      <c r="M26" s="2940">
        <v>0</v>
      </c>
      <c r="N26" s="2940" t="s">
        <v>3235</v>
      </c>
    </row>
    <row r="27" spans="1:14">
      <c r="A27" s="2940" t="s">
        <v>3218</v>
      </c>
      <c r="B27" s="2940" t="s">
        <v>3202</v>
      </c>
      <c r="C27" s="2940" t="s">
        <v>3231</v>
      </c>
      <c r="D27" s="2940" t="s">
        <v>3204</v>
      </c>
      <c r="E27" s="2940">
        <v>16821.95</v>
      </c>
      <c r="F27" s="2940">
        <v>84109.75</v>
      </c>
      <c r="G27" s="2940" t="s">
        <v>3245</v>
      </c>
      <c r="H27" s="2940" t="s">
        <v>3220</v>
      </c>
      <c r="I27" s="2940" t="s">
        <v>3220</v>
      </c>
      <c r="J27" s="2940" t="s">
        <v>3237</v>
      </c>
      <c r="K27" s="2940">
        <v>39964.31</v>
      </c>
      <c r="L27" s="2940">
        <v>4751.4399999999996</v>
      </c>
      <c r="M27" s="2940">
        <v>0</v>
      </c>
      <c r="N27" s="2940" t="s">
        <v>3235</v>
      </c>
    </row>
    <row r="28" spans="1:14">
      <c r="A28" s="2940" t="s">
        <v>3218</v>
      </c>
      <c r="B28" s="2940" t="s">
        <v>3202</v>
      </c>
      <c r="C28" s="2940" t="s">
        <v>3231</v>
      </c>
      <c r="D28" s="2940" t="s">
        <v>3204</v>
      </c>
      <c r="E28" s="2940">
        <v>19176.53</v>
      </c>
      <c r="F28" s="2940">
        <v>95882.65</v>
      </c>
      <c r="G28" s="2940" t="s">
        <v>3251</v>
      </c>
      <c r="H28" s="2940" t="s">
        <v>3252</v>
      </c>
      <c r="I28" s="2940" t="s">
        <v>3252</v>
      </c>
      <c r="J28" s="2940" t="s">
        <v>3253</v>
      </c>
      <c r="K28" s="2940">
        <v>41213.08</v>
      </c>
      <c r="L28" s="2940">
        <v>4298.2700000000004</v>
      </c>
      <c r="M28" s="2940">
        <v>0</v>
      </c>
      <c r="N28" s="2940" t="s">
        <v>3235</v>
      </c>
    </row>
    <row r="29" spans="1:14">
      <c r="A29" s="2940" t="s">
        <v>3254</v>
      </c>
      <c r="B29" s="2940" t="s">
        <v>3202</v>
      </c>
      <c r="C29" s="2940" t="s">
        <v>3203</v>
      </c>
      <c r="D29" s="2940" t="s">
        <v>3239</v>
      </c>
      <c r="E29" s="2940">
        <v>53284.21</v>
      </c>
      <c r="F29" s="2940">
        <v>85254.74</v>
      </c>
      <c r="G29" s="2940" t="s">
        <v>3255</v>
      </c>
      <c r="H29" s="2940" t="s">
        <v>3256</v>
      </c>
      <c r="I29" s="2940" t="s">
        <v>3256</v>
      </c>
      <c r="J29" s="2940" t="s">
        <v>3257</v>
      </c>
      <c r="K29" s="2940">
        <v>36128.36</v>
      </c>
      <c r="L29" s="2940">
        <v>4237.6899999999996</v>
      </c>
      <c r="M29" s="2940">
        <v>0</v>
      </c>
      <c r="N29" s="2940" t="s">
        <v>3208</v>
      </c>
    </row>
    <row r="30" spans="1:14">
      <c r="A30" s="2940" t="s">
        <v>3244</v>
      </c>
      <c r="B30" s="2940" t="s">
        <v>3202</v>
      </c>
      <c r="C30" s="2940" t="s">
        <v>3231</v>
      </c>
      <c r="D30" s="2940" t="s">
        <v>3204</v>
      </c>
      <c r="E30" s="2940">
        <v>65462.52</v>
      </c>
      <c r="F30" s="2940">
        <v>325514.40000000002</v>
      </c>
      <c r="G30" s="2940" t="s">
        <v>3258</v>
      </c>
      <c r="H30" s="2940" t="s">
        <v>3246</v>
      </c>
      <c r="I30" s="2940" t="s">
        <v>3246</v>
      </c>
      <c r="J30" s="2940" t="s">
        <v>3259</v>
      </c>
      <c r="K30" s="2940">
        <v>135500</v>
      </c>
      <c r="L30" s="2940">
        <v>4162.6400000000003</v>
      </c>
      <c r="M30" s="2940">
        <v>0.03</v>
      </c>
      <c r="N30" s="2940" t="s">
        <v>3248</v>
      </c>
    </row>
    <row r="31" spans="1:14">
      <c r="A31" s="2940" t="s">
        <v>3260</v>
      </c>
      <c r="B31" s="2940" t="s">
        <v>3202</v>
      </c>
      <c r="C31" s="2940" t="s">
        <v>3231</v>
      </c>
      <c r="D31" s="2940" t="s">
        <v>3204</v>
      </c>
      <c r="E31" s="2940">
        <v>926633.1</v>
      </c>
      <c r="F31" s="2940">
        <v>1809568</v>
      </c>
      <c r="G31" s="2940" t="s">
        <v>2821</v>
      </c>
      <c r="H31" s="2940" t="s">
        <v>3261</v>
      </c>
      <c r="I31" s="2940" t="s">
        <v>3261</v>
      </c>
      <c r="J31" s="2940" t="s">
        <v>3262</v>
      </c>
      <c r="K31" s="2940">
        <v>747753.4</v>
      </c>
      <c r="L31" s="2940">
        <v>4132.22</v>
      </c>
      <c r="M31" s="2940">
        <v>0</v>
      </c>
      <c r="N31" s="2940" t="s">
        <v>3263</v>
      </c>
    </row>
    <row r="32" spans="1:14">
      <c r="A32" s="2940" t="s">
        <v>3264</v>
      </c>
      <c r="B32" s="2940" t="s">
        <v>3202</v>
      </c>
      <c r="C32" s="2940" t="s">
        <v>3231</v>
      </c>
      <c r="D32" s="2940" t="s">
        <v>3239</v>
      </c>
      <c r="E32" s="2940">
        <v>13630.24</v>
      </c>
      <c r="F32" s="2940">
        <v>99500.75</v>
      </c>
      <c r="G32" s="2940" t="s">
        <v>3265</v>
      </c>
      <c r="H32" s="2940" t="s">
        <v>3266</v>
      </c>
      <c r="I32" s="2940" t="s">
        <v>3266</v>
      </c>
      <c r="J32" s="2940" t="s">
        <v>3267</v>
      </c>
      <c r="K32" s="2940">
        <v>40600</v>
      </c>
      <c r="L32" s="2940">
        <v>4080.36</v>
      </c>
      <c r="M32" s="2940">
        <v>0.02</v>
      </c>
      <c r="N32" s="2940" t="s">
        <v>3268</v>
      </c>
    </row>
    <row r="33" spans="1:14">
      <c r="A33" s="2940" t="s">
        <v>3244</v>
      </c>
      <c r="B33" s="2940" t="s">
        <v>3202</v>
      </c>
      <c r="C33" s="2940" t="s">
        <v>3231</v>
      </c>
      <c r="D33" s="2940" t="s">
        <v>3204</v>
      </c>
      <c r="E33" s="2940">
        <v>93420.39</v>
      </c>
      <c r="F33" s="2940">
        <v>465988</v>
      </c>
      <c r="G33" s="2940" t="s">
        <v>3269</v>
      </c>
      <c r="H33" s="2940" t="s">
        <v>3246</v>
      </c>
      <c r="I33" s="2940" t="s">
        <v>3246</v>
      </c>
      <c r="J33" s="2940" t="s">
        <v>3270</v>
      </c>
      <c r="K33" s="2940">
        <v>188434.39</v>
      </c>
      <c r="L33" s="2940">
        <v>4043.76</v>
      </c>
      <c r="M33" s="2940">
        <v>0</v>
      </c>
      <c r="N33" s="2940" t="s">
        <v>3248</v>
      </c>
    </row>
    <row r="34" spans="1:14">
      <c r="A34" s="2940" t="s">
        <v>3254</v>
      </c>
      <c r="B34" s="2940" t="s">
        <v>3202</v>
      </c>
      <c r="C34" s="2940" t="s">
        <v>3203</v>
      </c>
      <c r="D34" s="2940" t="s">
        <v>3239</v>
      </c>
      <c r="E34" s="2940">
        <v>26959.96</v>
      </c>
      <c r="F34" s="2940">
        <v>46101.53</v>
      </c>
      <c r="G34" s="2940" t="s">
        <v>3271</v>
      </c>
      <c r="H34" s="2940" t="s">
        <v>3256</v>
      </c>
      <c r="I34" s="2940" t="s">
        <v>3256</v>
      </c>
      <c r="J34" s="2940" t="s">
        <v>3257</v>
      </c>
      <c r="K34" s="2940">
        <v>18278.88</v>
      </c>
      <c r="L34" s="2940">
        <v>3964.92</v>
      </c>
      <c r="M34" s="2940">
        <v>0</v>
      </c>
      <c r="N34" s="2940" t="s">
        <v>3208</v>
      </c>
    </row>
    <row r="35" spans="1:14">
      <c r="A35" s="2940" t="s">
        <v>3254</v>
      </c>
      <c r="B35" s="2940" t="s">
        <v>3202</v>
      </c>
      <c r="C35" s="2940" t="s">
        <v>3203</v>
      </c>
      <c r="D35" s="2940" t="s">
        <v>3239</v>
      </c>
      <c r="E35" s="2940">
        <v>51824.11</v>
      </c>
      <c r="F35" s="2940">
        <v>88619.23</v>
      </c>
      <c r="G35" s="2940" t="s">
        <v>3271</v>
      </c>
      <c r="H35" s="2940" t="s">
        <v>3256</v>
      </c>
      <c r="I35" s="2940" t="s">
        <v>3256</v>
      </c>
      <c r="J35" s="2940" t="s">
        <v>3257</v>
      </c>
      <c r="K35" s="2940">
        <v>35133.949999999997</v>
      </c>
      <c r="L35" s="2940">
        <v>3964.59</v>
      </c>
      <c r="M35" s="2940">
        <v>0</v>
      </c>
      <c r="N35" s="2940" t="s">
        <v>3208</v>
      </c>
    </row>
    <row r="36" spans="1:14">
      <c r="A36" s="2940" t="s">
        <v>3272</v>
      </c>
      <c r="B36" s="2940" t="s">
        <v>3202</v>
      </c>
      <c r="C36" s="2940" t="s">
        <v>3203</v>
      </c>
      <c r="D36" s="2940" t="s">
        <v>3239</v>
      </c>
      <c r="E36" s="2940">
        <v>22027.43</v>
      </c>
      <c r="F36" s="2940">
        <v>35243.89</v>
      </c>
      <c r="G36" s="2940" t="s">
        <v>3255</v>
      </c>
      <c r="H36" s="2940" t="s">
        <v>3273</v>
      </c>
      <c r="I36" s="2940" t="s">
        <v>3273</v>
      </c>
      <c r="J36" s="2940" t="s">
        <v>3274</v>
      </c>
      <c r="K36" s="2940">
        <v>13445.88</v>
      </c>
      <c r="L36" s="2940">
        <v>3815.09</v>
      </c>
      <c r="M36" s="2940">
        <v>16.27</v>
      </c>
      <c r="N36" s="2940" t="s">
        <v>3208</v>
      </c>
    </row>
    <row r="37" spans="1:14">
      <c r="A37" s="2940" t="s">
        <v>3230</v>
      </c>
      <c r="B37" s="2940" t="s">
        <v>3202</v>
      </c>
      <c r="C37" s="2940" t="s">
        <v>3203</v>
      </c>
      <c r="D37" s="2940" t="s">
        <v>3204</v>
      </c>
      <c r="E37" s="2940">
        <v>33570.97</v>
      </c>
      <c r="F37" s="2940">
        <v>107427.1</v>
      </c>
      <c r="G37" s="2940" t="s">
        <v>3275</v>
      </c>
      <c r="H37" s="2940" t="s">
        <v>3276</v>
      </c>
      <c r="I37" s="2940" t="s">
        <v>3276</v>
      </c>
      <c r="J37" s="2940" t="s">
        <v>3277</v>
      </c>
      <c r="K37" s="2940">
        <v>40516</v>
      </c>
      <c r="L37" s="2940">
        <v>3771.48</v>
      </c>
      <c r="M37" s="2940">
        <v>27.1</v>
      </c>
      <c r="N37" s="2940" t="s">
        <v>3208</v>
      </c>
    </row>
    <row r="38" spans="1:14">
      <c r="A38" s="2940" t="s">
        <v>3230</v>
      </c>
      <c r="B38" s="2940" t="s">
        <v>3202</v>
      </c>
      <c r="C38" s="2940" t="s">
        <v>3203</v>
      </c>
      <c r="D38" s="2940" t="s">
        <v>3204</v>
      </c>
      <c r="E38" s="2940">
        <v>37637.730000000003</v>
      </c>
      <c r="F38" s="2940">
        <v>120440.7</v>
      </c>
      <c r="G38" s="2940" t="s">
        <v>3275</v>
      </c>
      <c r="H38" s="2940" t="s">
        <v>3276</v>
      </c>
      <c r="I38" s="2940" t="s">
        <v>3276</v>
      </c>
      <c r="J38" s="2940" t="s">
        <v>3277</v>
      </c>
      <c r="K38" s="2940">
        <v>45424</v>
      </c>
      <c r="L38" s="2940">
        <v>3771.48</v>
      </c>
      <c r="M38" s="2940">
        <v>27.1</v>
      </c>
      <c r="N38" s="2940" t="s">
        <v>3208</v>
      </c>
    </row>
    <row r="39" spans="1:14">
      <c r="A39" s="2940" t="s">
        <v>3230</v>
      </c>
      <c r="B39" s="2940" t="s">
        <v>3202</v>
      </c>
      <c r="C39" s="2940" t="s">
        <v>3203</v>
      </c>
      <c r="D39" s="2940" t="s">
        <v>3204</v>
      </c>
      <c r="E39" s="2940">
        <v>21906.9</v>
      </c>
      <c r="F39" s="2940">
        <v>70102.080000000002</v>
      </c>
      <c r="G39" s="2940" t="s">
        <v>3275</v>
      </c>
      <c r="H39" s="2940" t="s">
        <v>3276</v>
      </c>
      <c r="I39" s="2940" t="s">
        <v>3276</v>
      </c>
      <c r="J39" s="2940" t="s">
        <v>3277</v>
      </c>
      <c r="K39" s="2940">
        <v>26438</v>
      </c>
      <c r="L39" s="2940">
        <v>3771.36</v>
      </c>
      <c r="M39" s="2940">
        <v>27.1</v>
      </c>
      <c r="N39" s="2940" t="s">
        <v>3208</v>
      </c>
    </row>
    <row r="40" spans="1:14">
      <c r="A40" s="2940" t="s">
        <v>3230</v>
      </c>
      <c r="B40" s="2940" t="s">
        <v>3202</v>
      </c>
      <c r="C40" s="2940" t="s">
        <v>3203</v>
      </c>
      <c r="D40" s="2940" t="s">
        <v>3204</v>
      </c>
      <c r="E40" s="2940">
        <v>27364.65</v>
      </c>
      <c r="F40" s="2940">
        <v>87566.88</v>
      </c>
      <c r="G40" s="2940" t="s">
        <v>3275</v>
      </c>
      <c r="H40" s="2940" t="s">
        <v>3276</v>
      </c>
      <c r="I40" s="2940" t="s">
        <v>3276</v>
      </c>
      <c r="J40" s="2940" t="s">
        <v>3277</v>
      </c>
      <c r="K40" s="2940">
        <v>33024.080000000002</v>
      </c>
      <c r="L40" s="2940">
        <v>3771.3</v>
      </c>
      <c r="M40" s="2940">
        <v>27.09</v>
      </c>
      <c r="N40" s="2940" t="s">
        <v>3208</v>
      </c>
    </row>
    <row r="41" spans="1:14">
      <c r="A41" s="2940" t="s">
        <v>3278</v>
      </c>
      <c r="B41" s="2940" t="s">
        <v>3202</v>
      </c>
      <c r="C41" s="2940" t="s">
        <v>3231</v>
      </c>
      <c r="D41" s="2940" t="s">
        <v>3239</v>
      </c>
      <c r="E41" s="2940">
        <v>13514.71</v>
      </c>
      <c r="F41" s="2940">
        <v>62437.96</v>
      </c>
      <c r="G41" s="2940" t="s">
        <v>3279</v>
      </c>
      <c r="H41" s="2940" t="s">
        <v>3280</v>
      </c>
      <c r="I41" s="2940" t="s">
        <v>3280</v>
      </c>
      <c r="J41" s="2940" t="s">
        <v>3281</v>
      </c>
      <c r="K41" s="2940">
        <v>23165.29</v>
      </c>
      <c r="L41" s="2940">
        <v>3710.13</v>
      </c>
      <c r="M41" s="2940">
        <v>0</v>
      </c>
      <c r="N41" s="2940" t="s">
        <v>3248</v>
      </c>
    </row>
    <row r="42" spans="1:14">
      <c r="A42" s="2940" t="s">
        <v>3210</v>
      </c>
      <c r="B42" s="2940" t="s">
        <v>3202</v>
      </c>
      <c r="C42" s="2940" t="s">
        <v>3203</v>
      </c>
      <c r="D42" s="2940" t="s">
        <v>3239</v>
      </c>
      <c r="E42" s="2940">
        <v>43023.199999999997</v>
      </c>
      <c r="F42" s="2940">
        <v>186720.7</v>
      </c>
      <c r="G42" s="2940" t="s">
        <v>3282</v>
      </c>
      <c r="H42" s="2940" t="s">
        <v>3283</v>
      </c>
      <c r="I42" s="2940" t="s">
        <v>3283</v>
      </c>
      <c r="J42" s="2940" t="s">
        <v>3284</v>
      </c>
      <c r="K42" s="2940">
        <v>67805.41</v>
      </c>
      <c r="L42" s="2940">
        <v>3631.38</v>
      </c>
      <c r="M42" s="2940">
        <v>0</v>
      </c>
      <c r="N42" s="2940" t="s">
        <v>3208</v>
      </c>
    </row>
    <row r="43" spans="1:14">
      <c r="A43" s="2940" t="s">
        <v>3285</v>
      </c>
      <c r="B43" s="2940" t="s">
        <v>3202</v>
      </c>
      <c r="C43" s="2940" t="s">
        <v>3203</v>
      </c>
      <c r="D43" s="2940" t="s">
        <v>3239</v>
      </c>
      <c r="E43" s="2940">
        <v>17896.68</v>
      </c>
      <c r="F43" s="2940">
        <v>75692.08</v>
      </c>
      <c r="G43" s="2940" t="s">
        <v>3286</v>
      </c>
      <c r="H43" s="2940" t="s">
        <v>3287</v>
      </c>
      <c r="I43" s="2940" t="s">
        <v>3287</v>
      </c>
      <c r="J43" s="2940" t="s">
        <v>3288</v>
      </c>
      <c r="K43" s="2940">
        <v>27396.29</v>
      </c>
      <c r="L43" s="2940">
        <v>3619.44</v>
      </c>
      <c r="M43" s="2940">
        <v>0</v>
      </c>
      <c r="N43" s="2940" t="s">
        <v>3208</v>
      </c>
    </row>
    <row r="44" spans="1:14">
      <c r="A44" s="2940" t="s">
        <v>3289</v>
      </c>
      <c r="B44" s="2940" t="s">
        <v>3202</v>
      </c>
      <c r="C44" s="2940" t="s">
        <v>3203</v>
      </c>
      <c r="D44" s="2940" t="s">
        <v>3239</v>
      </c>
      <c r="E44" s="2940">
        <v>3825.75</v>
      </c>
      <c r="F44" s="2940">
        <v>15800.35</v>
      </c>
      <c r="G44" s="2940" t="s">
        <v>3290</v>
      </c>
      <c r="H44" s="2940" t="s">
        <v>3291</v>
      </c>
      <c r="I44" s="2940" t="s">
        <v>3291</v>
      </c>
      <c r="J44" s="2940" t="s">
        <v>3292</v>
      </c>
      <c r="K44" s="2940">
        <v>5688.34</v>
      </c>
      <c r="L44" s="2940">
        <v>3600.13</v>
      </c>
      <c r="M44" s="2940">
        <v>0</v>
      </c>
      <c r="N44" s="2940" t="s">
        <v>3208</v>
      </c>
    </row>
    <row r="45" spans="1:14">
      <c r="A45" s="2940" t="s">
        <v>3293</v>
      </c>
      <c r="B45" s="2940" t="s">
        <v>3202</v>
      </c>
      <c r="C45" s="2940" t="s">
        <v>3203</v>
      </c>
      <c r="D45" s="2940" t="s">
        <v>3204</v>
      </c>
      <c r="E45" s="2940">
        <v>170196.9</v>
      </c>
      <c r="F45" s="2940">
        <v>272315</v>
      </c>
      <c r="G45" s="2940" t="s">
        <v>3255</v>
      </c>
      <c r="H45" s="2940" t="s">
        <v>3294</v>
      </c>
      <c r="I45" s="2940" t="s">
        <v>3294</v>
      </c>
      <c r="J45" s="2940" t="s">
        <v>3295</v>
      </c>
      <c r="K45" s="2940">
        <v>96094</v>
      </c>
      <c r="L45" s="2940">
        <v>3528.78</v>
      </c>
      <c r="M45" s="2940">
        <v>109.11</v>
      </c>
      <c r="N45" s="2940" t="s">
        <v>3208</v>
      </c>
    </row>
    <row r="46" spans="1:14">
      <c r="A46" s="2940" t="s">
        <v>3296</v>
      </c>
      <c r="B46" s="2940" t="s">
        <v>3202</v>
      </c>
      <c r="C46" s="2940" t="s">
        <v>3203</v>
      </c>
      <c r="D46" s="2940" t="s">
        <v>3239</v>
      </c>
      <c r="E46" s="2940">
        <v>24151.42</v>
      </c>
      <c r="F46" s="2940">
        <v>77284.539999999994</v>
      </c>
      <c r="G46" s="2940" t="s">
        <v>3275</v>
      </c>
      <c r="H46" s="2940" t="s">
        <v>3297</v>
      </c>
      <c r="I46" s="2940" t="s">
        <v>3297</v>
      </c>
      <c r="J46" s="2940" t="s">
        <v>3298</v>
      </c>
      <c r="K46" s="2940">
        <v>27100.04</v>
      </c>
      <c r="L46" s="2940">
        <v>3506.53</v>
      </c>
      <c r="M46" s="2940">
        <v>0</v>
      </c>
      <c r="N46" s="2940" t="s">
        <v>3208</v>
      </c>
    </row>
    <row r="47" spans="1:14">
      <c r="A47" s="2940" t="s">
        <v>3296</v>
      </c>
      <c r="B47" s="2940" t="s">
        <v>3202</v>
      </c>
      <c r="C47" s="2940" t="s">
        <v>3203</v>
      </c>
      <c r="D47" s="2940" t="s">
        <v>3239</v>
      </c>
      <c r="E47" s="2940">
        <v>24366.78</v>
      </c>
      <c r="F47" s="2940">
        <v>77973.7</v>
      </c>
      <c r="G47" s="2940" t="s">
        <v>3275</v>
      </c>
      <c r="H47" s="2940" t="s">
        <v>3297</v>
      </c>
      <c r="I47" s="2940" t="s">
        <v>3297</v>
      </c>
      <c r="J47" s="2940" t="s">
        <v>3298</v>
      </c>
      <c r="K47" s="2940">
        <v>27339.4</v>
      </c>
      <c r="L47" s="2940">
        <v>3506.23</v>
      </c>
      <c r="M47" s="2940">
        <v>0</v>
      </c>
      <c r="N47" s="2940" t="s">
        <v>3208</v>
      </c>
    </row>
    <row r="48" spans="1:14">
      <c r="A48" s="2940" t="s">
        <v>3296</v>
      </c>
      <c r="B48" s="2940" t="s">
        <v>3202</v>
      </c>
      <c r="C48" s="2940" t="s">
        <v>3231</v>
      </c>
      <c r="D48" s="2940" t="s">
        <v>3239</v>
      </c>
      <c r="E48" s="2940">
        <v>70563.75</v>
      </c>
      <c r="F48" s="2940">
        <v>225804</v>
      </c>
      <c r="G48" s="2940" t="s">
        <v>3275</v>
      </c>
      <c r="H48" s="2940" t="s">
        <v>3297</v>
      </c>
      <c r="I48" s="2940" t="s">
        <v>3297</v>
      </c>
      <c r="J48" s="2940" t="s">
        <v>3298</v>
      </c>
      <c r="K48" s="2940">
        <v>79168.320000000007</v>
      </c>
      <c r="L48" s="2940">
        <v>3506.05</v>
      </c>
      <c r="M48" s="2940">
        <v>0</v>
      </c>
      <c r="N48" s="2940" t="s">
        <v>3235</v>
      </c>
    </row>
    <row r="49" spans="1:14">
      <c r="A49" s="2940" t="s">
        <v>3272</v>
      </c>
      <c r="B49" s="2940" t="s">
        <v>3202</v>
      </c>
      <c r="C49" s="2940" t="s">
        <v>3203</v>
      </c>
      <c r="D49" s="2940" t="s">
        <v>3204</v>
      </c>
      <c r="E49" s="2940">
        <v>16309.25</v>
      </c>
      <c r="F49" s="2940">
        <v>24463.88</v>
      </c>
      <c r="G49" s="2940" t="s">
        <v>3299</v>
      </c>
      <c r="H49" s="2940" t="s">
        <v>3273</v>
      </c>
      <c r="I49" s="2940" t="s">
        <v>3273</v>
      </c>
      <c r="J49" s="2940" t="s">
        <v>3274</v>
      </c>
      <c r="K49" s="2940">
        <v>8561</v>
      </c>
      <c r="L49" s="2940">
        <v>3499.44</v>
      </c>
      <c r="M49" s="2940">
        <v>0</v>
      </c>
      <c r="N49" s="2940" t="s">
        <v>3208</v>
      </c>
    </row>
    <row r="50" spans="1:14">
      <c r="A50" s="2940" t="s">
        <v>3223</v>
      </c>
      <c r="B50" s="2940" t="s">
        <v>3202</v>
      </c>
      <c r="C50" s="2940" t="s">
        <v>3203</v>
      </c>
      <c r="D50" s="2940" t="s">
        <v>3204</v>
      </c>
      <c r="E50" s="2940">
        <v>71512.149999999994</v>
      </c>
      <c r="F50" s="2940">
        <v>143024.29999999999</v>
      </c>
      <c r="G50" s="2940" t="s">
        <v>3300</v>
      </c>
      <c r="H50" s="2940" t="s">
        <v>3225</v>
      </c>
      <c r="I50" s="2940" t="s">
        <v>3225</v>
      </c>
      <c r="J50" s="2940" t="s">
        <v>3226</v>
      </c>
      <c r="K50" s="2940">
        <v>49344.19</v>
      </c>
      <c r="L50" s="2940">
        <v>3450.05</v>
      </c>
      <c r="M50" s="2940">
        <v>0</v>
      </c>
      <c r="N50" s="2940" t="s">
        <v>3227</v>
      </c>
    </row>
    <row r="51" spans="1:14">
      <c r="A51" s="2940" t="s">
        <v>3223</v>
      </c>
      <c r="B51" s="2940" t="s">
        <v>3202</v>
      </c>
      <c r="C51" s="2940" t="s">
        <v>3203</v>
      </c>
      <c r="D51" s="2940" t="s">
        <v>3204</v>
      </c>
      <c r="E51" s="2940">
        <v>76680.86</v>
      </c>
      <c r="F51" s="2940">
        <v>153361.70000000001</v>
      </c>
      <c r="G51" s="2940" t="s">
        <v>3300</v>
      </c>
      <c r="H51" s="2940" t="s">
        <v>3225</v>
      </c>
      <c r="I51" s="2940" t="s">
        <v>3225</v>
      </c>
      <c r="J51" s="2940" t="s">
        <v>3226</v>
      </c>
      <c r="K51" s="2940">
        <v>52909.19</v>
      </c>
      <c r="L51" s="2940">
        <v>3449.96</v>
      </c>
      <c r="M51" s="2940">
        <v>0</v>
      </c>
      <c r="N51" s="2940" t="s">
        <v>3227</v>
      </c>
    </row>
  </sheetData>
  <autoFilter ref="A1:WVV1">
    <sortState ref="A2:WVV51">
      <sortCondition descending="1" ref="L1"/>
    </sortState>
  </autoFilter>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F10" sqref="F10"/>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11</v>
      </c>
    </row>
    <row r="2" spans="1:31" s="2042" customFormat="1" ht="18" customHeight="1">
      <c r="A2" s="2102" t="s">
        <v>467</v>
      </c>
      <c r="B2" s="2106">
        <f ca="1">C36</f>
        <v>126258</v>
      </c>
      <c r="C2" s="2105"/>
      <c r="D2" s="2105"/>
      <c r="E2" s="2105"/>
      <c r="F2" s="2105"/>
      <c r="G2" s="2105"/>
      <c r="H2" s="2105"/>
      <c r="I2" s="2105"/>
      <c r="J2" s="2105"/>
      <c r="K2" s="2105"/>
    </row>
    <row r="3" spans="1:31" s="2042" customFormat="1" ht="18" customHeight="1">
      <c r="A3" s="2107" t="s">
        <v>1685</v>
      </c>
      <c r="B3" s="2108">
        <f ca="1">ROUND(B2*10000/IF(B1="",'数据-汇总表'!E3,INDIRECT("'数据-取费表'!K"&amp;$K$1)),0)</f>
        <v>7346</v>
      </c>
      <c r="C3" s="2105"/>
      <c r="D3" s="2105"/>
      <c r="E3" s="2105"/>
      <c r="F3" s="2105"/>
      <c r="G3" s="2105"/>
      <c r="H3" s="2105"/>
      <c r="I3" s="2105"/>
      <c r="J3" s="2105"/>
      <c r="K3" s="2105"/>
    </row>
    <row r="4" spans="1:31" s="2042" customFormat="1" ht="18" customHeight="1">
      <c r="A4" s="426" t="s">
        <v>468</v>
      </c>
      <c r="B4" s="427">
        <f ca="1">ROUND(B2*10000/IF(B1="",'数据-汇总表'!D3,INDIRECT("'数据-取费表'!R"&amp;$K$1)),0)</f>
        <v>73813</v>
      </c>
      <c r="C4" s="428"/>
      <c r="D4" s="422"/>
      <c r="E4" s="422"/>
      <c r="F4" s="422"/>
      <c r="G4" s="422"/>
      <c r="H4" s="422"/>
      <c r="I4" s="422"/>
      <c r="J4" s="422"/>
      <c r="K4" s="422"/>
    </row>
    <row r="5" spans="1:31" s="2042" customFormat="1" ht="18" customHeight="1" thickBot="1">
      <c r="A5" s="429"/>
      <c r="B5" s="430">
        <f ca="1">ROUND(B2/(IF(B1="",'数据-汇总表'!D3,INDIRECT("'数据-取费表'!R"&amp;$K$1))/666.67),0)</f>
        <v>4921</v>
      </c>
      <c r="C5" s="431" t="s">
        <v>469</v>
      </c>
      <c r="D5" s="422"/>
      <c r="E5" s="422"/>
      <c r="F5" s="422"/>
      <c r="G5" s="422"/>
      <c r="H5" s="422"/>
      <c r="I5" s="422"/>
      <c r="J5" s="422"/>
      <c r="K5" s="422"/>
    </row>
    <row r="6" spans="1:31" s="2112" customFormat="1" ht="16.5" customHeight="1">
      <c r="A6" s="2829" t="s">
        <v>1843</v>
      </c>
      <c r="B6" s="2830"/>
      <c r="C6" s="2831">
        <f ca="1">SUM(C10:K10)</f>
        <v>264002</v>
      </c>
      <c r="D6" s="2830"/>
      <c r="E6" s="2830"/>
      <c r="F6" s="2830"/>
      <c r="G6" s="2830"/>
      <c r="H6" s="2830"/>
      <c r="I6" s="2830"/>
      <c r="J6" s="2830"/>
      <c r="K6" s="2832"/>
    </row>
    <row r="7" spans="1:31" s="2114" customFormat="1" ht="15">
      <c r="A7" s="2833" t="s">
        <v>470</v>
      </c>
      <c r="B7" s="2834" t="s">
        <v>471</v>
      </c>
      <c r="C7" s="436" t="s">
        <v>2995</v>
      </c>
      <c r="D7" s="436" t="s">
        <v>2997</v>
      </c>
      <c r="E7" s="436" t="s">
        <v>3002</v>
      </c>
      <c r="F7" s="436" t="s">
        <v>3101</v>
      </c>
      <c r="G7" s="436"/>
      <c r="H7" s="436"/>
      <c r="I7" s="436"/>
      <c r="J7" s="436"/>
      <c r="K7" s="437"/>
      <c r="L7" s="3249"/>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35">
        <f>'不动产比较法-住宅'!B3</f>
        <v>24845</v>
      </c>
      <c r="D8" s="2835">
        <f>'不动产比较法-办公'!B3</f>
        <v>16443</v>
      </c>
      <c r="E8" s="2835">
        <f ca="1">不动产收益法!B3</f>
        <v>30643</v>
      </c>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65059.829999999987</v>
      </c>
      <c r="D9" s="441">
        <f>SUMIF('数据-汇总表'!$C19:$C33,'剩余法-待开发'!D7,'数据-汇总表'!$E19:$E33)</f>
        <v>45389.999999999985</v>
      </c>
      <c r="E9" s="441">
        <f>SUMIF('数据-汇总表'!$C19:$C33,'剩余法-待开发'!E7,'数据-汇总表'!$E19:$E33)</f>
        <v>513</v>
      </c>
      <c r="F9" s="441">
        <f>SUMIF('数据-汇总表'!$C19:$C33,'剩余法-待开发'!F7,'数据-汇总表'!$E19:$E33)</f>
        <v>54058</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30">
        <f>'不动产比较法-住宅'!B2</f>
        <v>161641</v>
      </c>
      <c r="D10" s="3030">
        <f>'不动产比较法-办公'!B2</f>
        <v>74635</v>
      </c>
      <c r="E10" s="3030">
        <f ca="1">不动产收益法!B2</f>
        <v>1572</v>
      </c>
      <c r="F10" s="3030">
        <f>'不动产比较法-车位'!B2</f>
        <v>26154</v>
      </c>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64657</v>
      </c>
      <c r="D13" s="2845"/>
      <c r="E13" s="2846"/>
      <c r="F13" s="2847"/>
      <c r="G13" s="2813"/>
      <c r="H13" s="2814"/>
      <c r="I13" s="2814"/>
      <c r="J13" s="2814"/>
      <c r="K13" s="2815"/>
    </row>
    <row r="14" spans="1:31" s="2117" customFormat="1" ht="13.5" customHeight="1">
      <c r="A14" s="2843" t="s">
        <v>1850</v>
      </c>
      <c r="B14" s="2844" t="s">
        <v>480</v>
      </c>
      <c r="C14" s="53">
        <f ca="1">ROUND(C13*F14,0)</f>
        <v>1940</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1528</v>
      </c>
      <c r="D15" s="2845"/>
      <c r="E15" s="2846"/>
      <c r="F15" s="2848">
        <f>'数据-取费表'!B34</f>
        <v>0.05</v>
      </c>
      <c r="G15" s="2813" t="s">
        <v>483</v>
      </c>
      <c r="H15" s="2814"/>
      <c r="I15" s="2814"/>
      <c r="J15" s="2814"/>
      <c r="K15" s="2815"/>
    </row>
    <row r="16" spans="1:31" s="2118" customFormat="1" ht="13.5" customHeight="1">
      <c r="A16" s="2843" t="s">
        <v>1852</v>
      </c>
      <c r="B16" s="2844" t="s">
        <v>484</v>
      </c>
      <c r="C16" s="53">
        <f ca="1">ROUND(D16*E16/10000,0)</f>
        <v>3437</v>
      </c>
      <c r="D16" s="2845">
        <f ca="1">IF(B1="",'数据-汇总表'!E3,INDIRECT("'数据-取费表'!K"&amp;$K$1)+INDIRECT("'数据-取费表'!S"&amp;$K$1))</f>
        <v>171863.99999999997</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970</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72532</v>
      </c>
      <c r="D18" s="2854"/>
      <c r="E18" s="468"/>
      <c r="F18" s="468"/>
      <c r="G18" s="2817" t="s">
        <v>2433</v>
      </c>
      <c r="H18" s="2818"/>
      <c r="I18" s="2818"/>
      <c r="J18" s="2818"/>
      <c r="K18" s="2819"/>
    </row>
    <row r="19" spans="1:14" s="2117" customFormat="1" ht="13.5" customHeight="1">
      <c r="A19" s="2851" t="s">
        <v>1855</v>
      </c>
      <c r="B19" s="2852" t="s">
        <v>488</v>
      </c>
      <c r="C19" s="2809">
        <f ca="1">ROUND(D19*E19/10000,0)</f>
        <v>0</v>
      </c>
      <c r="D19" s="2855">
        <f ca="1">D16</f>
        <v>171863.99999999997</v>
      </c>
      <c r="E19" s="2809">
        <f>'数据-取费表'!B32</f>
        <v>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2188</v>
      </c>
      <c r="D20" s="2855"/>
      <c r="E20" s="2809"/>
      <c r="F20" s="2856"/>
      <c r="G20" s="3090"/>
      <c r="H20" s="2811"/>
      <c r="I20" s="2812" t="s">
        <v>2654</v>
      </c>
      <c r="J20" s="2818"/>
      <c r="K20" s="2819"/>
    </row>
    <row r="21" spans="1:14" s="2117" customFormat="1" ht="13.5" customHeight="1">
      <c r="A21" s="2843" t="s">
        <v>1857</v>
      </c>
      <c r="B21" s="2844" t="s">
        <v>491</v>
      </c>
      <c r="C21" s="53">
        <f ca="1">ROUND(D21*E21/10000,0)</f>
        <v>562</v>
      </c>
      <c r="D21" s="2845">
        <f ca="1">IF(B1="",'数据-汇总表'!E5,IF(INDIRECT("'数据-取费表'!c"&amp;$K$1)="住宅",INDIRECT("'数据-取费表'!k"&amp;$K$1),0))</f>
        <v>70218.999999999985</v>
      </c>
      <c r="E21" s="53">
        <f>'数据-取费表'!B27</f>
        <v>80</v>
      </c>
      <c r="F21" s="2848"/>
      <c r="G21" s="26"/>
      <c r="H21" s="51"/>
      <c r="I21" s="51"/>
      <c r="J21" s="51"/>
      <c r="K21" s="2820"/>
    </row>
    <row r="22" spans="1:14" s="2117" customFormat="1" ht="13.5" customHeight="1">
      <c r="A22" s="2843" t="s">
        <v>1858</v>
      </c>
      <c r="B22" s="2844" t="s">
        <v>492</v>
      </c>
      <c r="C22" s="53">
        <f ca="1">ROUND(D22*E22/10000,0)</f>
        <v>1626</v>
      </c>
      <c r="D22" s="2845">
        <f ca="1">IF(B1="",'数据-汇总表'!E6,IF(INDIRECT("'数据-取费表'!c"&amp;$K$1)="住宅",INDIRECT("'数据-取费表'!s"&amp;$K$1),INDIRECT("'数据-取费表'!k"&amp;$K$1)+INDIRECT("'数据-取费表'!s"&amp;$K$1)))</f>
        <v>101644.99999999999</v>
      </c>
      <c r="E22" s="53">
        <f>'数据-取费表'!B28</f>
        <v>160</v>
      </c>
      <c r="F22" s="2848"/>
      <c r="G22" s="26"/>
      <c r="H22" s="51"/>
      <c r="I22" s="51"/>
      <c r="J22" s="51"/>
      <c r="K22" s="2820"/>
    </row>
    <row r="23" spans="1:14" s="2117" customFormat="1" ht="13.5" customHeight="1">
      <c r="A23" s="2851" t="s">
        <v>1859</v>
      </c>
      <c r="B23" s="3036" t="s">
        <v>2837</v>
      </c>
      <c r="C23" s="2853">
        <f ca="1">ROUND((C18+C19+C20)*F23,0)</f>
        <v>2242</v>
      </c>
      <c r="D23" s="468"/>
      <c r="E23" s="468"/>
      <c r="F23" s="2857">
        <f>'数据-取费表'!B37</f>
        <v>0.03</v>
      </c>
      <c r="G23" s="2813" t="s">
        <v>2434</v>
      </c>
      <c r="H23" s="2814"/>
      <c r="I23" s="2814"/>
      <c r="J23" s="2814"/>
      <c r="K23" s="2815"/>
      <c r="L23" s="2119"/>
      <c r="M23" s="2119"/>
      <c r="N23" s="2119"/>
    </row>
    <row r="24" spans="1:14" s="2117" customFormat="1" ht="13.5" customHeight="1">
      <c r="A24" s="2851" t="s">
        <v>1860</v>
      </c>
      <c r="B24" s="3036" t="s">
        <v>2840</v>
      </c>
      <c r="C24" s="2853">
        <f ca="1">ROUND(C6*F24,0)</f>
        <v>5280</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6" t="s">
        <v>2838</v>
      </c>
      <c r="C25" s="467">
        <f>ROUND(F25/(1+'数据-取费表'!C42),4)</f>
        <v>2.9000000000000001E-2</v>
      </c>
      <c r="D25" s="462" t="s">
        <v>2832</v>
      </c>
      <c r="E25" s="469"/>
      <c r="F25" s="2857">
        <f>'数据-取费表'!B48+'数据-取费表'!B49</f>
        <v>3.0499999999999999E-2</v>
      </c>
      <c r="G25" s="2821" t="s">
        <v>2292</v>
      </c>
      <c r="H25" s="2814"/>
      <c r="I25" s="2814"/>
      <c r="J25" s="2814"/>
      <c r="K25" s="2815"/>
    </row>
    <row r="26" spans="1:14" s="2119" customFormat="1" ht="13.5" customHeight="1">
      <c r="A26" s="2851" t="s">
        <v>1862</v>
      </c>
      <c r="B26" s="3037" t="s">
        <v>2839</v>
      </c>
      <c r="C26" s="2858">
        <f ca="1">C28</f>
        <v>3906</v>
      </c>
      <c r="D26" s="467">
        <f ca="1">C27</f>
        <v>0.10009999999999999</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2841</v>
      </c>
      <c r="C28" s="2861">
        <f ca="1">ROUND(IF('数据-取费表'!B22&lt;=1,(C18+C19+C20+C23+C24)*F26*'数据-取费表'!B24/2,(C18+C19+C20+C23+C24)*(POWER((1+F26),'数据-取费表'!B24/2)-1)),0)</f>
        <v>3906</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 ca="1">ROUND(C6*F29/(1+'数据-取费表'!C42),0)</f>
        <v>14080</v>
      </c>
      <c r="D29" s="468"/>
      <c r="E29" s="468"/>
      <c r="F29" s="3038">
        <f>'数据-取费表'!B41</f>
        <v>5.6000000000000001E-2</v>
      </c>
      <c r="G29" s="2822" t="s">
        <v>498</v>
      </c>
      <c r="H29" s="2814"/>
      <c r="I29" s="2814"/>
      <c r="J29" s="2814"/>
      <c r="K29" s="2815"/>
    </row>
    <row r="30" spans="1:14" s="2122" customFormat="1" ht="13.5" customHeight="1">
      <c r="A30" s="1635" t="s">
        <v>1864</v>
      </c>
      <c r="B30" s="2863" t="s">
        <v>500</v>
      </c>
      <c r="C30" s="2858">
        <f ca="1">C31</f>
        <v>100228</v>
      </c>
      <c r="D30" s="477">
        <f ca="1">C32</f>
        <v>0.12909999999999999</v>
      </c>
      <c r="E30" s="469" t="s">
        <v>495</v>
      </c>
      <c r="F30" s="471"/>
      <c r="G30" s="2821" t="s">
        <v>2979</v>
      </c>
      <c r="H30" s="2814"/>
      <c r="I30" s="2814"/>
      <c r="J30" s="2814"/>
      <c r="K30" s="2815"/>
    </row>
    <row r="31" spans="1:14" s="2121" customFormat="1" ht="13.5" customHeight="1">
      <c r="A31" s="803" t="s">
        <v>1857</v>
      </c>
      <c r="B31" s="2859"/>
      <c r="C31" s="450">
        <f ca="1">C18+C19+C20+C23+C24+C26+C29</f>
        <v>100228</v>
      </c>
      <c r="D31" s="472"/>
      <c r="E31" s="473"/>
      <c r="F31" s="474"/>
      <c r="G31" s="261"/>
      <c r="H31" s="2816"/>
      <c r="I31" s="2816"/>
      <c r="J31" s="2816"/>
      <c r="K31" s="279"/>
    </row>
    <row r="32" spans="1:14" s="2121" customFormat="1" ht="13.5" customHeight="1">
      <c r="A32" s="803" t="s">
        <v>1858</v>
      </c>
      <c r="B32" s="2859"/>
      <c r="C32" s="53">
        <f ca="1">ROUND(C25+D26,4)</f>
        <v>0.12909999999999999</v>
      </c>
      <c r="D32" s="472"/>
      <c r="E32" s="473"/>
      <c r="F32" s="474"/>
      <c r="G32" s="261"/>
      <c r="H32" s="2816"/>
      <c r="I32" s="2816"/>
      <c r="J32" s="2816"/>
      <c r="K32" s="279"/>
    </row>
    <row r="33" spans="1:11" s="2123" customFormat="1" ht="13.5" customHeight="1">
      <c r="A33" s="3035" t="s">
        <v>2836</v>
      </c>
      <c r="B33" s="3033" t="s">
        <v>2834</v>
      </c>
      <c r="C33" s="478">
        <f ca="1">C35</f>
        <v>8224</v>
      </c>
      <c r="D33" s="467">
        <f ca="1">C34</f>
        <v>0.10290000000000001</v>
      </c>
      <c r="E33" s="469" t="s">
        <v>495</v>
      </c>
      <c r="F33" s="479">
        <f ca="1">IF(B1="",'数据-取费表'!Q16,INDIRECT("'数据-取费表'!q"&amp;$K$1))</f>
        <v>0.1</v>
      </c>
      <c r="G33" s="2817"/>
      <c r="H33" s="2818"/>
      <c r="I33" s="2818"/>
      <c r="J33" s="2818"/>
      <c r="K33" s="2819"/>
    </row>
    <row r="34" spans="1:11" s="2124" customFormat="1" ht="13.5" customHeight="1">
      <c r="A34" s="375" t="s">
        <v>1857</v>
      </c>
      <c r="B34" s="2864" t="s">
        <v>501</v>
      </c>
      <c r="C34" s="472">
        <f ca="1">ROUND((1+C25)*F33,4)</f>
        <v>0.10290000000000001</v>
      </c>
      <c r="D34" s="472"/>
      <c r="E34" s="473"/>
      <c r="F34" s="480"/>
      <c r="G34" s="261" t="s">
        <v>2293</v>
      </c>
      <c r="H34" s="2816"/>
      <c r="I34" s="2816"/>
      <c r="J34" s="2816"/>
      <c r="K34" s="279"/>
    </row>
    <row r="35" spans="1:11" s="2124" customFormat="1" ht="13.5" customHeight="1" thickBot="1">
      <c r="A35" s="1636" t="s">
        <v>1858</v>
      </c>
      <c r="B35" s="3034" t="s">
        <v>2842</v>
      </c>
      <c r="C35" s="1628">
        <f ca="1">ROUND((C18+C19+C20+C23+C24)*F33,0)</f>
        <v>8224</v>
      </c>
      <c r="D35" s="1629"/>
      <c r="E35" s="2865"/>
      <c r="F35" s="1630"/>
      <c r="G35" s="2823"/>
      <c r="H35" s="2824"/>
      <c r="I35" s="2824"/>
      <c r="J35" s="2824"/>
      <c r="K35" s="2825"/>
    </row>
    <row r="36" spans="1:11" s="2086" customFormat="1" ht="13.5" customHeight="1" thickBot="1">
      <c r="A36" s="284" t="s">
        <v>1845</v>
      </c>
      <c r="B36" s="2827"/>
      <c r="C36" s="2866">
        <f ca="1">ROUND((C6-C30-C33)/(1+D30+D33),0)</f>
        <v>126258</v>
      </c>
      <c r="D36" s="2827"/>
      <c r="E36" s="2827"/>
      <c r="F36" s="2827"/>
      <c r="G36" s="2826" t="s">
        <v>2843</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1" sqref="E2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3002</v>
      </c>
      <c r="D1" s="3127" t="s">
        <v>3185</v>
      </c>
      <c r="E1" s="2388" t="s">
        <v>2377</v>
      </c>
      <c r="F1" s="2389">
        <f ca="1">J53</f>
        <v>36.840000000000003</v>
      </c>
      <c r="G1" s="774">
        <f>MATCH(C1,'数据-取费表'!A6:A16,0)+5</f>
        <v>8</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1572</v>
      </c>
      <c r="C2" s="2058"/>
      <c r="D2" s="2056"/>
      <c r="E2" s="2057"/>
      <c r="F2" s="2057"/>
      <c r="G2" s="1590"/>
      <c r="H2" s="2058"/>
      <c r="I2" s="2058"/>
      <c r="J2" s="2058"/>
      <c r="K2" s="2059"/>
      <c r="L2" s="2058"/>
      <c r="M2" s="2058"/>
    </row>
    <row r="3" spans="1:33" ht="18" customHeight="1" thickBot="1">
      <c r="A3" s="833" t="s">
        <v>1728</v>
      </c>
      <c r="B3" s="834">
        <f ca="1">IF(ISERROR(B2*10000/F43),0,ROUND(B2*10000/F43,0))</f>
        <v>30643</v>
      </c>
      <c r="C3" s="2058"/>
      <c r="D3" s="2056"/>
      <c r="E3" s="2057"/>
      <c r="F3" s="2057"/>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2461</v>
      </c>
      <c r="C5" s="55">
        <f ca="1">C6+C10+C12</f>
        <v>89</v>
      </c>
      <c r="D5" s="2497" t="s">
        <v>2464</v>
      </c>
      <c r="E5" s="2491"/>
      <c r="F5" s="2492"/>
      <c r="G5" s="1592"/>
      <c r="H5" s="781">
        <v>1</v>
      </c>
      <c r="I5" s="782" t="s">
        <v>2461</v>
      </c>
      <c r="J5" s="55">
        <f ca="1">J6+J10+J12</f>
        <v>0</v>
      </c>
      <c r="K5" s="2497" t="s">
        <v>2464</v>
      </c>
      <c r="L5" s="2491"/>
      <c r="M5" s="2492"/>
    </row>
    <row r="6" spans="1:33" ht="18" customHeight="1">
      <c r="A6" s="1831" t="s">
        <v>1825</v>
      </c>
      <c r="B6" s="3513" t="s">
        <v>2466</v>
      </c>
      <c r="C6" s="783">
        <f ca="1">ROUND(F6*F8*F7*(1-F9)/10000,0)</f>
        <v>89</v>
      </c>
      <c r="D6" s="2498" t="s">
        <v>2465</v>
      </c>
      <c r="E6" s="784" t="s">
        <v>1739</v>
      </c>
      <c r="F6" s="785">
        <f ca="1">INDIRECT("'数据-取费表'!u"&amp;$G$1)</f>
        <v>5</v>
      </c>
      <c r="G6" s="1592"/>
      <c r="H6" s="2505" t="s">
        <v>2471</v>
      </c>
      <c r="I6" s="3513" t="s">
        <v>2466</v>
      </c>
      <c r="J6" s="783">
        <f ca="1">ROUND(M6*M8*M7*(1-M9)/10000,0)</f>
        <v>0</v>
      </c>
      <c r="K6" s="341" t="s">
        <v>1738</v>
      </c>
      <c r="L6" s="784" t="s">
        <v>1739</v>
      </c>
      <c r="M6" s="785">
        <f ca="1">INDIRECT("'数据-取费表'!z"&amp;$G$1)</f>
        <v>0</v>
      </c>
    </row>
    <row r="7" spans="1:33" ht="18" customHeight="1">
      <c r="A7" s="2501"/>
      <c r="B7" s="3514"/>
      <c r="C7" s="788"/>
      <c r="D7" s="789"/>
      <c r="E7" s="784" t="s">
        <v>1740</v>
      </c>
      <c r="F7" s="785">
        <f ca="1">IF(INDIRECT("'数据-取费表'!ah"&amp;$G$1)="",INDIRECT("'数据-取费表'!k"&amp;$G$1),INDIRECT("'数据-取费表'!ah"&amp;$G$1))</f>
        <v>513</v>
      </c>
      <c r="G7" s="1592"/>
      <c r="H7" s="2490"/>
      <c r="I7" s="3514"/>
      <c r="J7" s="788"/>
      <c r="K7" s="789"/>
      <c r="L7" s="784" t="s">
        <v>1740</v>
      </c>
      <c r="M7" s="785">
        <f ca="1">F7</f>
        <v>513</v>
      </c>
    </row>
    <row r="8" spans="1:33" ht="18" customHeight="1">
      <c r="A8" s="2494"/>
      <c r="B8" s="3515"/>
      <c r="C8" s="788"/>
      <c r="D8" s="789"/>
      <c r="E8" s="784" t="s">
        <v>1741</v>
      </c>
      <c r="F8" s="785">
        <f ca="1">INDIRECT("'数据-取费表'!ai"&amp;$G$1)</f>
        <v>365</v>
      </c>
      <c r="G8" s="1592"/>
      <c r="H8" s="2490"/>
      <c r="I8" s="3515"/>
      <c r="J8" s="788"/>
      <c r="K8" s="789"/>
      <c r="L8" s="784" t="s">
        <v>1741</v>
      </c>
      <c r="M8" s="785">
        <f ca="1">INDIRECT("'数据-取费表'!ai"&amp;$G$1)</f>
        <v>365</v>
      </c>
    </row>
    <row r="9" spans="1:33" ht="18" customHeight="1">
      <c r="A9" s="786"/>
      <c r="B9" s="3516"/>
      <c r="C9" s="788"/>
      <c r="D9" s="789"/>
      <c r="E9" s="784" t="s">
        <v>1742</v>
      </c>
      <c r="F9" s="794">
        <f ca="1">INDIRECT("'数据-取费表'!w"&amp;$G$1)</f>
        <v>0.05</v>
      </c>
      <c r="G9" s="1592"/>
      <c r="H9" s="2506"/>
      <c r="I9" s="3515"/>
      <c r="J9" s="788"/>
      <c r="K9" s="789"/>
      <c r="L9" s="795" t="s">
        <v>1742</v>
      </c>
      <c r="M9" s="796">
        <f ca="1">INDIRECT("'数据-取费表'!ab"&amp;$G$1)</f>
        <v>0</v>
      </c>
    </row>
    <row r="10" spans="1:33" ht="18" customHeight="1">
      <c r="A10" s="1831" t="s">
        <v>2469</v>
      </c>
      <c r="B10" s="2495" t="s">
        <v>2462</v>
      </c>
      <c r="C10" s="799">
        <f ca="1">ROUND(IF(F10="押一",C6/12*F11,IF(F10="押二",C6/12*2*F11,IF(F10="押三",C6/12*3*F11,C11*F11))),0)</f>
        <v>0</v>
      </c>
      <c r="D10" s="2502" t="s">
        <v>2981</v>
      </c>
      <c r="E10" s="2499" t="s">
        <v>2467</v>
      </c>
      <c r="F10" s="2622" t="s">
        <v>3186</v>
      </c>
      <c r="G10" s="1592"/>
      <c r="H10" s="2562" t="s">
        <v>2472</v>
      </c>
      <c r="I10" s="2567" t="s">
        <v>2462</v>
      </c>
      <c r="J10" s="783">
        <f ca="1">ROUND(IF(M10="押一",J6/12*M11,IF(M10="押二",J6/12*2*M11,IF(M10="押三",J6/12*3*M11,J11*M11))),0)</f>
        <v>0</v>
      </c>
      <c r="K10" s="2502" t="s">
        <v>2981</v>
      </c>
      <c r="L10" s="2499" t="s">
        <v>2467</v>
      </c>
      <c r="M10" s="2622"/>
    </row>
    <row r="11" spans="1:33" ht="18" customHeight="1">
      <c r="A11" s="790"/>
      <c r="B11" s="2496" t="s">
        <v>2576</v>
      </c>
      <c r="C11" s="2500"/>
      <c r="D11" s="789"/>
      <c r="E11" s="2499" t="s">
        <v>2468</v>
      </c>
      <c r="F11" s="796">
        <f ca="1">'数据-取费表'!B39</f>
        <v>1.4999999999999999E-2</v>
      </c>
      <c r="G11" s="1592"/>
      <c r="H11" s="2563"/>
      <c r="I11" s="2496" t="s">
        <v>2576</v>
      </c>
      <c r="J11" s="2500"/>
      <c r="K11" s="2564"/>
      <c r="L11" s="2499" t="s">
        <v>2468</v>
      </c>
      <c r="M11" s="2493">
        <f ca="1">'数据-取费表'!B39</f>
        <v>1.4999999999999999E-2</v>
      </c>
    </row>
    <row r="12" spans="1:33" ht="18" customHeight="1" thickBot="1">
      <c r="A12" s="2538" t="s">
        <v>2470</v>
      </c>
      <c r="B12" s="2539" t="s">
        <v>2463</v>
      </c>
      <c r="C12" s="2540"/>
      <c r="D12" s="2541"/>
      <c r="E12" s="2542"/>
      <c r="F12" s="2543"/>
      <c r="G12" s="1592"/>
      <c r="H12" s="2552" t="s">
        <v>2473</v>
      </c>
      <c r="I12" s="2565" t="s">
        <v>2463</v>
      </c>
      <c r="J12" s="2566"/>
      <c r="K12" s="2541"/>
      <c r="L12" s="2542"/>
      <c r="M12" s="2555"/>
    </row>
    <row r="13" spans="1:33" ht="18" customHeight="1" thickTop="1">
      <c r="A13" s="1830">
        <v>2</v>
      </c>
      <c r="B13" s="1828" t="s">
        <v>1743</v>
      </c>
      <c r="C13" s="792">
        <f ca="1">ROUND(C29*F13,0)</f>
        <v>209</v>
      </c>
      <c r="D13" s="1835" t="s">
        <v>2300</v>
      </c>
      <c r="E13" s="1835" t="s">
        <v>1745</v>
      </c>
      <c r="F13" s="2537">
        <f ca="1">INDIRECT("'数据-取费表'!y"&amp;$G$1)</f>
        <v>1</v>
      </c>
      <c r="G13" s="1592"/>
      <c r="H13" s="1830">
        <v>2</v>
      </c>
      <c r="I13" s="1828" t="s">
        <v>1743</v>
      </c>
      <c r="J13" s="1820">
        <f ca="1">ROUND(J14*J15,0)</f>
        <v>0</v>
      </c>
      <c r="K13" s="1822" t="s">
        <v>1744</v>
      </c>
      <c r="L13" s="2553"/>
      <c r="M13" s="2554"/>
    </row>
    <row r="14" spans="1:33" ht="18" customHeight="1">
      <c r="A14" s="1648" t="s">
        <v>1885</v>
      </c>
      <c r="B14" s="784" t="s">
        <v>645</v>
      </c>
      <c r="C14" s="804">
        <f ca="1">INDIRECT("'数据-取费表'!m"&amp;$G$1)+INDIRECT("'数据-取费表'!t"&amp;$G$1)</f>
        <v>128</v>
      </c>
      <c r="D14" s="1980" t="s">
        <v>1746</v>
      </c>
      <c r="E14" s="1981"/>
      <c r="F14" s="805"/>
      <c r="G14" s="1592"/>
      <c r="H14" s="1649" t="s">
        <v>1831</v>
      </c>
      <c r="I14" s="2232" t="s">
        <v>2829</v>
      </c>
      <c r="J14" s="53">
        <f ca="1">C29</f>
        <v>209</v>
      </c>
      <c r="K14" s="26"/>
      <c r="L14" s="801"/>
      <c r="M14" s="802"/>
    </row>
    <row r="15" spans="1:33" s="2065" customFormat="1" ht="18" customHeight="1" thickBot="1">
      <c r="A15" s="1648" t="s">
        <v>1886</v>
      </c>
      <c r="B15" s="784" t="s">
        <v>647</v>
      </c>
      <c r="C15" s="53">
        <f ca="1">ROUND(C14*F15,0)</f>
        <v>4</v>
      </c>
      <c r="D15" s="806" t="s">
        <v>1747</v>
      </c>
      <c r="E15" s="806" t="s">
        <v>1748</v>
      </c>
      <c r="F15" s="807">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22</v>
      </c>
      <c r="K16" s="1822" t="s">
        <v>1751</v>
      </c>
      <c r="L16" s="2487"/>
      <c r="M16" s="2492"/>
    </row>
    <row r="17" spans="1:33" s="2065" customFormat="1" ht="18" customHeight="1">
      <c r="A17" s="1648" t="s">
        <v>1888</v>
      </c>
      <c r="B17" s="784" t="s">
        <v>653</v>
      </c>
      <c r="C17" s="53">
        <f ca="1">ROUND(F17*(F43+INDIRECT("'数据-取费表'!S"&amp;$G$1))/10000,0)</f>
        <v>10</v>
      </c>
      <c r="D17" s="784" t="s">
        <v>1752</v>
      </c>
      <c r="E17" s="784" t="s">
        <v>1753</v>
      </c>
      <c r="F17" s="56">
        <f>'数据-取费表'!B35</f>
        <v>200</v>
      </c>
      <c r="G17" s="1593"/>
      <c r="H17" s="1649" t="s">
        <v>1831</v>
      </c>
      <c r="I17" s="784" t="s">
        <v>656</v>
      </c>
      <c r="J17" s="53">
        <f ca="1">ROUND(IF(项目基本情况!B11="自然人",J5*M17,J18+J19+J20),0)</f>
        <v>18</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2</v>
      </c>
      <c r="D18" s="784" t="s">
        <v>1747</v>
      </c>
      <c r="E18" s="784" t="s">
        <v>1748</v>
      </c>
      <c r="F18" s="809">
        <f>'数据-取费表'!B36</f>
        <v>1.4999999999999999E-2</v>
      </c>
      <c r="G18" s="1593"/>
      <c r="H18" s="1648" t="s">
        <v>1885</v>
      </c>
      <c r="I18" s="784" t="s">
        <v>1756</v>
      </c>
      <c r="J18" s="53">
        <f ca="1">ROUND(J5*M18/1.05,1)</f>
        <v>0</v>
      </c>
      <c r="K18" s="2485" t="s">
        <v>1757</v>
      </c>
      <c r="L18" s="784" t="s">
        <v>1748</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144</v>
      </c>
      <c r="D19" s="261" t="s">
        <v>1758</v>
      </c>
      <c r="E19" s="1983"/>
      <c r="F19" s="56"/>
      <c r="G19" s="1592"/>
      <c r="H19" s="1648" t="s">
        <v>1886</v>
      </c>
      <c r="I19" s="784" t="s">
        <v>1759</v>
      </c>
      <c r="J19" s="53">
        <f ca="1">IF(K19="按租金收入计税",ROUND(J5*M19,1),ROUND(C29*F33*0.7,1))</f>
        <v>17.600000000000001</v>
      </c>
      <c r="K19" s="811" t="s">
        <v>665</v>
      </c>
      <c r="L19" s="784" t="s">
        <v>1748</v>
      </c>
      <c r="M19" s="809">
        <f>IF(K19="按租金收入计税",'数据-取费表'!B51,'数据-取费表'!B50)</f>
        <v>1.2E-2</v>
      </c>
    </row>
    <row r="20" spans="1:33" s="2065" customFormat="1" ht="18" customHeight="1">
      <c r="A20" s="1649" t="s">
        <v>1890</v>
      </c>
      <c r="B20" s="784" t="s">
        <v>666</v>
      </c>
      <c r="C20" s="53">
        <f ca="1">ROUND(C19*F20,0)</f>
        <v>4</v>
      </c>
      <c r="D20" s="812" t="s">
        <v>1760</v>
      </c>
      <c r="E20" s="784" t="s">
        <v>1748</v>
      </c>
      <c r="F20" s="809">
        <f>'数据-取费表'!B37</f>
        <v>0.03</v>
      </c>
      <c r="G20" s="1593"/>
      <c r="H20" s="1651" t="s">
        <v>1881</v>
      </c>
      <c r="I20" s="341" t="s">
        <v>1761</v>
      </c>
      <c r="J20" s="54">
        <f ca="1">ROUND(M20*M21/10000,0)</f>
        <v>0</v>
      </c>
      <c r="K20" s="814" t="s">
        <v>1762</v>
      </c>
      <c r="L20" s="784" t="s">
        <v>1763</v>
      </c>
      <c r="M20" s="640">
        <f>'数据-取费表'!B52</f>
        <v>22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07"/>
      <c r="I21" s="793"/>
      <c r="J21" s="69"/>
      <c r="K21" s="816"/>
      <c r="L21" s="784" t="s">
        <v>1767</v>
      </c>
      <c r="M21" s="785">
        <f ca="1">INDIRECT("'数据-取费表'!r"&amp;$G$1)</f>
        <v>51.080000000000005</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4</v>
      </c>
      <c r="K22" s="2485" t="s">
        <v>1770</v>
      </c>
      <c r="L22" s="784" t="s">
        <v>1748</v>
      </c>
      <c r="M22" s="817">
        <f ca="1">INDIRECT("'数据-取费表'!Ak"&amp;$G$1)</f>
        <v>0.02</v>
      </c>
    </row>
    <row r="23" spans="1:33" s="2065" customFormat="1" ht="18" customHeight="1">
      <c r="A23" s="1648" t="s">
        <v>1832</v>
      </c>
      <c r="B23" s="784" t="s">
        <v>2538</v>
      </c>
      <c r="C23" s="53">
        <f ca="1">ROUND(IF('数据-取费表'!B22&lt;=1,(C19+C20)*F24*F23/2,(C19+C20)*(POWER((1+F24),F23/2)-1)),0)</f>
        <v>7</v>
      </c>
      <c r="D23" s="2572"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5" t="s">
        <v>1772</v>
      </c>
      <c r="L23" s="784" t="s">
        <v>1748</v>
      </c>
      <c r="M23" s="818">
        <f ca="1">INDIRECT("'数据-取费表'!Al"&amp;$G$1)</f>
        <v>2E-3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1748</v>
      </c>
      <c r="M24" s="2543">
        <f ca="1">INDIRECT("'数据-取费表'!Am"&amp;$G$1)</f>
        <v>0.02</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2825</v>
      </c>
      <c r="J25" s="792">
        <f ca="1">J5-J16</f>
        <v>-22</v>
      </c>
      <c r="K25" s="2549" t="s">
        <v>1778</v>
      </c>
      <c r="L25" s="2550"/>
      <c r="M25" s="2551"/>
    </row>
    <row r="26" spans="1:33" ht="18" customHeight="1">
      <c r="A26" s="1648" t="s">
        <v>1832</v>
      </c>
      <c r="B26" s="784" t="s">
        <v>2441</v>
      </c>
      <c r="C26" s="53">
        <f ca="1">ROUND((C19+C20)*F26,0)</f>
        <v>37</v>
      </c>
      <c r="D26" s="812" t="s">
        <v>1779</v>
      </c>
      <c r="E26" s="795" t="s">
        <v>1780</v>
      </c>
      <c r="F26" s="794">
        <f ca="1">INDIRECT("'数据-取费表'!q"&amp;$G$1)</f>
        <v>0.25</v>
      </c>
      <c r="G26" s="1592"/>
      <c r="H26" s="2503" t="s">
        <v>1781</v>
      </c>
      <c r="I26" s="2233" t="s">
        <v>2830</v>
      </c>
      <c r="J26" s="783">
        <f ca="1">IF(J5&lt;&gt;0,ROUND(J25*(1-((1+M28)/(1+M26))^M27)/(M26-M28),0),0)</f>
        <v>0</v>
      </c>
      <c r="K26" s="814" t="s">
        <v>1782</v>
      </c>
      <c r="L26" s="784" t="s">
        <v>2422</v>
      </c>
      <c r="M26" s="794">
        <f ca="1">INDIRECT("'数据-取费表'!I"&amp;$G$1)</f>
        <v>5.5E-2</v>
      </c>
    </row>
    <row r="27" spans="1:33" ht="18" customHeight="1">
      <c r="A27" s="1648" t="s">
        <v>1833</v>
      </c>
      <c r="B27" s="784" t="s">
        <v>686</v>
      </c>
      <c r="C27" s="53">
        <f ca="1">ROUND(F21*F26,4)</f>
        <v>5.0000000000000001E-3</v>
      </c>
      <c r="D27" s="812" t="s">
        <v>1783</v>
      </c>
      <c r="E27" s="806"/>
      <c r="F27" s="807"/>
      <c r="G27" s="1592"/>
      <c r="H27" s="2504"/>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5.33E-2</v>
      </c>
      <c r="D28" s="812" t="s">
        <v>2302</v>
      </c>
      <c r="E28" s="784" t="s">
        <v>1786</v>
      </c>
      <c r="F28" s="809">
        <f>'数据-取费表'!B41</f>
        <v>5.6000000000000001E-2</v>
      </c>
      <c r="G28" s="1593"/>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f ca="1">ROUND((C19+C20+C23+C26)/(1-F21-C24-C27-C28),0)</f>
        <v>209</v>
      </c>
      <c r="D29" s="2546"/>
      <c r="E29" s="2547"/>
      <c r="F29" s="2548"/>
      <c r="G29" s="1593"/>
      <c r="H29" s="823" t="s">
        <v>1788</v>
      </c>
      <c r="I29" s="824" t="s">
        <v>1789</v>
      </c>
      <c r="J29" s="825">
        <f ca="1">ROUND(J26/(1+F40)^F41,0)</f>
        <v>0</v>
      </c>
      <c r="K29" s="826" t="s">
        <v>1790</v>
      </c>
      <c r="L29" s="827"/>
      <c r="M29" s="828">
        <f ca="1">INDIRECT("'数据-取费表'!k"&amp;$G$1)</f>
        <v>513</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22</v>
      </c>
      <c r="D30" s="1822" t="s">
        <v>1792</v>
      </c>
      <c r="E30" s="2487"/>
      <c r="F30" s="2492"/>
      <c r="G30" s="2063"/>
      <c r="H30" s="2066"/>
      <c r="I30" s="2067"/>
      <c r="J30" s="2068"/>
      <c r="K30" s="2069"/>
      <c r="L30" s="2070"/>
      <c r="M30" s="2071"/>
    </row>
    <row r="31" spans="1:33" ht="18" customHeight="1">
      <c r="A31" s="1649" t="s">
        <v>1831</v>
      </c>
      <c r="B31" s="784" t="s">
        <v>656</v>
      </c>
      <c r="C31" s="53">
        <f ca="1">ROUND(IF(项目基本情况!B11="自然人",C5*F31,C32+C33+C34),1)</f>
        <v>15.5</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4.7</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10.7</v>
      </c>
      <c r="D33" s="811" t="s">
        <v>3187</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0.1</v>
      </c>
      <c r="D34" s="814" t="s">
        <v>1800</v>
      </c>
      <c r="E34" s="784" t="s">
        <v>1801</v>
      </c>
      <c r="F34" s="640">
        <f>'数据-取费表'!B52</f>
        <v>22</v>
      </c>
      <c r="G34" s="2063"/>
      <c r="H34" s="2066"/>
      <c r="I34" s="835" t="s">
        <v>1814</v>
      </c>
      <c r="J34" s="836"/>
      <c r="K34" s="2081"/>
      <c r="L34" s="2080"/>
      <c r="M34" s="2080"/>
    </row>
    <row r="35" spans="1:18" ht="18" customHeight="1">
      <c r="A35" s="815"/>
      <c r="B35" s="793"/>
      <c r="C35" s="69"/>
      <c r="D35" s="816"/>
      <c r="E35" s="784" t="s">
        <v>1802</v>
      </c>
      <c r="F35" s="785">
        <f ca="1">INDIRECT("'数据-取费表'!r"&amp;$G$1)</f>
        <v>51.080000000000005</v>
      </c>
      <c r="G35" s="2063"/>
      <c r="H35" s="2066"/>
      <c r="I35" s="837" t="s">
        <v>1815</v>
      </c>
      <c r="J35" s="838">
        <f ca="1">ROUND(C13*J36,0)</f>
        <v>18</v>
      </c>
      <c r="K35" s="2079"/>
      <c r="L35" s="2078"/>
      <c r="M35" s="2078"/>
    </row>
    <row r="36" spans="1:18" ht="18" customHeight="1">
      <c r="A36" s="1649" t="s">
        <v>1890</v>
      </c>
      <c r="B36" s="784" t="s">
        <v>1803</v>
      </c>
      <c r="C36" s="53">
        <f ca="1">ROUND(C29*F36,1)</f>
        <v>4.2</v>
      </c>
      <c r="D36" s="1978" t="s">
        <v>1804</v>
      </c>
      <c r="E36" s="784" t="s">
        <v>1797</v>
      </c>
      <c r="F36" s="817">
        <f ca="1">INDIRECT("'数据-取费表'!Ak"&amp;$G$1)</f>
        <v>0.02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0.4</v>
      </c>
      <c r="D37" s="1978" t="s">
        <v>1805</v>
      </c>
      <c r="E37" s="784" t="s">
        <v>1797</v>
      </c>
      <c r="F37" s="818">
        <f ca="1">INDIRECT("'数据-取费表'!Al"&amp;$G$1)</f>
        <v>2E-3</v>
      </c>
      <c r="G37" s="2063"/>
      <c r="H37" s="2078"/>
      <c r="I37" s="841" t="s">
        <v>1817</v>
      </c>
      <c r="J37" s="842"/>
      <c r="K37" s="2083"/>
      <c r="L37" s="2078"/>
      <c r="M37" s="2078"/>
    </row>
    <row r="38" spans="1:18" ht="18" customHeight="1" thickBot="1">
      <c r="A38" s="2552" t="s">
        <v>1892</v>
      </c>
      <c r="B38" s="2547" t="s">
        <v>666</v>
      </c>
      <c r="C38" s="2545">
        <f ca="1">ROUND(C5*F38,1)</f>
        <v>1.8</v>
      </c>
      <c r="D38" s="2546" t="s">
        <v>1806</v>
      </c>
      <c r="E38" s="2547" t="s">
        <v>1797</v>
      </c>
      <c r="F38" s="2543">
        <f ca="1">INDIRECT("'数据-取费表'!Am"&amp;$G$1)</f>
        <v>0.02</v>
      </c>
      <c r="G38" s="2063"/>
      <c r="H38" s="2078"/>
      <c r="I38" s="843" t="s">
        <v>1818</v>
      </c>
      <c r="J38" s="844"/>
      <c r="K38" s="2084"/>
      <c r="L38" s="2078"/>
      <c r="M38" s="2078"/>
    </row>
    <row r="39" spans="1:18" ht="24.6" customHeight="1" thickTop="1">
      <c r="A39" s="1830" t="s">
        <v>1895</v>
      </c>
      <c r="B39" s="3011" t="s">
        <v>2825</v>
      </c>
      <c r="C39" s="792">
        <f ca="1">C5-C30</f>
        <v>67</v>
      </c>
      <c r="D39" s="2549" t="s">
        <v>1807</v>
      </c>
      <c r="E39" s="2550"/>
      <c r="F39" s="2551"/>
      <c r="G39" s="2063"/>
      <c r="H39" s="2078"/>
      <c r="I39" s="837" t="s">
        <v>1819</v>
      </c>
      <c r="J39" s="845">
        <f ca="1">ROUND(J35/C39,3)</f>
        <v>0.26900000000000002</v>
      </c>
      <c r="K39" s="2084"/>
      <c r="L39" s="2078"/>
      <c r="M39" s="2078"/>
    </row>
    <row r="40" spans="1:18" ht="18" customHeight="1">
      <c r="A40" s="781" t="s">
        <v>1896</v>
      </c>
      <c r="B40" s="2233" t="s">
        <v>2304</v>
      </c>
      <c r="C40" s="783">
        <f ca="1">ROUND(C39*(1-((1+F42)/(1+F40))^F41)/(F40-F42),0)</f>
        <v>1572</v>
      </c>
      <c r="D40" s="814" t="s">
        <v>1808</v>
      </c>
      <c r="E40" s="784" t="s">
        <v>2422</v>
      </c>
      <c r="F40" s="794">
        <f ca="1">INDIRECT("'数据-取费表'!I"&amp;$G$1)</f>
        <v>5.5E-2</v>
      </c>
      <c r="G40" s="2063"/>
      <c r="H40" s="2063"/>
      <c r="I40" s="837" t="s">
        <v>1820</v>
      </c>
      <c r="J40" s="845">
        <f ca="1">1-J39</f>
        <v>0.73099999999999998</v>
      </c>
      <c r="K40" s="2084"/>
      <c r="L40" s="2063"/>
      <c r="M40" s="2063"/>
    </row>
    <row r="41" spans="1:18" ht="18" customHeight="1">
      <c r="A41" s="786"/>
      <c r="B41" s="787"/>
      <c r="C41" s="788"/>
      <c r="D41" s="821" t="s">
        <v>1809</v>
      </c>
      <c r="E41" s="784" t="s">
        <v>2971</v>
      </c>
      <c r="F41" s="822">
        <f ca="1">IF(INDIRECT("'数据-取费表'!af"&amp;$G$1)=0,INDIRECT("'数据-取费表'!ae"&amp;$G$1),INDIRECT("'数据-取费表'!af"&amp;$G$1))</f>
        <v>36.840000000000003</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0.13300000000000001</v>
      </c>
      <c r="K42" s="2083"/>
      <c r="L42" s="1989"/>
      <c r="M42" s="1989"/>
    </row>
    <row r="43" spans="1:18" ht="18" customHeight="1" thickBot="1">
      <c r="A43" s="823" t="s">
        <v>1788</v>
      </c>
      <c r="B43" s="824" t="s">
        <v>1811</v>
      </c>
      <c r="C43" s="825">
        <f ca="1">ROUND(C40*10000/F43,0)</f>
        <v>30643</v>
      </c>
      <c r="D43" s="826" t="s">
        <v>1812</v>
      </c>
      <c r="E43" s="827" t="s">
        <v>1813</v>
      </c>
      <c r="F43" s="828">
        <f ca="1">INDIRECT("'数据-取费表'!k"&amp;$G$1)</f>
        <v>513</v>
      </c>
      <c r="G43" s="2063"/>
      <c r="H43" s="1989"/>
      <c r="I43" s="847" t="s">
        <v>1823</v>
      </c>
      <c r="J43" s="848">
        <f ca="1">1-J42</f>
        <v>0.86699999999999999</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f ca="1">C67-C40</f>
        <v>-1650</v>
      </c>
      <c r="D46" s="2086"/>
      <c r="E46" s="2086"/>
      <c r="F46" s="2086"/>
      <c r="I46" s="2379" t="s">
        <v>2346</v>
      </c>
      <c r="J46" s="2380"/>
      <c r="K46" s="2381"/>
      <c r="L46" s="3162">
        <f>IF(OR(M47="住宅",D1="土地（套用方法）"),0,IF(L48&gt;J51,L60,J60))</f>
        <v>0</v>
      </c>
      <c r="O46" s="2395" t="s">
        <v>2413</v>
      </c>
      <c r="P46" s="1592"/>
      <c r="Q46" s="1604"/>
      <c r="R46" s="1592"/>
    </row>
    <row r="47" spans="1:18" s="2060" customFormat="1" ht="18" customHeight="1" thickBot="1">
      <c r="A47" s="2373">
        <v>1</v>
      </c>
      <c r="B47" s="2374" t="s">
        <v>635</v>
      </c>
      <c r="C47" s="2575">
        <f ca="1">C48+C52+C54</f>
        <v>0</v>
      </c>
      <c r="D47" s="2086"/>
      <c r="E47" s="2086"/>
      <c r="F47" s="2086"/>
      <c r="I47" s="3152" t="s">
        <v>2347</v>
      </c>
      <c r="J47" s="2382" t="s">
        <v>3113</v>
      </c>
      <c r="K47" s="3159" t="s">
        <v>2352</v>
      </c>
      <c r="L47" s="3163">
        <f ca="1">INDIRECT("'数据-取费表'!d"&amp;$G$1)</f>
        <v>40</v>
      </c>
      <c r="M47" s="1604" t="str">
        <f>IF(ISNUMBER(FIND("住宅",C1)),"住宅","非住宅")</f>
        <v>非住宅</v>
      </c>
      <c r="O47" s="2396" t="s">
        <v>2378</v>
      </c>
      <c r="P47" s="2397" t="s">
        <v>2379</v>
      </c>
      <c r="Q47" s="2398" t="s">
        <v>2380</v>
      </c>
      <c r="R47" s="2397" t="s">
        <v>2381</v>
      </c>
    </row>
    <row r="48" spans="1:18" s="2060" customFormat="1" ht="18" customHeight="1" thickBot="1">
      <c r="A48" s="2643" t="s">
        <v>2540</v>
      </c>
      <c r="B48" s="2644" t="s">
        <v>2541</v>
      </c>
      <c r="C48" s="2375">
        <f ca="1">ROUND(F48*F50*F49*(1-F51)/10000,0)</f>
        <v>0</v>
      </c>
      <c r="D48" s="2376" t="s">
        <v>636</v>
      </c>
      <c r="E48" s="2377" t="s">
        <v>2299</v>
      </c>
      <c r="F48" s="2378"/>
      <c r="G48" s="2091"/>
      <c r="I48" s="3128" t="s">
        <v>2348</v>
      </c>
      <c r="J48" s="2383" t="s">
        <v>2371</v>
      </c>
      <c r="K48" s="3160" t="s">
        <v>2354</v>
      </c>
      <c r="L48" s="1909">
        <f ca="1">INDIRECT("'数据-取费表'!f"&amp;$G$1)</f>
        <v>38.840000000000003</v>
      </c>
      <c r="O48" s="2399" t="s">
        <v>2382</v>
      </c>
      <c r="P48" s="2400" t="s">
        <v>2408</v>
      </c>
      <c r="Q48" s="2401">
        <f ca="1">C40+J29</f>
        <v>1572</v>
      </c>
      <c r="R48" s="2400" t="s">
        <v>2383</v>
      </c>
    </row>
    <row r="49" spans="1:18" s="2060" customFormat="1" ht="18" customHeight="1" thickBot="1">
      <c r="A49" s="786"/>
      <c r="B49" s="787"/>
      <c r="C49" s="788"/>
      <c r="D49" s="789"/>
      <c r="E49" s="784" t="s">
        <v>1740</v>
      </c>
      <c r="F49" s="785">
        <f ca="1">F7</f>
        <v>513</v>
      </c>
      <c r="G49" s="2091"/>
      <c r="H49" s="2094"/>
      <c r="I49" s="3128" t="s">
        <v>2349</v>
      </c>
      <c r="J49" s="2384">
        <v>2020</v>
      </c>
      <c r="K49" s="3161" t="s">
        <v>2355</v>
      </c>
      <c r="L49" s="2385"/>
      <c r="O49" s="2399" t="s">
        <v>2384</v>
      </c>
      <c r="P49" s="2400" t="s">
        <v>2409</v>
      </c>
      <c r="Q49" s="2401">
        <f ca="1">J60</f>
        <v>4</v>
      </c>
      <c r="R49" s="2400" t="s">
        <v>2385</v>
      </c>
    </row>
    <row r="50" spans="1:18" s="2060" customFormat="1" ht="18" customHeight="1" thickBot="1">
      <c r="A50" s="786"/>
      <c r="B50" s="787"/>
      <c r="C50" s="788"/>
      <c r="D50" s="789"/>
      <c r="E50" s="784" t="s">
        <v>1741</v>
      </c>
      <c r="F50" s="785">
        <f ca="1">F8</f>
        <v>365</v>
      </c>
      <c r="G50" s="2096"/>
      <c r="H50" s="2094"/>
      <c r="I50" s="3128" t="s">
        <v>2350</v>
      </c>
      <c r="J50" s="3156">
        <f>SUMPRODUCT((I63:I65=J47)*(J62:L62=J48)*(J63:L65))</f>
        <v>50</v>
      </c>
      <c r="K50" s="3161" t="s">
        <v>2356</v>
      </c>
      <c r="L50" s="2385"/>
      <c r="O50" s="2402" t="s">
        <v>2386</v>
      </c>
      <c r="P50" s="2400" t="s">
        <v>2410</v>
      </c>
      <c r="Q50" s="2401">
        <f ca="1">C29</f>
        <v>209</v>
      </c>
      <c r="R50" s="2400" t="s">
        <v>2383</v>
      </c>
    </row>
    <row r="51" spans="1:18" s="2060" customFormat="1" ht="18" customHeight="1" thickBot="1">
      <c r="A51" s="786"/>
      <c r="B51" s="787"/>
      <c r="C51" s="788"/>
      <c r="D51" s="789"/>
      <c r="E51" s="784" t="s">
        <v>640</v>
      </c>
      <c r="F51" s="2372"/>
      <c r="H51" s="2094"/>
      <c r="I51" s="3153" t="s">
        <v>2351</v>
      </c>
      <c r="J51" s="3157">
        <f>IF(J49="",J50,J49+J50-YEAR('数据-取费表'!B2))</f>
        <v>52</v>
      </c>
      <c r="K51" s="3128" t="s">
        <v>2357</v>
      </c>
      <c r="L51" s="3164">
        <f ca="1">ROUND(-PV(INDIRECT("'数据-取费表'!h"&amp;$G$1),L48,(C39-C13*J36),0),0)</f>
        <v>837</v>
      </c>
      <c r="O51" s="2402" t="s">
        <v>2387</v>
      </c>
      <c r="P51" s="2400" t="s">
        <v>2388</v>
      </c>
      <c r="Q51" s="2403">
        <f ca="1">J58</f>
        <v>0.4</v>
      </c>
      <c r="R51" s="2404"/>
    </row>
    <row r="52" spans="1:18" s="2060" customFormat="1" ht="18" customHeight="1" thickBot="1">
      <c r="A52" s="781" t="s">
        <v>2539</v>
      </c>
      <c r="B52" s="2495" t="s">
        <v>2462</v>
      </c>
      <c r="C52" s="799">
        <f ca="1">ROUND(IF(F52="押一",C48/12*F11,IF(F52="押二",C48/12*2*F11,IF(F52="押三",C48/12*3*F11,C53*F11))),0)</f>
        <v>0</v>
      </c>
      <c r="D52" s="2502" t="s">
        <v>2982</v>
      </c>
      <c r="E52" s="2499" t="s">
        <v>2467</v>
      </c>
      <c r="F52" s="2622"/>
      <c r="I52" s="3154" t="s">
        <v>2424</v>
      </c>
      <c r="J52" s="2386">
        <v>0.09</v>
      </c>
      <c r="K52" s="3154" t="s">
        <v>2423</v>
      </c>
      <c r="L52" s="2386"/>
      <c r="O52" s="2402" t="s">
        <v>2389</v>
      </c>
      <c r="P52" s="2400" t="s">
        <v>2390</v>
      </c>
      <c r="Q52" s="2403">
        <f>J52</f>
        <v>0.09</v>
      </c>
      <c r="R52" s="2404"/>
    </row>
    <row r="53" spans="1:18" s="2060" customFormat="1" ht="39.75" customHeight="1" thickBot="1">
      <c r="A53" s="786"/>
      <c r="B53" s="2496" t="s">
        <v>2576</v>
      </c>
      <c r="C53" s="2500"/>
      <c r="D53" s="2502"/>
      <c r="E53" s="2499"/>
      <c r="F53" s="800"/>
      <c r="I53" s="3155" t="s">
        <v>2986</v>
      </c>
      <c r="J53" s="3158">
        <f ca="1">IF(M47="住宅",IF(D1="——",MAX(J51,L48),MAX(J51,L48-'数据-取费表'!B20)),IF(D1="——",MIN(J51,L48),MIN(J51,L48-'数据-取费表'!B20)))</f>
        <v>36.840000000000003</v>
      </c>
      <c r="K53" s="3529" t="s">
        <v>2973</v>
      </c>
      <c r="L53" s="3530"/>
      <c r="O53" s="2402" t="s">
        <v>2391</v>
      </c>
      <c r="P53" s="2400" t="s">
        <v>2392</v>
      </c>
      <c r="Q53" s="2401">
        <f ca="1">J53</f>
        <v>36.840000000000003</v>
      </c>
      <c r="R53" s="2400" t="s">
        <v>2393</v>
      </c>
    </row>
    <row r="54" spans="1:18" s="2060" customFormat="1" ht="18" customHeight="1" thickBot="1">
      <c r="A54" s="2538" t="s">
        <v>2470</v>
      </c>
      <c r="B54" s="2539" t="s">
        <v>2463</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2394</v>
      </c>
      <c r="P54" s="2400" t="s">
        <v>2411</v>
      </c>
      <c r="Q54" s="2401">
        <f ca="1">Q48+Q49</f>
        <v>1576</v>
      </c>
      <c r="R54" s="2404" t="s">
        <v>2395</v>
      </c>
    </row>
    <row r="55" spans="1:18" s="2060" customFormat="1" ht="18" customHeight="1" thickTop="1" thickBot="1">
      <c r="A55" s="797">
        <v>2</v>
      </c>
      <c r="B55" s="798" t="s">
        <v>644</v>
      </c>
      <c r="C55" s="799">
        <f ca="1">C13</f>
        <v>209</v>
      </c>
      <c r="D55" s="795"/>
      <c r="E55" s="795"/>
      <c r="F55" s="800"/>
      <c r="I55" s="3167" t="s">
        <v>2358</v>
      </c>
      <c r="J55" s="3103">
        <f ca="1">ROUND(IF(J47="钢混",J57/J50,1-(1-2%)*(J50-J57)/J50),3)</f>
        <v>0.26300000000000001</v>
      </c>
      <c r="K55" s="3168" t="s">
        <v>2359</v>
      </c>
      <c r="L55" s="2387"/>
      <c r="O55" s="2405" t="s">
        <v>2414</v>
      </c>
      <c r="P55" s="1592"/>
      <c r="Q55" s="1604"/>
      <c r="R55" s="1592"/>
    </row>
    <row r="56" spans="1:18" s="2060" customFormat="1" ht="42.75" customHeight="1" thickBot="1">
      <c r="A56" s="1650"/>
      <c r="B56" s="2232" t="s">
        <v>2305</v>
      </c>
      <c r="C56" s="53">
        <f ca="1">C29</f>
        <v>209</v>
      </c>
      <c r="D56" s="2640"/>
      <c r="E56" s="784"/>
      <c r="F56" s="809"/>
      <c r="I56" s="3169" t="s">
        <v>2360</v>
      </c>
      <c r="J56" s="3179" t="s">
        <v>3001</v>
      </c>
      <c r="K56" s="3128" t="s">
        <v>2365</v>
      </c>
      <c r="L56" s="1909" t="str">
        <f ca="1">IF(L48&lt;J51,"——",L48-J51)</f>
        <v>——</v>
      </c>
      <c r="O56" s="2396" t="s">
        <v>2378</v>
      </c>
      <c r="P56" s="2397" t="s">
        <v>2379</v>
      </c>
      <c r="Q56" s="2398" t="s">
        <v>2380</v>
      </c>
      <c r="R56" s="2397" t="s">
        <v>2381</v>
      </c>
    </row>
    <row r="57" spans="1:18" s="2060" customFormat="1" ht="28.5" customHeight="1" thickBot="1">
      <c r="A57" s="797" t="s">
        <v>1749</v>
      </c>
      <c r="B57" s="798" t="s">
        <v>651</v>
      </c>
      <c r="C57" s="799">
        <f ca="1">ROUND(C58+C63+C64+C65,0)</f>
        <v>5</v>
      </c>
      <c r="D57" s="26" t="s">
        <v>1751</v>
      </c>
      <c r="E57" s="2641"/>
      <c r="F57" s="56"/>
      <c r="I57" s="3170" t="s">
        <v>2361</v>
      </c>
      <c r="J57" s="3171">
        <f ca="1">IF(OR(M47="住宅",J51&lt;L48,J56="是"),"——",J51-L48)</f>
        <v>13.159999999999997</v>
      </c>
      <c r="K57" s="3128" t="s">
        <v>2366</v>
      </c>
      <c r="L57" s="1909" t="str">
        <f ca="1">IF(L48&lt;J51,"——",IF(L55="比较法",L49,IF(L55="基准地价",L50,L51)))</f>
        <v>——</v>
      </c>
      <c r="O57" s="2399" t="s">
        <v>2382</v>
      </c>
      <c r="P57" s="2400" t="s">
        <v>2412</v>
      </c>
      <c r="Q57" s="2401">
        <f ca="1">C40+J29</f>
        <v>1572</v>
      </c>
      <c r="R57" s="2400" t="s">
        <v>2383</v>
      </c>
    </row>
    <row r="58" spans="1:18" s="2060" customFormat="1" ht="28.5" customHeight="1" thickBot="1">
      <c r="A58" s="1649" t="s">
        <v>1825</v>
      </c>
      <c r="B58" s="784" t="s">
        <v>656</v>
      </c>
      <c r="C58" s="53">
        <f ca="1">ROUND(IF(项目基本情况!B11="自然人",C47*F58,C59+C60+C61),1)</f>
        <v>0.1</v>
      </c>
      <c r="D58" s="2639" t="s">
        <v>657</v>
      </c>
      <c r="E58" s="2640" t="s">
        <v>690</v>
      </c>
      <c r="F58" s="810" t="str">
        <f ca="1">IF(项目基本情况!B11="企业","",IF(INDIRECT("'数据-取费表'!c"&amp;$G$1)="住宅",5%,IF(F48*F49*F50/12/(1+'数据-取费表'!C42)&gt;20000,12%,7%)))</f>
        <v/>
      </c>
      <c r="I58" s="3170" t="s">
        <v>2362</v>
      </c>
      <c r="J58" s="3104">
        <f ca="1">IF(J55&lt;0.4,0.4,J55)</f>
        <v>0.4</v>
      </c>
      <c r="K58" s="3128" t="s">
        <v>2367</v>
      </c>
      <c r="L58" s="1909" t="e">
        <f ca="1">ROUND(POWER(1+L52,L47-L48)*(POWER(1+L52,L48)-1)/(POWER(1+L52,L47)-1),4)</f>
        <v>#DIV/0!</v>
      </c>
      <c r="O58" s="2399" t="s">
        <v>2384</v>
      </c>
      <c r="P58" s="2400" t="s">
        <v>2415</v>
      </c>
      <c r="Q58" s="2401">
        <f ca="1">L60</f>
        <v>0</v>
      </c>
      <c r="R58" s="2404" t="s">
        <v>2417</v>
      </c>
    </row>
    <row r="59" spans="1:18" s="2060" customFormat="1" ht="28.5" customHeight="1" thickBot="1">
      <c r="A59" s="1648" t="s">
        <v>1832</v>
      </c>
      <c r="B59" s="784" t="s">
        <v>660</v>
      </c>
      <c r="C59" s="53">
        <f ca="1">ROUND(C47*F59/1.05,1)</f>
        <v>0</v>
      </c>
      <c r="D59" s="2640" t="s">
        <v>1757</v>
      </c>
      <c r="E59" s="784" t="s">
        <v>1748</v>
      </c>
      <c r="F59" s="809">
        <f t="shared" ref="F59:F65" si="0">F32</f>
        <v>5.6000000000000001E-2</v>
      </c>
      <c r="I59" s="3170" t="s">
        <v>2363</v>
      </c>
      <c r="J59" s="3171">
        <f ca="1">IF(OR(M47="住宅",J51&lt;L48,J56="是"),"——",ROUND(C29*J58,0))</f>
        <v>84</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2386</v>
      </c>
      <c r="P59" s="2400" t="s">
        <v>2416</v>
      </c>
      <c r="Q59" s="2401">
        <f>IF(L55="比较法",L49,IF(L55="基准地价",L50,0))</f>
        <v>0</v>
      </c>
      <c r="R59" s="2400" t="s">
        <v>2383</v>
      </c>
    </row>
    <row r="60" spans="1:18" s="2060" customFormat="1" ht="18" customHeight="1" thickBot="1">
      <c r="A60" s="1648" t="s">
        <v>1833</v>
      </c>
      <c r="B60" s="784" t="s">
        <v>1759</v>
      </c>
      <c r="C60" s="53">
        <f ca="1">IF(D60="按租金收入计税",ROUND(C47*F60,1),IF(D60="按房产原值计税",ROUND(C56*F60*0.7,1),INDIRECT("'数据-取费表'!Aj"&amp;$G$1)))</f>
        <v>0</v>
      </c>
      <c r="D60" s="2640" t="str">
        <f>D33</f>
        <v>按租金收入计税</v>
      </c>
      <c r="E60" s="784" t="s">
        <v>1748</v>
      </c>
      <c r="F60" s="809">
        <f t="shared" si="0"/>
        <v>0.12</v>
      </c>
      <c r="I60" s="3172" t="s">
        <v>2364</v>
      </c>
      <c r="J60" s="3173">
        <f ca="1">IF(OR(M47="住宅",J51&lt;L48,J56="是"),"0",ROUND(J59/(1+J52)^J53,0))</f>
        <v>4</v>
      </c>
      <c r="K60" s="3174" t="s">
        <v>2369</v>
      </c>
      <c r="L60" s="3173">
        <f ca="1">IF(OR(M47="住宅",L48&lt;J51),0,ROUND(L57*(L58/L59-1),0))</f>
        <v>0</v>
      </c>
      <c r="O60" s="2402" t="s">
        <v>2387</v>
      </c>
      <c r="P60" s="2400" t="s">
        <v>2396</v>
      </c>
      <c r="Q60" s="2403">
        <f>L52</f>
        <v>0</v>
      </c>
      <c r="R60" s="2404"/>
    </row>
    <row r="61" spans="1:18" s="2060" customFormat="1" ht="18" customHeight="1" thickBot="1">
      <c r="A61" s="1651" t="s">
        <v>1834</v>
      </c>
      <c r="B61" s="341" t="s">
        <v>668</v>
      </c>
      <c r="C61" s="54">
        <f ca="1">ROUND(F61*F62/10000,1)</f>
        <v>0.1</v>
      </c>
      <c r="D61" s="814" t="s">
        <v>669</v>
      </c>
      <c r="E61" s="784" t="s">
        <v>670</v>
      </c>
      <c r="F61" s="640">
        <f t="shared" si="0"/>
        <v>22</v>
      </c>
      <c r="K61" s="2087"/>
      <c r="O61" s="2402" t="s">
        <v>2389</v>
      </c>
      <c r="P61" s="2400" t="s">
        <v>2397</v>
      </c>
      <c r="Q61" s="2401" t="e">
        <f ca="1">L58</f>
        <v>#DIV/0!</v>
      </c>
      <c r="R61" s="2404" t="s">
        <v>2398</v>
      </c>
    </row>
    <row r="62" spans="1:18" s="2060" customFormat="1" ht="15.75" thickBot="1">
      <c r="A62" s="815"/>
      <c r="B62" s="793"/>
      <c r="C62" s="69"/>
      <c r="D62" s="816"/>
      <c r="E62" s="784" t="s">
        <v>674</v>
      </c>
      <c r="F62" s="785">
        <f t="shared" ca="1" si="0"/>
        <v>51.080000000000005</v>
      </c>
      <c r="I62" s="3175" t="s">
        <v>2370</v>
      </c>
      <c r="J62" s="3176" t="s">
        <v>2371</v>
      </c>
      <c r="K62" s="3176" t="s">
        <v>2372</v>
      </c>
      <c r="L62" s="3176" t="s">
        <v>2353</v>
      </c>
      <c r="M62" s="3177" t="s">
        <v>2949</v>
      </c>
      <c r="O62" s="2402" t="s">
        <v>2391</v>
      </c>
      <c r="P62" s="2400" t="str">
        <f>K59</f>
        <v>建设期及建筑物耐用年限下的土地年期修正系数Kn</v>
      </c>
      <c r="Q62" s="2401" t="e">
        <f ca="1">L59</f>
        <v>#DIV/0!</v>
      </c>
      <c r="R62" s="2404" t="s">
        <v>2400</v>
      </c>
    </row>
    <row r="63" spans="1:18" s="2060" customFormat="1" ht="15.75" thickBot="1">
      <c r="A63" s="1649" t="s">
        <v>1890</v>
      </c>
      <c r="B63" s="784" t="s">
        <v>676</v>
      </c>
      <c r="C63" s="53">
        <f ca="1">ROUND(C56*F63,1)</f>
        <v>4.2</v>
      </c>
      <c r="D63" s="2640" t="s">
        <v>1804</v>
      </c>
      <c r="E63" s="784" t="s">
        <v>1748</v>
      </c>
      <c r="F63" s="817">
        <f t="shared" ca="1" si="0"/>
        <v>0.02</v>
      </c>
      <c r="I63" s="3175" t="s">
        <v>2373</v>
      </c>
      <c r="J63" s="3176">
        <v>70</v>
      </c>
      <c r="K63" s="3176">
        <v>50</v>
      </c>
      <c r="L63" s="3176">
        <v>80</v>
      </c>
      <c r="M63" s="3178">
        <v>0.02</v>
      </c>
      <c r="O63" s="2399" t="s">
        <v>2394</v>
      </c>
      <c r="P63" s="2400" t="s">
        <v>2411</v>
      </c>
      <c r="Q63" s="2401">
        <f ca="1">Q57+Q58</f>
        <v>1572</v>
      </c>
      <c r="R63" s="2404" t="s">
        <v>2395</v>
      </c>
    </row>
    <row r="64" spans="1:18" s="2060" customFormat="1" ht="16.5" thickBot="1">
      <c r="A64" s="1649" t="s">
        <v>1891</v>
      </c>
      <c r="B64" s="784" t="s">
        <v>679</v>
      </c>
      <c r="C64" s="53">
        <f ca="1">ROUND(C55*F64,1)</f>
        <v>0.4</v>
      </c>
      <c r="D64" s="2640" t="s">
        <v>680</v>
      </c>
      <c r="E64" s="784" t="s">
        <v>1748</v>
      </c>
      <c r="F64" s="818">
        <f t="shared" ca="1" si="0"/>
        <v>2E-3</v>
      </c>
      <c r="I64" s="3175" t="s">
        <v>2374</v>
      </c>
      <c r="J64" s="3176">
        <v>50</v>
      </c>
      <c r="K64" s="3176">
        <v>35</v>
      </c>
      <c r="L64" s="3176">
        <v>60</v>
      </c>
      <c r="M64" s="846">
        <v>0</v>
      </c>
      <c r="O64" s="2405" t="s">
        <v>2418</v>
      </c>
      <c r="P64" s="1592"/>
      <c r="Q64" s="1604"/>
      <c r="R64" s="1592"/>
    </row>
    <row r="65" spans="1:18" s="2060" customFormat="1" ht="15.75" thickBot="1">
      <c r="A65" s="1649" t="s">
        <v>1892</v>
      </c>
      <c r="B65" s="784" t="s">
        <v>666</v>
      </c>
      <c r="C65" s="53">
        <f ca="1">ROUND(C47*F65,1)</f>
        <v>0</v>
      </c>
      <c r="D65" s="2640" t="s">
        <v>683</v>
      </c>
      <c r="E65" s="784" t="s">
        <v>1748</v>
      </c>
      <c r="F65" s="794">
        <f t="shared" ca="1" si="0"/>
        <v>0.02</v>
      </c>
      <c r="I65" s="3175" t="s">
        <v>2375</v>
      </c>
      <c r="J65" s="3176">
        <v>40</v>
      </c>
      <c r="K65" s="3176">
        <v>30</v>
      </c>
      <c r="L65" s="3176">
        <v>50</v>
      </c>
      <c r="M65" s="3178">
        <v>0.02</v>
      </c>
      <c r="O65" s="2396" t="s">
        <v>2378</v>
      </c>
      <c r="P65" s="2397" t="s">
        <v>2379</v>
      </c>
      <c r="Q65" s="2398" t="s">
        <v>2380</v>
      </c>
      <c r="R65" s="2397" t="s">
        <v>2381</v>
      </c>
    </row>
    <row r="66" spans="1:18" s="2060" customFormat="1" ht="24.75" thickBot="1">
      <c r="A66" s="797" t="s">
        <v>1777</v>
      </c>
      <c r="B66" s="3012" t="s">
        <v>2825</v>
      </c>
      <c r="C66" s="799">
        <f ca="1">C47-C57</f>
        <v>-5</v>
      </c>
      <c r="D66" s="2639" t="s">
        <v>700</v>
      </c>
      <c r="E66" s="2638"/>
      <c r="F66" s="820"/>
      <c r="K66" s="2087"/>
      <c r="O66" s="2399" t="s">
        <v>2382</v>
      </c>
      <c r="P66" s="2400" t="s">
        <v>2412</v>
      </c>
      <c r="Q66" s="2401">
        <f ca="1">C40+J29</f>
        <v>1572</v>
      </c>
      <c r="R66" s="2400" t="s">
        <v>2383</v>
      </c>
    </row>
    <row r="67" spans="1:18" s="2060" customFormat="1" ht="20.25" thickBot="1">
      <c r="A67" s="781" t="s">
        <v>1781</v>
      </c>
      <c r="B67" s="2233" t="s">
        <v>2304</v>
      </c>
      <c r="C67" s="783">
        <f ca="1">ROUND(C66*(1-((1+F69)/(1+F67))^F68)/(F67-F69),0)</f>
        <v>-78</v>
      </c>
      <c r="D67" s="814" t="s">
        <v>704</v>
      </c>
      <c r="E67" s="784" t="s">
        <v>705</v>
      </c>
      <c r="F67" s="794">
        <f ca="1">F40</f>
        <v>5.5E-2</v>
      </c>
      <c r="K67" s="2087"/>
      <c r="O67" s="2399" t="s">
        <v>2384</v>
      </c>
      <c r="P67" s="2400" t="s">
        <v>2415</v>
      </c>
      <c r="Q67" s="2401">
        <f ca="1">L60</f>
        <v>0</v>
      </c>
      <c r="R67" s="2404" t="s">
        <v>2417</v>
      </c>
    </row>
    <row r="68" spans="1:18" ht="21.75" thickBot="1">
      <c r="A68" s="786"/>
      <c r="B68" s="787"/>
      <c r="C68" s="788"/>
      <c r="D68" s="821" t="s">
        <v>1809</v>
      </c>
      <c r="E68" s="784" t="s">
        <v>1785</v>
      </c>
      <c r="F68" s="822">
        <f ca="1">F41</f>
        <v>36.840000000000003</v>
      </c>
      <c r="O68" s="2402" t="s">
        <v>2386</v>
      </c>
      <c r="P68" s="2400" t="s">
        <v>2416</v>
      </c>
      <c r="Q68" s="2406">
        <f ca="1">L51</f>
        <v>837</v>
      </c>
      <c r="R68" s="2407" t="s">
        <v>2419</v>
      </c>
    </row>
    <row r="69" spans="1:18" ht="20.25" thickBot="1">
      <c r="A69" s="790"/>
      <c r="B69" s="791"/>
      <c r="C69" s="792"/>
      <c r="D69" s="816"/>
      <c r="E69" s="784" t="s">
        <v>710</v>
      </c>
      <c r="F69" s="2372"/>
      <c r="O69" s="2402" t="s">
        <v>2387</v>
      </c>
      <c r="P69" s="2408" t="s">
        <v>2401</v>
      </c>
      <c r="Q69" s="2401">
        <f ca="1">ROUND(Q70-Q71*Q72,0)</f>
        <v>49</v>
      </c>
      <c r="R69" s="2404"/>
    </row>
    <row r="70" spans="1:18" ht="15.75" thickBot="1">
      <c r="A70" s="823" t="s">
        <v>1788</v>
      </c>
      <c r="B70" s="824" t="s">
        <v>1811</v>
      </c>
      <c r="C70" s="825">
        <f ca="1">ROUND(C67*10000/F70,0)</f>
        <v>-1520</v>
      </c>
      <c r="D70" s="826" t="s">
        <v>1812</v>
      </c>
      <c r="E70" s="827" t="s">
        <v>1813</v>
      </c>
      <c r="F70" s="828">
        <f ca="1">F43</f>
        <v>513</v>
      </c>
      <c r="O70" s="2402" t="s">
        <v>2402</v>
      </c>
      <c r="P70" s="2408" t="s">
        <v>2403</v>
      </c>
      <c r="Q70" s="2401">
        <f ca="1">C39</f>
        <v>67</v>
      </c>
      <c r="R70" s="2400" t="s">
        <v>2383</v>
      </c>
    </row>
    <row r="71" spans="1:18" ht="15.75" thickBot="1">
      <c r="O71" s="2402" t="s">
        <v>2404</v>
      </c>
      <c r="P71" s="2408" t="s">
        <v>2405</v>
      </c>
      <c r="Q71" s="2401">
        <f ca="1">C13</f>
        <v>209</v>
      </c>
      <c r="R71" s="2400" t="s">
        <v>2383</v>
      </c>
    </row>
    <row r="72" spans="1:18" ht="15.75" thickBot="1">
      <c r="O72" s="2402" t="s">
        <v>2406</v>
      </c>
      <c r="P72" s="2408" t="s">
        <v>2407</v>
      </c>
      <c r="Q72" s="2403">
        <f ca="1">J36</f>
        <v>8.5000000000000006E-2</v>
      </c>
      <c r="R72" s="2404"/>
    </row>
    <row r="73" spans="1:18" ht="15.75" thickBot="1">
      <c r="O73" s="2402" t="s">
        <v>2389</v>
      </c>
      <c r="P73" s="2400" t="s">
        <v>2396</v>
      </c>
      <c r="Q73" s="2403">
        <f>L52</f>
        <v>0</v>
      </c>
      <c r="R73" s="2404"/>
    </row>
    <row r="74" spans="1:18" ht="20.25" thickBot="1">
      <c r="O74" s="2402" t="s">
        <v>2391</v>
      </c>
      <c r="P74" s="2400" t="s">
        <v>2397</v>
      </c>
      <c r="Q74" s="2401" t="e">
        <f ca="1">L58</f>
        <v>#DIV/0!</v>
      </c>
      <c r="R74" s="2404" t="s">
        <v>2398</v>
      </c>
    </row>
    <row r="75" spans="1:18" ht="15.75" thickBot="1">
      <c r="O75" s="2402" t="s">
        <v>2420</v>
      </c>
      <c r="P75" s="2400" t="str">
        <f>K59</f>
        <v>建设期及建筑物耐用年限下的土地年期修正系数Kn</v>
      </c>
      <c r="Q75" s="2401" t="e">
        <f ca="1">L59</f>
        <v>#DIV/0!</v>
      </c>
      <c r="R75" s="2404" t="s">
        <v>2400</v>
      </c>
    </row>
    <row r="76" spans="1:18" ht="15.75" thickBot="1">
      <c r="O76" s="2399" t="s">
        <v>2394</v>
      </c>
      <c r="P76" s="2400" t="s">
        <v>2411</v>
      </c>
      <c r="Q76" s="2401">
        <f ca="1">Q66+Q67</f>
        <v>1572</v>
      </c>
      <c r="R76" s="2404"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531" t="s">
        <v>2474</v>
      </c>
      <c r="B1" s="3532"/>
      <c r="C1" s="3533"/>
      <c r="D1" s="3534">
        <f>SUM(I10,I15,I20,I21,I23)</f>
        <v>0</v>
      </c>
      <c r="E1" s="3534"/>
      <c r="F1" s="3534"/>
      <c r="G1" s="3534"/>
      <c r="H1" s="3534"/>
      <c r="I1" s="3535"/>
    </row>
    <row r="2" spans="1:9">
      <c r="A2" s="3536" t="s">
        <v>2475</v>
      </c>
      <c r="B2" s="3537" t="s">
        <v>2476</v>
      </c>
      <c r="C2" s="3537"/>
      <c r="D2" s="2508" t="s">
        <v>2477</v>
      </c>
      <c r="E2" s="2508" t="s">
        <v>2478</v>
      </c>
      <c r="F2" s="2508" t="s">
        <v>2479</v>
      </c>
      <c r="G2" s="2508" t="s">
        <v>2480</v>
      </c>
      <c r="H2" s="2508" t="s">
        <v>2481</v>
      </c>
      <c r="I2" s="2509" t="s">
        <v>2482</v>
      </c>
    </row>
    <row r="3" spans="1:9">
      <c r="A3" s="3536"/>
      <c r="B3" s="3537" t="s">
        <v>2483</v>
      </c>
      <c r="C3" s="3537"/>
      <c r="D3" s="2510"/>
      <c r="E3" s="2508"/>
      <c r="F3" s="2511"/>
      <c r="G3" s="2511"/>
      <c r="H3" s="2512"/>
      <c r="I3" s="2513">
        <f>ROUND(D3*E3*F3*G3*H3/10000,0)</f>
        <v>0</v>
      </c>
    </row>
    <row r="4" spans="1:9">
      <c r="A4" s="3536"/>
      <c r="B4" s="3537" t="s">
        <v>2484</v>
      </c>
      <c r="C4" s="3537"/>
      <c r="D4" s="2510"/>
      <c r="E4" s="2508"/>
      <c r="F4" s="2511"/>
      <c r="G4" s="2511"/>
      <c r="H4" s="2512"/>
      <c r="I4" s="2513">
        <f t="shared" ref="I4:I9" si="0">ROUND(D4*E4*F4*G4*H4/10000,0)</f>
        <v>0</v>
      </c>
    </row>
    <row r="5" spans="1:9">
      <c r="A5" s="3536"/>
      <c r="B5" s="3537" t="s">
        <v>2485</v>
      </c>
      <c r="C5" s="3537"/>
      <c r="D5" s="2510"/>
      <c r="E5" s="2508"/>
      <c r="F5" s="2511"/>
      <c r="G5" s="2511"/>
      <c r="H5" s="2512"/>
      <c r="I5" s="2513">
        <f t="shared" si="0"/>
        <v>0</v>
      </c>
    </row>
    <row r="6" spans="1:9">
      <c r="A6" s="3536"/>
      <c r="B6" s="3537" t="s">
        <v>2486</v>
      </c>
      <c r="C6" s="3537"/>
      <c r="D6" s="2510"/>
      <c r="E6" s="2508"/>
      <c r="F6" s="2511"/>
      <c r="G6" s="2511"/>
      <c r="H6" s="2512"/>
      <c r="I6" s="2513">
        <f t="shared" si="0"/>
        <v>0</v>
      </c>
    </row>
    <row r="7" spans="1:9">
      <c r="A7" s="3536"/>
      <c r="B7" s="3537" t="s">
        <v>2487</v>
      </c>
      <c r="C7" s="3537"/>
      <c r="D7" s="2510"/>
      <c r="E7" s="2508"/>
      <c r="F7" s="2511"/>
      <c r="G7" s="2511"/>
      <c r="H7" s="2512"/>
      <c r="I7" s="2513">
        <f t="shared" si="0"/>
        <v>0</v>
      </c>
    </row>
    <row r="8" spans="1:9">
      <c r="A8" s="3536"/>
      <c r="B8" s="3537" t="s">
        <v>2488</v>
      </c>
      <c r="C8" s="3537"/>
      <c r="D8" s="2510"/>
      <c r="E8" s="2508"/>
      <c r="F8" s="2511"/>
      <c r="G8" s="2511"/>
      <c r="H8" s="2512"/>
      <c r="I8" s="2513">
        <f t="shared" si="0"/>
        <v>0</v>
      </c>
    </row>
    <row r="9" spans="1:9">
      <c r="A9" s="3536"/>
      <c r="B9" s="3537" t="s">
        <v>2489</v>
      </c>
      <c r="C9" s="3537"/>
      <c r="D9" s="2510"/>
      <c r="E9" s="2508"/>
      <c r="F9" s="2511"/>
      <c r="G9" s="2511"/>
      <c r="H9" s="2512"/>
      <c r="I9" s="2513">
        <f t="shared" si="0"/>
        <v>0</v>
      </c>
    </row>
    <row r="10" spans="1:9">
      <c r="A10" s="3536"/>
      <c r="B10" s="3538" t="s">
        <v>2490</v>
      </c>
      <c r="C10" s="3538"/>
      <c r="D10" s="2514">
        <v>527</v>
      </c>
      <c r="E10" s="2514" t="e">
        <f>ROUND(D1*10000/D10/H9,0)</f>
        <v>#DIV/0!</v>
      </c>
      <c r="F10" s="2515"/>
      <c r="G10" s="2515"/>
      <c r="H10" s="2516"/>
      <c r="I10" s="2517">
        <f>SUM(I3:I9)</f>
        <v>0</v>
      </c>
    </row>
    <row r="11" spans="1:9" ht="14.25">
      <c r="A11" s="3536" t="s">
        <v>2491</v>
      </c>
      <c r="B11" s="3537" t="s">
        <v>2492</v>
      </c>
      <c r="C11" s="3537"/>
      <c r="D11" s="2510" t="s">
        <v>2493</v>
      </c>
      <c r="E11" s="2510" t="s">
        <v>2494</v>
      </c>
      <c r="F11" s="2511" t="s">
        <v>2495</v>
      </c>
      <c r="G11" s="2511" t="s">
        <v>2496</v>
      </c>
      <c r="H11" s="2518" t="s">
        <v>2497</v>
      </c>
      <c r="I11" s="2509" t="s">
        <v>2498</v>
      </c>
    </row>
    <row r="12" spans="1:9">
      <c r="A12" s="3536"/>
      <c r="B12" s="3537" t="s">
        <v>2499</v>
      </c>
      <c r="C12" s="3537"/>
      <c r="D12" s="2510"/>
      <c r="E12" s="2510"/>
      <c r="F12" s="2511"/>
      <c r="G12" s="2512"/>
      <c r="H12" s="2519"/>
      <c r="I12" s="2509">
        <f>ROUND(D12*E12*F12*G12/10000,0)</f>
        <v>0</v>
      </c>
    </row>
    <row r="13" spans="1:9">
      <c r="A13" s="3536"/>
      <c r="B13" s="3537" t="s">
        <v>2500</v>
      </c>
      <c r="C13" s="3537"/>
      <c r="D13" s="2510"/>
      <c r="E13" s="2510"/>
      <c r="F13" s="2511"/>
      <c r="G13" s="2512"/>
      <c r="H13" s="2519"/>
      <c r="I13" s="2509">
        <f>ROUND(D13*E13*F13*G13/10000,0)</f>
        <v>0</v>
      </c>
    </row>
    <row r="14" spans="1:9">
      <c r="A14" s="3536"/>
      <c r="B14" s="3537" t="s">
        <v>2501</v>
      </c>
      <c r="C14" s="3537"/>
      <c r="D14" s="2510"/>
      <c r="E14" s="2510"/>
      <c r="F14" s="2511"/>
      <c r="G14" s="2512"/>
      <c r="H14" s="2519"/>
      <c r="I14" s="2509">
        <f>ROUND(D14*E14*F14*G14/10000,0)</f>
        <v>0</v>
      </c>
    </row>
    <row r="15" spans="1:9">
      <c r="A15" s="3536"/>
      <c r="B15" s="3538" t="s">
        <v>2490</v>
      </c>
      <c r="C15" s="3538"/>
      <c r="D15" s="2514"/>
      <c r="E15" s="2514">
        <f>SUM(E12:E14)</f>
        <v>0</v>
      </c>
      <c r="F15" s="2515"/>
      <c r="G15" s="2512"/>
      <c r="H15" s="2519"/>
      <c r="I15" s="2520">
        <f>SUM(I12:I14)</f>
        <v>0</v>
      </c>
    </row>
    <row r="16" spans="1:9" ht="24">
      <c r="A16" s="3536" t="s">
        <v>2502</v>
      </c>
      <c r="B16" s="3537" t="s">
        <v>2503</v>
      </c>
      <c r="C16" s="3537"/>
      <c r="D16" s="2510" t="s">
        <v>2504</v>
      </c>
      <c r="E16" s="2521" t="s">
        <v>2505</v>
      </c>
      <c r="F16" s="2511" t="s">
        <v>2506</v>
      </c>
      <c r="G16" s="2512" t="s">
        <v>2496</v>
      </c>
      <c r="H16" s="2518" t="s">
        <v>2497</v>
      </c>
      <c r="I16" s="2509" t="s">
        <v>2498</v>
      </c>
    </row>
    <row r="17" spans="1:9" ht="14.25">
      <c r="A17" s="3536"/>
      <c r="B17" s="3537" t="s">
        <v>2507</v>
      </c>
      <c r="C17" s="3537"/>
      <c r="D17" s="2510"/>
      <c r="E17" s="2510"/>
      <c r="F17" s="2511"/>
      <c r="G17" s="2512"/>
      <c r="H17" s="2522"/>
      <c r="I17" s="2523">
        <f>ROUND(D17*E17*F17*G17/10000,0)</f>
        <v>0</v>
      </c>
    </row>
    <row r="18" spans="1:9" ht="14.25">
      <c r="A18" s="3536"/>
      <c r="B18" s="3537" t="s">
        <v>2508</v>
      </c>
      <c r="C18" s="3537"/>
      <c r="D18" s="2510"/>
      <c r="E18" s="2510"/>
      <c r="F18" s="2511"/>
      <c r="G18" s="2512"/>
      <c r="H18" s="2522"/>
      <c r="I18" s="2523">
        <f>ROUND(D18*E18*F18*G18/10000,0)</f>
        <v>0</v>
      </c>
    </row>
    <row r="19" spans="1:9" ht="14.25">
      <c r="A19" s="3536"/>
      <c r="B19" s="3537" t="s">
        <v>2509</v>
      </c>
      <c r="C19" s="3537"/>
      <c r="D19" s="2510"/>
      <c r="E19" s="2510"/>
      <c r="F19" s="2511"/>
      <c r="G19" s="2512"/>
      <c r="H19" s="2522"/>
      <c r="I19" s="2523">
        <f>ROUND(D19*E19*F19*G19/10000,0)</f>
        <v>0</v>
      </c>
    </row>
    <row r="20" spans="1:9">
      <c r="A20" s="3536"/>
      <c r="B20" s="3538" t="s">
        <v>2490</v>
      </c>
      <c r="C20" s="3538"/>
      <c r="D20" s="2514">
        <f>SUM(D17:D19)</f>
        <v>0</v>
      </c>
      <c r="E20" s="2514"/>
      <c r="F20" s="2515"/>
      <c r="G20" s="2512"/>
      <c r="H20" s="2519"/>
      <c r="I20" s="2520">
        <f>SUM(I17:I19)</f>
        <v>0</v>
      </c>
    </row>
    <row r="21" spans="1:9">
      <c r="A21" s="3536" t="s">
        <v>2510</v>
      </c>
      <c r="B21" s="3540"/>
      <c r="C21" s="3540"/>
      <c r="D21" s="3540"/>
      <c r="E21" s="3540"/>
      <c r="F21" s="3540"/>
      <c r="G21" s="3540"/>
      <c r="H21" s="2524">
        <v>0.1</v>
      </c>
      <c r="I21" s="2517">
        <f>ROUND(I10*H21,0)</f>
        <v>0</v>
      </c>
    </row>
    <row r="22" spans="1:9" ht="14.25">
      <c r="A22" s="3541" t="s">
        <v>2511</v>
      </c>
      <c r="B22" s="3542"/>
      <c r="C22" s="3543"/>
      <c r="D22" s="2525" t="s">
        <v>2512</v>
      </c>
      <c r="E22" s="2525" t="s">
        <v>2513</v>
      </c>
      <c r="F22" s="2526" t="s">
        <v>2514</v>
      </c>
      <c r="G22" s="2526" t="s">
        <v>2515</v>
      </c>
      <c r="H22" s="2518" t="s">
        <v>2516</v>
      </c>
      <c r="I22" s="2509" t="s">
        <v>2517</v>
      </c>
    </row>
    <row r="23" spans="1:9" ht="14.25" thickBot="1">
      <c r="A23" s="3544"/>
      <c r="B23" s="3545"/>
      <c r="C23" s="3546"/>
      <c r="D23" s="2527"/>
      <c r="E23" s="2527"/>
      <c r="F23" s="2527"/>
      <c r="G23" s="2528"/>
      <c r="H23" s="2529"/>
      <c r="I23" s="2530">
        <f>ROUND(E23*D23*F23*(1-G23)/10000,0)</f>
        <v>0</v>
      </c>
    </row>
    <row r="26" spans="1:9">
      <c r="A26" s="2531" t="s">
        <v>2518</v>
      </c>
      <c r="B26" s="2531"/>
      <c r="C26" s="2531"/>
      <c r="D26" s="2531"/>
      <c r="E26" s="3547">
        <f>C27-C30-C31-C32</f>
        <v>0</v>
      </c>
      <c r="F26" s="3547"/>
      <c r="G26" s="3547"/>
      <c r="H26" s="3045" t="s">
        <v>2846</v>
      </c>
    </row>
    <row r="27" spans="1:9">
      <c r="A27" s="2532">
        <v>1</v>
      </c>
      <c r="B27" s="2533" t="s">
        <v>2519</v>
      </c>
      <c r="C27" s="2533"/>
      <c r="D27" s="2533"/>
      <c r="E27" s="3548"/>
      <c r="F27" s="3548"/>
      <c r="G27" s="3548"/>
    </row>
    <row r="28" spans="1:9">
      <c r="A28" s="2534" t="s">
        <v>2520</v>
      </c>
      <c r="B28" s="2533" t="s">
        <v>2521</v>
      </c>
      <c r="C28" s="2533"/>
      <c r="D28" s="2533"/>
      <c r="E28" s="3548"/>
      <c r="F28" s="3548"/>
      <c r="G28" s="3548"/>
    </row>
    <row r="29" spans="1:9">
      <c r="A29" s="2534" t="s">
        <v>2522</v>
      </c>
      <c r="B29" s="2533" t="s">
        <v>2463</v>
      </c>
      <c r="C29" s="2533"/>
      <c r="D29" s="2533"/>
      <c r="E29" s="2533" t="s">
        <v>2523</v>
      </c>
      <c r="F29" s="2533"/>
      <c r="G29" s="2533"/>
    </row>
    <row r="30" spans="1:9">
      <c r="A30" s="2532">
        <v>2</v>
      </c>
      <c r="B30" s="2533" t="s">
        <v>2524</v>
      </c>
      <c r="C30" s="2533">
        <f>C27*D30</f>
        <v>0</v>
      </c>
      <c r="D30" s="2535">
        <v>0.2</v>
      </c>
      <c r="E30" s="2533" t="s">
        <v>2525</v>
      </c>
      <c r="F30" s="2533"/>
      <c r="G30" s="2533"/>
    </row>
    <row r="31" spans="1:9">
      <c r="A31" s="2532">
        <v>3</v>
      </c>
      <c r="B31" s="2533" t="s">
        <v>2526</v>
      </c>
      <c r="C31" s="2533">
        <f>C25*D31</f>
        <v>0</v>
      </c>
      <c r="D31" s="2535">
        <v>0.15</v>
      </c>
      <c r="E31" s="2533" t="s">
        <v>2527</v>
      </c>
      <c r="F31" s="2533"/>
      <c r="G31" s="2533"/>
    </row>
    <row r="32" spans="1:9">
      <c r="A32" s="2532">
        <v>4</v>
      </c>
      <c r="B32" s="2533" t="s">
        <v>2528</v>
      </c>
      <c r="C32" s="2533">
        <f>C27*D32</f>
        <v>0</v>
      </c>
      <c r="D32" s="2535">
        <v>0.05</v>
      </c>
      <c r="E32" s="3539"/>
      <c r="F32" s="3539"/>
      <c r="G32" s="3539"/>
    </row>
    <row r="33" spans="1:7" hidden="1">
      <c r="A33" s="3549" t="s">
        <v>2529</v>
      </c>
      <c r="B33" s="3550"/>
      <c r="C33" s="3550"/>
      <c r="D33" s="3551"/>
      <c r="E33" s="3547"/>
      <c r="F33" s="3547"/>
      <c r="G33" s="3547"/>
    </row>
    <row r="34" spans="1:7" hidden="1">
      <c r="A34" s="2536">
        <v>1</v>
      </c>
      <c r="B34" s="2533" t="s">
        <v>2530</v>
      </c>
      <c r="C34" s="2533"/>
      <c r="D34" s="2533"/>
      <c r="E34" s="3548"/>
      <c r="F34" s="3548"/>
      <c r="G34" s="3548"/>
    </row>
    <row r="35" spans="1:7" hidden="1">
      <c r="A35" s="2536">
        <v>2</v>
      </c>
      <c r="B35" s="2533" t="s">
        <v>2531</v>
      </c>
      <c r="C35" s="2533"/>
      <c r="D35" s="2533"/>
      <c r="E35" s="3548"/>
      <c r="F35" s="3548"/>
      <c r="G35" s="3548"/>
    </row>
    <row r="36" spans="1:7" hidden="1">
      <c r="A36" s="2536">
        <v>3</v>
      </c>
      <c r="B36" s="2533" t="s">
        <v>2532</v>
      </c>
      <c r="C36" s="2533"/>
      <c r="D36" s="2533"/>
      <c r="E36" s="3548"/>
      <c r="F36" s="3548"/>
      <c r="G36" s="3548"/>
    </row>
    <row r="37" spans="1:7" hidden="1">
      <c r="A37" s="2536">
        <v>4</v>
      </c>
      <c r="B37" s="2533" t="s">
        <v>2533</v>
      </c>
      <c r="C37" s="2533"/>
      <c r="D37" s="2533"/>
      <c r="E37" s="3548"/>
      <c r="F37" s="3548"/>
      <c r="G37" s="3548"/>
    </row>
    <row r="38" spans="1:7" hidden="1">
      <c r="A38" s="3549" t="s">
        <v>2534</v>
      </c>
      <c r="B38" s="3550"/>
      <c r="C38" s="3550"/>
      <c r="D38" s="3551"/>
      <c r="E38" s="3547"/>
      <c r="F38" s="3547"/>
      <c r="G38" s="35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2443</v>
      </c>
      <c r="B8" s="2473" t="s">
        <v>2445</v>
      </c>
      <c r="C8" s="2474"/>
      <c r="D8" s="749"/>
      <c r="E8" s="750"/>
      <c r="F8" s="750"/>
      <c r="G8" s="751"/>
    </row>
    <row r="9" spans="1:25" s="2184" customFormat="1" ht="13.5" customHeight="1">
      <c r="A9" s="2470" t="s">
        <v>2444</v>
      </c>
      <c r="B9" s="2473" t="s">
        <v>2446</v>
      </c>
      <c r="C9" s="2474"/>
      <c r="D9" s="749"/>
      <c r="E9" s="750"/>
      <c r="F9" s="750"/>
      <c r="G9" s="751"/>
    </row>
    <row r="10" spans="1:25" s="2184" customFormat="1" ht="36">
      <c r="A10" s="2470">
        <v>2</v>
      </c>
      <c r="B10" s="748" t="s">
        <v>613</v>
      </c>
      <c r="C10" s="749">
        <f>C11+C14+C15</f>
        <v>0</v>
      </c>
      <c r="D10" s="760">
        <f>'数据-汇总表'!E3</f>
        <v>171863.99999999997</v>
      </c>
      <c r="E10" s="749">
        <f>'数据-取费表'!B31</f>
        <v>200</v>
      </c>
      <c r="F10" s="761"/>
      <c r="G10" s="759" t="s">
        <v>614</v>
      </c>
    </row>
    <row r="11" spans="1:25" s="2184" customFormat="1" ht="13.5" customHeight="1">
      <c r="A11" s="2470" t="s">
        <v>2443</v>
      </c>
      <c r="B11" s="752" t="s">
        <v>610</v>
      </c>
      <c r="C11" s="753">
        <f>'数据-取费表'!B29</f>
        <v>0</v>
      </c>
      <c r="D11" s="754"/>
      <c r="E11" s="753"/>
      <c r="F11" s="755"/>
      <c r="G11" s="2479" t="s">
        <v>2454</v>
      </c>
    </row>
    <row r="12" spans="1:25" s="2184" customFormat="1" ht="13.5" customHeight="1">
      <c r="A12" s="2477" t="s">
        <v>2451</v>
      </c>
      <c r="B12" s="756" t="s">
        <v>611</v>
      </c>
      <c r="C12" s="757">
        <f>ROUND(D12*E12/10000,0)</f>
        <v>562</v>
      </c>
      <c r="D12" s="758">
        <f>'数据-汇总表'!E5</f>
        <v>70218.999999999985</v>
      </c>
      <c r="E12" s="757">
        <f>'数据-取费表'!B27</f>
        <v>80</v>
      </c>
      <c r="F12" s="755"/>
      <c r="G12" s="759"/>
    </row>
    <row r="13" spans="1:25" s="2184" customFormat="1" ht="13.5" customHeight="1">
      <c r="A13" s="2477" t="s">
        <v>2450</v>
      </c>
      <c r="B13" s="756" t="s">
        <v>612</v>
      </c>
      <c r="C13" s="757">
        <f>ROUND(D13*E13/10000,0)</f>
        <v>1626</v>
      </c>
      <c r="D13" s="758">
        <f>'数据-汇总表'!E6</f>
        <v>101644.99999999999</v>
      </c>
      <c r="E13" s="757">
        <f>'数据-取费表'!B28</f>
        <v>160</v>
      </c>
      <c r="F13" s="755"/>
      <c r="G13" s="759"/>
    </row>
    <row r="14" spans="1:25" s="2184" customFormat="1" ht="13.5" customHeight="1">
      <c r="A14" s="2470" t="s">
        <v>2444</v>
      </c>
      <c r="B14" s="2476" t="s">
        <v>2447</v>
      </c>
      <c r="C14" s="2474"/>
      <c r="D14" s="758"/>
      <c r="E14" s="757"/>
      <c r="F14" s="2475"/>
      <c r="G14" s="2478" t="s">
        <v>2452</v>
      </c>
    </row>
    <row r="15" spans="1:25" s="2184" customFormat="1" ht="13.5" customHeight="1">
      <c r="A15" s="2470" t="s">
        <v>2449</v>
      </c>
      <c r="B15" s="2476" t="s">
        <v>2448</v>
      </c>
      <c r="C15" s="2474"/>
      <c r="D15" s="758"/>
      <c r="E15" s="757"/>
      <c r="F15" s="2475"/>
      <c r="G15" s="2478" t="s">
        <v>2453</v>
      </c>
    </row>
    <row r="16" spans="1:25" s="2185" customFormat="1" ht="48">
      <c r="A16" s="2470">
        <v>3</v>
      </c>
      <c r="B16" s="748" t="s">
        <v>615</v>
      </c>
      <c r="C16" s="2474"/>
      <c r="D16" s="760"/>
      <c r="E16" s="749"/>
      <c r="F16" s="761"/>
      <c r="G16" s="759" t="s">
        <v>2455</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0.90300000000000002</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M41" sqref="M4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4" t="s">
        <v>719</v>
      </c>
      <c r="C1" s="2625" t="s">
        <v>720</v>
      </c>
      <c r="D1" s="2626" t="s">
        <v>2995</v>
      </c>
      <c r="E1" s="2627"/>
      <c r="F1" s="2808" t="s">
        <v>3129</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3">
        <f>ROUND(B3*D3/10000,0)</f>
        <v>161641</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519</v>
      </c>
      <c r="B3" s="851">
        <f>C49</f>
        <v>24845</v>
      </c>
      <c r="C3" s="852" t="s">
        <v>722</v>
      </c>
      <c r="D3" s="851">
        <f>SUMIF('数据-汇总表'!$C19:$C33,D1,'数据-汇总表'!$E19:$E33)</f>
        <v>65059.829999999987</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445" t="s">
        <v>522</v>
      </c>
      <c r="D4" s="3446"/>
      <c r="E4" s="3480" t="s">
        <v>523</v>
      </c>
      <c r="F4" s="3481"/>
      <c r="G4" s="3445" t="s">
        <v>524</v>
      </c>
      <c r="H4" s="3446"/>
      <c r="I4" s="3445" t="s">
        <v>525</v>
      </c>
      <c r="J4" s="3446"/>
      <c r="K4" s="853" t="s">
        <v>526</v>
      </c>
      <c r="L4" s="2134"/>
      <c r="M4" s="2135"/>
      <c r="N4" s="2135"/>
      <c r="O4" s="2135"/>
      <c r="P4" s="3447" t="s">
        <v>527</v>
      </c>
      <c r="Q4" s="3448"/>
      <c r="R4" s="3453" t="s">
        <v>523</v>
      </c>
      <c r="S4" s="3454"/>
      <c r="T4" s="3453" t="s">
        <v>524</v>
      </c>
      <c r="U4" s="3454"/>
      <c r="V4" s="3440" t="s">
        <v>525</v>
      </c>
      <c r="W4" s="3440"/>
      <c r="X4" s="1567"/>
      <c r="Y4" s="3453" t="s">
        <v>527</v>
      </c>
      <c r="Z4" s="3454"/>
      <c r="AA4" s="3442" t="s">
        <v>523</v>
      </c>
      <c r="AB4" s="3442" t="s">
        <v>524</v>
      </c>
      <c r="AC4" s="3442" t="s">
        <v>525</v>
      </c>
    </row>
    <row r="5" spans="1:29" ht="15">
      <c r="A5" s="515"/>
      <c r="B5" s="516"/>
      <c r="C5" s="3461" t="s">
        <v>2934</v>
      </c>
      <c r="D5" s="3462"/>
      <c r="E5" s="3556" t="s">
        <v>3145</v>
      </c>
      <c r="F5" s="3483"/>
      <c r="G5" s="3555" t="s">
        <v>3148</v>
      </c>
      <c r="H5" s="3462"/>
      <c r="I5" s="3555" t="s">
        <v>3153</v>
      </c>
      <c r="J5" s="3462"/>
      <c r="K5" s="854"/>
      <c r="L5" s="2134"/>
      <c r="M5" s="2135"/>
      <c r="N5" s="2135"/>
      <c r="O5" s="2135"/>
      <c r="P5" s="3449"/>
      <c r="Q5" s="3450"/>
      <c r="R5" s="3455"/>
      <c r="S5" s="3456"/>
      <c r="T5" s="3455"/>
      <c r="U5" s="3456"/>
      <c r="V5" s="3440"/>
      <c r="W5" s="3440"/>
      <c r="X5" s="1567"/>
      <c r="Y5" s="3455"/>
      <c r="Z5" s="3456"/>
      <c r="AA5" s="3443"/>
      <c r="AB5" s="3443"/>
      <c r="AC5" s="3443"/>
    </row>
    <row r="6" spans="1:29" ht="43.5" customHeight="1" thickBot="1">
      <c r="A6" s="517"/>
      <c r="B6" s="518"/>
      <c r="C6" s="3459" t="s">
        <v>2938</v>
      </c>
      <c r="D6" s="3460"/>
      <c r="E6" s="3556" t="s">
        <v>3144</v>
      </c>
      <c r="F6" s="3483"/>
      <c r="G6" s="3465" t="s">
        <v>3147</v>
      </c>
      <c r="H6" s="3460"/>
      <c r="I6" s="3465" t="s">
        <v>3154</v>
      </c>
      <c r="J6" s="3460"/>
      <c r="K6" s="854" t="s">
        <v>528</v>
      </c>
      <c r="L6" s="2134"/>
      <c r="M6" s="2135"/>
      <c r="N6" s="2135"/>
      <c r="O6" s="2135"/>
      <c r="P6" s="3451"/>
      <c r="Q6" s="3452"/>
      <c r="R6" s="3455"/>
      <c r="S6" s="3456"/>
      <c r="T6" s="3457"/>
      <c r="U6" s="3458"/>
      <c r="V6" s="3440"/>
      <c r="W6" s="3440"/>
      <c r="X6" s="1567"/>
      <c r="Y6" s="3457"/>
      <c r="Z6" s="3458"/>
      <c r="AA6" s="3444"/>
      <c r="AB6" s="3444"/>
      <c r="AC6" s="3444"/>
    </row>
    <row r="7" spans="1:29" s="1220" customFormat="1" ht="15.75" thickBot="1">
      <c r="A7" s="2913"/>
      <c r="B7" s="2920" t="s">
        <v>529</v>
      </c>
      <c r="C7" s="519">
        <f>'数据-取费表'!B2</f>
        <v>43383</v>
      </c>
      <c r="D7" s="520">
        <v>100</v>
      </c>
      <c r="E7" s="521">
        <v>43374</v>
      </c>
      <c r="F7" s="522">
        <f>SUMIF(58:58,YEAR(E7)&amp;"-"&amp;MONTH(E7),59:59)</f>
        <v>100</v>
      </c>
      <c r="G7" s="521">
        <v>43374</v>
      </c>
      <c r="H7" s="520">
        <f>SUMIF(58:58,YEAR(G7)&amp;"-"&amp;MONTH(G7),59:59)</f>
        <v>100</v>
      </c>
      <c r="I7" s="521">
        <v>43374</v>
      </c>
      <c r="J7" s="520">
        <f>SUMIF(58:58,YEAR(I7)&amp;"-"&amp;MONTH(I7),59:59)</f>
        <v>100</v>
      </c>
      <c r="K7" s="855"/>
      <c r="L7" s="2136"/>
      <c r="M7" s="2137"/>
      <c r="N7" s="2137"/>
      <c r="O7" s="2137"/>
      <c r="P7" s="3471" t="s">
        <v>530</v>
      </c>
      <c r="Q7" s="3473"/>
      <c r="R7" s="1568" t="s">
        <v>13</v>
      </c>
      <c r="S7" s="1569">
        <f t="shared" ref="S7:S15" si="0">F7</f>
        <v>100</v>
      </c>
      <c r="T7" s="1568" t="s">
        <v>13</v>
      </c>
      <c r="U7" s="1569">
        <f t="shared" ref="U7:U15" si="1">H7</f>
        <v>100</v>
      </c>
      <c r="V7" s="1568" t="s">
        <v>13</v>
      </c>
      <c r="W7" s="1569">
        <f t="shared" ref="W7:W15" si="2">J7</f>
        <v>100</v>
      </c>
      <c r="X7" s="1570"/>
      <c r="Y7" s="3471" t="s">
        <v>530</v>
      </c>
      <c r="Z7" s="3472"/>
      <c r="AA7" s="1571">
        <f>D7/F7</f>
        <v>1</v>
      </c>
      <c r="AB7" s="1571">
        <f>D7/H7</f>
        <v>1</v>
      </c>
      <c r="AC7" s="1571">
        <f>D7/J7</f>
        <v>1</v>
      </c>
    </row>
    <row r="8" spans="1:29" s="1220" customFormat="1" ht="15.75" thickBot="1">
      <c r="A8" s="2914"/>
      <c r="B8" s="2921" t="s">
        <v>531</v>
      </c>
      <c r="C8" s="525" t="s">
        <v>576</v>
      </c>
      <c r="D8" s="520">
        <v>100</v>
      </c>
      <c r="E8" s="856" t="s">
        <v>3106</v>
      </c>
      <c r="F8" s="522">
        <f>SUMIF(61:61,E8,62:62)-SUMIF(61:61,C8,62:62)+100</f>
        <v>100</v>
      </c>
      <c r="G8" s="856" t="s">
        <v>3106</v>
      </c>
      <c r="H8" s="520">
        <f>SUMIF(61:61,G8,62:62)-SUMIF(61:61,C8,62:62)+100</f>
        <v>100</v>
      </c>
      <c r="I8" s="856" t="s">
        <v>3106</v>
      </c>
      <c r="J8" s="520">
        <f>SUMIF(61:61,I8,62:62)-SUMIF(61:61,C8,62:62)+100</f>
        <v>100</v>
      </c>
      <c r="K8" s="855"/>
      <c r="L8" s="2136"/>
      <c r="M8" s="2137"/>
      <c r="N8" s="2137"/>
      <c r="O8" s="2137"/>
      <c r="P8" s="3471" t="s">
        <v>533</v>
      </c>
      <c r="Q8" s="3472"/>
      <c r="R8" s="1568" t="s">
        <v>13</v>
      </c>
      <c r="S8" s="1569">
        <f t="shared" si="0"/>
        <v>100</v>
      </c>
      <c r="T8" s="1568" t="s">
        <v>13</v>
      </c>
      <c r="U8" s="1569">
        <f t="shared" si="1"/>
        <v>100</v>
      </c>
      <c r="V8" s="1568" t="s">
        <v>13</v>
      </c>
      <c r="W8" s="1569">
        <f t="shared" si="2"/>
        <v>100</v>
      </c>
      <c r="X8" s="1570"/>
      <c r="Y8" s="3471" t="s">
        <v>533</v>
      </c>
      <c r="Z8" s="3472"/>
      <c r="AA8" s="1571">
        <f t="shared" ref="AA8:AA46" si="3">D8/F8</f>
        <v>1</v>
      </c>
      <c r="AB8" s="1571">
        <f t="shared" ref="AB8:AB46" si="4">D8/H8</f>
        <v>1</v>
      </c>
      <c r="AC8" s="1571">
        <f t="shared" ref="AC8:AC46" si="5">D8/J8</f>
        <v>1</v>
      </c>
    </row>
    <row r="9" spans="1:29" s="1220" customFormat="1" ht="15">
      <c r="A9" s="2915"/>
      <c r="B9" s="2922" t="s">
        <v>2759</v>
      </c>
      <c r="C9" s="3235" t="s">
        <v>3104</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439" t="s">
        <v>535</v>
      </c>
      <c r="Q9" s="1151" t="str">
        <f t="shared" ref="Q9:Q15" si="6">B9</f>
        <v>用途</v>
      </c>
      <c r="R9" s="1568" t="s">
        <v>8</v>
      </c>
      <c r="S9" s="1569">
        <f t="shared" si="0"/>
        <v>100</v>
      </c>
      <c r="T9" s="1568" t="s">
        <v>8</v>
      </c>
      <c r="U9" s="1569">
        <f t="shared" si="1"/>
        <v>100</v>
      </c>
      <c r="V9" s="1568" t="s">
        <v>8</v>
      </c>
      <c r="W9" s="1569">
        <f t="shared" si="2"/>
        <v>100</v>
      </c>
      <c r="X9" s="1570"/>
      <c r="Y9" s="3385" t="s">
        <v>536</v>
      </c>
      <c r="Z9" s="1150" t="str">
        <f t="shared" ref="Z9:Z15" si="7">Q9</f>
        <v>用途</v>
      </c>
      <c r="AA9" s="1571">
        <f t="shared" si="3"/>
        <v>1</v>
      </c>
      <c r="AB9" s="1571">
        <f t="shared" si="4"/>
        <v>1</v>
      </c>
      <c r="AC9" s="1571">
        <f t="shared" si="5"/>
        <v>1</v>
      </c>
    </row>
    <row r="10" spans="1:29" s="1338" customFormat="1" ht="27">
      <c r="A10" s="2916"/>
      <c r="B10" s="2921" t="s">
        <v>2760</v>
      </c>
      <c r="C10" s="861" t="s">
        <v>3105</v>
      </c>
      <c r="D10" s="255">
        <v>100</v>
      </c>
      <c r="E10" s="862" t="s">
        <v>3105</v>
      </c>
      <c r="F10" s="863">
        <f>SUMIF(65:65,E10,66:66)-SUMIF(65:65,C10,66:66)+100</f>
        <v>100</v>
      </c>
      <c r="G10" s="862" t="s">
        <v>3105</v>
      </c>
      <c r="H10" s="255">
        <f>SUMIF(65:65,G10,66:66)-SUMIF(65:65,C10,66:66)+100</f>
        <v>100</v>
      </c>
      <c r="I10" s="862" t="s">
        <v>3105</v>
      </c>
      <c r="J10" s="255">
        <f>SUMIF(65:65,I10,66:66)-SUMIF(65:65,C10,66:66)+100</f>
        <v>100</v>
      </c>
      <c r="K10" s="864">
        <v>1</v>
      </c>
      <c r="L10" s="2139"/>
      <c r="M10" s="2179"/>
      <c r="N10" s="2179"/>
      <c r="O10" s="2140"/>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2917"/>
      <c r="B11" s="2921" t="s">
        <v>2761</v>
      </c>
      <c r="C11" s="533">
        <v>6.88</v>
      </c>
      <c r="D11" s="255">
        <v>100</v>
      </c>
      <c r="E11" s="534">
        <v>4.76</v>
      </c>
      <c r="F11" s="863">
        <f>LOOKUP(E11,68:68,69:69)-LOOKUP(C11,68:68,69:69)+100</f>
        <v>104</v>
      </c>
      <c r="G11" s="533">
        <v>6.8</v>
      </c>
      <c r="H11" s="255">
        <f>LOOKUP(G11,68:68,69:69)-LOOKUP(C11,68:68,69:69)+100</f>
        <v>100</v>
      </c>
      <c r="I11" s="533">
        <v>5.26</v>
      </c>
      <c r="J11" s="255">
        <f>LOOKUP(I11,68:68,69:69)-LOOKUP(C11,68:68,69:69)+100</f>
        <v>102</v>
      </c>
      <c r="K11" s="864">
        <v>2</v>
      </c>
      <c r="L11" s="2141"/>
      <c r="M11" s="2135"/>
      <c r="N11" s="2135"/>
      <c r="O11" s="2142"/>
      <c r="P11" s="3439"/>
      <c r="Q11" s="1151" t="str">
        <f t="shared" si="6"/>
        <v>容积率</v>
      </c>
      <c r="R11" s="1568" t="s">
        <v>11</v>
      </c>
      <c r="S11" s="1569">
        <f t="shared" si="0"/>
        <v>104</v>
      </c>
      <c r="T11" s="1568" t="s">
        <v>11</v>
      </c>
      <c r="U11" s="1569">
        <f t="shared" si="1"/>
        <v>100</v>
      </c>
      <c r="V11" s="1568" t="s">
        <v>11</v>
      </c>
      <c r="W11" s="1569">
        <f t="shared" si="2"/>
        <v>102</v>
      </c>
      <c r="X11" s="1570"/>
      <c r="Y11" s="3385"/>
      <c r="Z11" s="1150" t="str">
        <f t="shared" si="7"/>
        <v>容积率</v>
      </c>
      <c r="AA11" s="1571">
        <f t="shared" si="3"/>
        <v>0.96153846153846156</v>
      </c>
      <c r="AB11" s="1571">
        <f t="shared" si="4"/>
        <v>1</v>
      </c>
      <c r="AC11" s="1571">
        <f t="shared" si="5"/>
        <v>0.98039215686274506</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39"/>
      <c r="Q12" s="1151">
        <f t="shared" si="6"/>
        <v>111</v>
      </c>
      <c r="R12" s="1568" t="s">
        <v>11</v>
      </c>
      <c r="S12" s="1569">
        <f t="shared" si="0"/>
        <v>100</v>
      </c>
      <c r="T12" s="1568" t="s">
        <v>11</v>
      </c>
      <c r="U12" s="1569">
        <f t="shared" si="1"/>
        <v>100</v>
      </c>
      <c r="V12" s="1568" t="s">
        <v>11</v>
      </c>
      <c r="W12" s="1569">
        <f t="shared" si="2"/>
        <v>100</v>
      </c>
      <c r="X12" s="1570"/>
      <c r="Y12" s="3385"/>
      <c r="Z12" s="1150">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39"/>
      <c r="Q13" s="1151">
        <f t="shared" si="6"/>
        <v>111</v>
      </c>
      <c r="R13" s="1568" t="s">
        <v>11</v>
      </c>
      <c r="S13" s="1569">
        <f t="shared" si="0"/>
        <v>100</v>
      </c>
      <c r="T13" s="1568" t="s">
        <v>11</v>
      </c>
      <c r="U13" s="1569">
        <f t="shared" si="1"/>
        <v>100</v>
      </c>
      <c r="V13" s="1568" t="s">
        <v>11</v>
      </c>
      <c r="W13" s="1569">
        <f t="shared" si="2"/>
        <v>100</v>
      </c>
      <c r="X13" s="1570"/>
      <c r="Y13" s="3385"/>
      <c r="Z13" s="1150">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39"/>
      <c r="Q14" s="1151">
        <f t="shared" si="6"/>
        <v>111</v>
      </c>
      <c r="R14" s="1568" t="s">
        <v>11</v>
      </c>
      <c r="S14" s="1569">
        <f t="shared" si="0"/>
        <v>100</v>
      </c>
      <c r="T14" s="1568" t="s">
        <v>11</v>
      </c>
      <c r="U14" s="1569">
        <f t="shared" si="1"/>
        <v>100</v>
      </c>
      <c r="V14" s="1568" t="s">
        <v>11</v>
      </c>
      <c r="W14" s="1569">
        <f t="shared" si="2"/>
        <v>100</v>
      </c>
      <c r="X14" s="1570"/>
      <c r="Y14" s="3385"/>
      <c r="Z14" s="1150">
        <f t="shared" si="7"/>
        <v>111</v>
      </c>
      <c r="AA14" s="1571">
        <f t="shared" si="3"/>
        <v>1</v>
      </c>
      <c r="AB14" s="1571">
        <f t="shared" si="4"/>
        <v>1</v>
      </c>
      <c r="AC14" s="1571">
        <f t="shared" si="5"/>
        <v>1</v>
      </c>
    </row>
    <row r="15" spans="1:29" ht="99.75">
      <c r="A15" s="2911" t="s">
        <v>2757</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96</v>
      </c>
      <c r="I15" s="550"/>
      <c r="J15" s="549">
        <f>SUMIF(76:76,I16,77:77)-SUMIF(76:76,C16,77:77)+100</f>
        <v>92</v>
      </c>
      <c r="K15" s="868">
        <v>4</v>
      </c>
      <c r="L15" s="2143"/>
      <c r="M15" s="2135"/>
      <c r="N15" s="2135"/>
      <c r="O15" s="2142"/>
      <c r="P15" s="3474" t="s">
        <v>540</v>
      </c>
      <c r="Q15" s="1572" t="str">
        <f t="shared" si="6"/>
        <v>居住社区成熟度</v>
      </c>
      <c r="R15" s="1573" t="s">
        <v>11</v>
      </c>
      <c r="S15" s="1574">
        <f t="shared" si="0"/>
        <v>100</v>
      </c>
      <c r="T15" s="1573" t="s">
        <v>11</v>
      </c>
      <c r="U15" s="1574">
        <f t="shared" si="1"/>
        <v>96</v>
      </c>
      <c r="V15" s="1573" t="s">
        <v>11</v>
      </c>
      <c r="W15" s="1574">
        <f t="shared" si="2"/>
        <v>92</v>
      </c>
      <c r="X15" s="1567"/>
      <c r="Y15" s="3474" t="s">
        <v>540</v>
      </c>
      <c r="Z15" s="1575" t="str">
        <f t="shared" si="7"/>
        <v>居住社区成熟度</v>
      </c>
      <c r="AA15" s="1576">
        <f t="shared" si="3"/>
        <v>1</v>
      </c>
      <c r="AB15" s="1576">
        <f t="shared" si="4"/>
        <v>1.0416666666666667</v>
      </c>
      <c r="AC15" s="1576">
        <f t="shared" si="5"/>
        <v>1.0869565217391304</v>
      </c>
    </row>
    <row r="16" spans="1:29" ht="15">
      <c r="A16" s="532"/>
      <c r="B16" s="869"/>
      <c r="C16" s="576" t="s">
        <v>3127</v>
      </c>
      <c r="D16" s="555"/>
      <c r="E16" s="556" t="s">
        <v>3127</v>
      </c>
      <c r="F16" s="557"/>
      <c r="G16" s="558" t="s">
        <v>3107</v>
      </c>
      <c r="H16" s="559"/>
      <c r="I16" s="556" t="s">
        <v>3128</v>
      </c>
      <c r="J16" s="555"/>
      <c r="K16" s="870"/>
      <c r="L16" s="2143"/>
      <c r="M16" s="2135"/>
      <c r="N16" s="2135"/>
      <c r="O16" s="2142"/>
      <c r="P16" s="3475"/>
      <c r="Q16" s="1572"/>
      <c r="R16" s="1573"/>
      <c r="S16" s="1574"/>
      <c r="T16" s="1573"/>
      <c r="U16" s="1574"/>
      <c r="V16" s="1573"/>
      <c r="W16" s="1574"/>
      <c r="X16" s="1567"/>
      <c r="Y16" s="3475"/>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103</v>
      </c>
      <c r="G17" s="564"/>
      <c r="H17" s="565">
        <f>SUMIF(78:78,G18,79:79)-SUMIF(78:78,C18,79:79)+100</f>
        <v>100</v>
      </c>
      <c r="I17" s="562"/>
      <c r="J17" s="565">
        <f>SUMIF(78:78,I18,79:79)-SUMIF(78:78,C18,79:79)+100</f>
        <v>97</v>
      </c>
      <c r="K17" s="868">
        <v>3</v>
      </c>
      <c r="L17" s="2143"/>
      <c r="M17" s="2135"/>
      <c r="N17" s="2135"/>
      <c r="O17" s="2142"/>
      <c r="P17" s="3475"/>
      <c r="Q17" s="1572" t="str">
        <f>B17</f>
        <v>交通便捷度</v>
      </c>
      <c r="R17" s="1573" t="s">
        <v>11</v>
      </c>
      <c r="S17" s="1574">
        <f>F17</f>
        <v>103</v>
      </c>
      <c r="T17" s="1573" t="s">
        <v>11</v>
      </c>
      <c r="U17" s="1574">
        <f>H17</f>
        <v>100</v>
      </c>
      <c r="V17" s="1573" t="s">
        <v>11</v>
      </c>
      <c r="W17" s="1574">
        <f>J17</f>
        <v>97</v>
      </c>
      <c r="X17" s="1567"/>
      <c r="Y17" s="3475"/>
      <c r="Z17" s="1575" t="str">
        <f>Q17</f>
        <v>交通便捷度</v>
      </c>
      <c r="AA17" s="1576">
        <f t="shared" si="3"/>
        <v>0.970873786407767</v>
      </c>
      <c r="AB17" s="1576">
        <f t="shared" si="4"/>
        <v>1</v>
      </c>
      <c r="AC17" s="1576">
        <f t="shared" si="5"/>
        <v>1.0309278350515463</v>
      </c>
    </row>
    <row r="18" spans="1:29" ht="15">
      <c r="A18" s="532"/>
      <c r="B18" s="595"/>
      <c r="C18" s="873" t="s">
        <v>3107</v>
      </c>
      <c r="D18" s="559"/>
      <c r="E18" s="568" t="s">
        <v>3127</v>
      </c>
      <c r="F18" s="563"/>
      <c r="G18" s="569" t="s">
        <v>3107</v>
      </c>
      <c r="H18" s="555"/>
      <c r="I18" s="568" t="s">
        <v>3128</v>
      </c>
      <c r="J18" s="555"/>
      <c r="K18" s="870"/>
      <c r="L18" s="2143"/>
      <c r="M18" s="2135"/>
      <c r="N18" s="2135"/>
      <c r="O18" s="2142"/>
      <c r="P18" s="3475"/>
      <c r="Q18" s="1572"/>
      <c r="R18" s="1573"/>
      <c r="S18" s="1574"/>
      <c r="T18" s="1573"/>
      <c r="U18" s="1574"/>
      <c r="V18" s="1573"/>
      <c r="W18" s="1574"/>
      <c r="X18" s="1567"/>
      <c r="Y18" s="3475"/>
      <c r="Z18" s="1575"/>
      <c r="AA18" s="1576">
        <v>1</v>
      </c>
      <c r="AB18" s="1576">
        <v>1</v>
      </c>
      <c r="AC18" s="1576">
        <v>1</v>
      </c>
    </row>
    <row r="19" spans="1:29" ht="42.75">
      <c r="A19" s="532"/>
      <c r="B19" s="2601" t="s">
        <v>2549</v>
      </c>
      <c r="C19" s="872" t="str">
        <f>估价对象房地状况!C7</f>
        <v>估价对象所在区域公共配套设施齐备情况</v>
      </c>
      <c r="D19" s="565">
        <v>100</v>
      </c>
      <c r="E19" s="570"/>
      <c r="F19" s="571">
        <f>SUMIF(80:80,E20,81:81)-SUMIF(80:80,C20,81:81)+100</f>
        <v>100</v>
      </c>
      <c r="G19" s="572"/>
      <c r="H19" s="559">
        <f>SUMIF(80:80,G20,81:81)-SUMIF(80:80,C20,81:81)+100</f>
        <v>95</v>
      </c>
      <c r="I19" s="570"/>
      <c r="J19" s="559">
        <f>SUMIF(80:80,I20,81:81)-SUMIF(80:80,C20,81:81)+100</f>
        <v>90</v>
      </c>
      <c r="K19" s="868">
        <v>5</v>
      </c>
      <c r="L19" s="2143"/>
      <c r="M19" s="2135"/>
      <c r="N19" s="2135"/>
      <c r="O19" s="2142"/>
      <c r="P19" s="3475"/>
      <c r="Q19" s="1572" t="str">
        <f>B19</f>
        <v>公共配套设施</v>
      </c>
      <c r="R19" s="1573" t="s">
        <v>11</v>
      </c>
      <c r="S19" s="1574">
        <f>F19</f>
        <v>100</v>
      </c>
      <c r="T19" s="1573" t="s">
        <v>11</v>
      </c>
      <c r="U19" s="1574">
        <f>H19</f>
        <v>95</v>
      </c>
      <c r="V19" s="1573" t="s">
        <v>11</v>
      </c>
      <c r="W19" s="1574">
        <f>J19</f>
        <v>90</v>
      </c>
      <c r="X19" s="1567"/>
      <c r="Y19" s="3475"/>
      <c r="Z19" s="1575" t="str">
        <f>Q19</f>
        <v>公共配套设施</v>
      </c>
      <c r="AA19" s="1576">
        <f t="shared" si="3"/>
        <v>1</v>
      </c>
      <c r="AB19" s="1576">
        <f t="shared" si="4"/>
        <v>1.0526315789473684</v>
      </c>
      <c r="AC19" s="1576">
        <f t="shared" si="5"/>
        <v>1.1111111111111112</v>
      </c>
    </row>
    <row r="20" spans="1:29" ht="15">
      <c r="A20" s="532"/>
      <c r="B20" s="595"/>
      <c r="C20" s="576" t="s">
        <v>3127</v>
      </c>
      <c r="D20" s="555"/>
      <c r="E20" s="556" t="s">
        <v>3127</v>
      </c>
      <c r="F20" s="557"/>
      <c r="G20" s="558" t="s">
        <v>3107</v>
      </c>
      <c r="H20" s="555"/>
      <c r="I20" s="556" t="s">
        <v>3128</v>
      </c>
      <c r="J20" s="555"/>
      <c r="K20" s="870"/>
      <c r="L20" s="2143"/>
      <c r="M20" s="2135"/>
      <c r="N20" s="2135"/>
      <c r="O20" s="2142"/>
      <c r="P20" s="3475"/>
      <c r="Q20" s="1572"/>
      <c r="R20" s="1573"/>
      <c r="S20" s="1574"/>
      <c r="T20" s="1573"/>
      <c r="U20" s="1574"/>
      <c r="V20" s="1573"/>
      <c r="W20" s="1574"/>
      <c r="X20" s="1567"/>
      <c r="Y20" s="3475"/>
      <c r="Z20" s="1575"/>
      <c r="AA20" s="1576">
        <v>1</v>
      </c>
      <c r="AB20" s="1576">
        <v>1</v>
      </c>
      <c r="AC20" s="1576">
        <v>1</v>
      </c>
    </row>
    <row r="21" spans="1:29" ht="28.5">
      <c r="A21" s="532"/>
      <c r="B21" s="2594"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75"/>
      <c r="Q21" s="2580" t="str">
        <f>B21</f>
        <v>基础设施水平</v>
      </c>
      <c r="R21" s="1573" t="s">
        <v>11</v>
      </c>
      <c r="S21" s="1574">
        <f>F21</f>
        <v>100</v>
      </c>
      <c r="T21" s="1573" t="s">
        <v>11</v>
      </c>
      <c r="U21" s="1574">
        <f>H21</f>
        <v>100</v>
      </c>
      <c r="V21" s="1573" t="s">
        <v>11</v>
      </c>
      <c r="W21" s="1574">
        <f>J21</f>
        <v>100</v>
      </c>
      <c r="X21" s="2582"/>
      <c r="Y21" s="3475"/>
      <c r="Z21" s="2581" t="str">
        <f>Q21</f>
        <v>基础设施水平</v>
      </c>
      <c r="AA21" s="1576">
        <f t="shared" ref="AA21" si="8">D21/F21</f>
        <v>1</v>
      </c>
      <c r="AB21" s="1576">
        <f t="shared" ref="AB21" si="9">D21/H21</f>
        <v>1</v>
      </c>
      <c r="AC21" s="1576">
        <f t="shared" ref="AC21" si="10">D21/J21</f>
        <v>1</v>
      </c>
    </row>
    <row r="22" spans="1:29" ht="15">
      <c r="A22" s="532"/>
      <c r="B22" s="922"/>
      <c r="C22" s="873" t="s">
        <v>3108</v>
      </c>
      <c r="D22" s="555"/>
      <c r="E22" s="576" t="s">
        <v>3108</v>
      </c>
      <c r="F22" s="557"/>
      <c r="G22" s="576" t="s">
        <v>3108</v>
      </c>
      <c r="H22" s="555"/>
      <c r="I22" s="576" t="s">
        <v>3108</v>
      </c>
      <c r="J22" s="555"/>
      <c r="K22" s="2600"/>
      <c r="L22" s="2143"/>
      <c r="M22" s="2135"/>
      <c r="N22" s="2135"/>
      <c r="O22" s="2142"/>
      <c r="P22" s="3475"/>
      <c r="Q22" s="2580"/>
      <c r="R22" s="1573"/>
      <c r="S22" s="1574"/>
      <c r="T22" s="1573"/>
      <c r="U22" s="1574"/>
      <c r="V22" s="1573"/>
      <c r="W22" s="1574"/>
      <c r="X22" s="2582"/>
      <c r="Y22" s="3475"/>
      <c r="Z22" s="2581"/>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97</v>
      </c>
      <c r="G23" s="564"/>
      <c r="H23" s="559">
        <f>SUMIF(84:84,G24,85:85)-SUMIF(84:84,C24,85:85)+100</f>
        <v>97</v>
      </c>
      <c r="I23" s="562"/>
      <c r="J23" s="559">
        <f>SUMIF(84:84,I24,85:85)-SUMIF(84:84,C24,85:85)+100</f>
        <v>100</v>
      </c>
      <c r="K23" s="868">
        <v>3</v>
      </c>
      <c r="L23" s="2143"/>
      <c r="M23" s="2135"/>
      <c r="N23" s="2135"/>
      <c r="O23" s="2142"/>
      <c r="P23" s="3475"/>
      <c r="Q23" s="1572" t="str">
        <f>B23</f>
        <v>自然及人文环境</v>
      </c>
      <c r="R23" s="1573" t="s">
        <v>11</v>
      </c>
      <c r="S23" s="1574">
        <f>F23</f>
        <v>97</v>
      </c>
      <c r="T23" s="1573" t="s">
        <v>11</v>
      </c>
      <c r="U23" s="1574">
        <f>H23</f>
        <v>97</v>
      </c>
      <c r="V23" s="1573" t="s">
        <v>11</v>
      </c>
      <c r="W23" s="1574">
        <f>J23</f>
        <v>100</v>
      </c>
      <c r="X23" s="1567"/>
      <c r="Y23" s="3475"/>
      <c r="Z23" s="1575" t="str">
        <f>Q23</f>
        <v>自然及人文环境</v>
      </c>
      <c r="AA23" s="1576">
        <f t="shared" si="3"/>
        <v>1.0309278350515463</v>
      </c>
      <c r="AB23" s="1576">
        <f t="shared" si="4"/>
        <v>1.0309278350515463</v>
      </c>
      <c r="AC23" s="1576">
        <f t="shared" si="5"/>
        <v>1</v>
      </c>
    </row>
    <row r="24" spans="1:29" ht="15">
      <c r="A24" s="532"/>
      <c r="B24" s="595"/>
      <c r="C24" s="576" t="s">
        <v>3128</v>
      </c>
      <c r="D24" s="555"/>
      <c r="E24" s="556" t="s">
        <v>3311</v>
      </c>
      <c r="F24" s="557"/>
      <c r="G24" s="558" t="s">
        <v>3311</v>
      </c>
      <c r="H24" s="555"/>
      <c r="I24" s="556" t="s">
        <v>3128</v>
      </c>
      <c r="J24" s="555"/>
      <c r="K24" s="870"/>
      <c r="L24" s="2143"/>
      <c r="M24" s="2135"/>
      <c r="N24" s="2135"/>
      <c r="O24" s="2142"/>
      <c r="P24" s="3475"/>
      <c r="Q24" s="1572"/>
      <c r="R24" s="1573"/>
      <c r="S24" s="1574"/>
      <c r="T24" s="1573"/>
      <c r="U24" s="1574"/>
      <c r="V24" s="1573"/>
      <c r="W24" s="1574"/>
      <c r="X24" s="1567"/>
      <c r="Y24" s="3475"/>
      <c r="Z24" s="1575"/>
      <c r="AA24" s="1576">
        <v>1</v>
      </c>
      <c r="AB24" s="1576">
        <v>1</v>
      </c>
      <c r="AC24" s="1576">
        <v>1</v>
      </c>
    </row>
    <row r="25" spans="1:29" ht="15">
      <c r="A25" s="532"/>
      <c r="B25" s="1896" t="s">
        <v>2259</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75"/>
      <c r="Q25" s="1572" t="str">
        <f t="shared" ref="Q25:Q46" si="11">B25</f>
        <v>楼层-1</v>
      </c>
      <c r="R25" s="1573" t="s">
        <v>11</v>
      </c>
      <c r="S25" s="1574">
        <f>F25</f>
        <v>100</v>
      </c>
      <c r="T25" s="1573" t="s">
        <v>11</v>
      </c>
      <c r="U25" s="1574">
        <f>H25</f>
        <v>100</v>
      </c>
      <c r="V25" s="1573" t="s">
        <v>11</v>
      </c>
      <c r="W25" s="1574">
        <f>J25</f>
        <v>100</v>
      </c>
      <c r="X25" s="1567"/>
      <c r="Y25" s="3475"/>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75"/>
      <c r="Q26" s="1572" t="str">
        <f t="shared" si="11"/>
        <v>朝向</v>
      </c>
      <c r="R26" s="1573" t="s">
        <v>11</v>
      </c>
      <c r="S26" s="1574">
        <f>F26</f>
        <v>100</v>
      </c>
      <c r="T26" s="1573" t="s">
        <v>11</v>
      </c>
      <c r="U26" s="1574">
        <f>H26</f>
        <v>100</v>
      </c>
      <c r="V26" s="1573" t="s">
        <v>11</v>
      </c>
      <c r="W26" s="1574">
        <f>J26</f>
        <v>100</v>
      </c>
      <c r="X26" s="1567"/>
      <c r="Y26" s="3475"/>
      <c r="Z26" s="1575" t="str">
        <f>Q26</f>
        <v>朝向</v>
      </c>
      <c r="AA26" s="1576">
        <f t="shared" si="3"/>
        <v>1</v>
      </c>
      <c r="AB26" s="1576">
        <f t="shared" si="4"/>
        <v>1</v>
      </c>
      <c r="AC26" s="1576">
        <f t="shared" si="5"/>
        <v>1</v>
      </c>
    </row>
    <row r="27" spans="1:29" s="1220" customFormat="1" ht="15">
      <c r="A27" s="536"/>
      <c r="B27" s="537" t="s">
        <v>724</v>
      </c>
      <c r="C27" s="3236" t="s">
        <v>3110</v>
      </c>
      <c r="D27" s="875">
        <v>100</v>
      </c>
      <c r="E27" s="3241" t="s">
        <v>3146</v>
      </c>
      <c r="F27" s="876">
        <f>SUMIF(90:90,E27,91:91)-SUMIF(90:90,C27,91:91)+100</f>
        <v>100</v>
      </c>
      <c r="G27" s="3241" t="s">
        <v>3110</v>
      </c>
      <c r="H27" s="875">
        <f>SUMIF(90:90,G27,91:91)-SUMIF(90:90,C27,91:91)+100</f>
        <v>100</v>
      </c>
      <c r="I27" s="3241" t="s">
        <v>3110</v>
      </c>
      <c r="J27" s="875">
        <f>SUMIF(90:90,I27,91:91)-SUMIF(90:90,C27,91:91)+100</f>
        <v>100</v>
      </c>
      <c r="K27" s="865"/>
      <c r="L27" s="2136"/>
      <c r="M27" s="2137"/>
      <c r="N27" s="2137"/>
      <c r="O27" s="2138"/>
      <c r="P27" s="3475"/>
      <c r="Q27" s="1151" t="str">
        <f t="shared" si="11"/>
        <v>道路级别</v>
      </c>
      <c r="R27" s="1568" t="s">
        <v>11</v>
      </c>
      <c r="S27" s="1569">
        <f>F27</f>
        <v>100</v>
      </c>
      <c r="T27" s="1568" t="s">
        <v>11</v>
      </c>
      <c r="U27" s="1569">
        <f>H27</f>
        <v>100</v>
      </c>
      <c r="V27" s="1568" t="s">
        <v>11</v>
      </c>
      <c r="W27" s="1569">
        <f>J27</f>
        <v>100</v>
      </c>
      <c r="X27" s="1570"/>
      <c r="Y27" s="3475"/>
      <c r="Z27" s="1150" t="str">
        <f>Q27</f>
        <v>道路级别</v>
      </c>
      <c r="AA27" s="1576">
        <f>D27/F27</f>
        <v>1</v>
      </c>
      <c r="AB27" s="1576">
        <f>D27/H27</f>
        <v>1</v>
      </c>
      <c r="AC27" s="1576">
        <f>D27/J27</f>
        <v>1</v>
      </c>
    </row>
    <row r="28" spans="1:29" ht="15">
      <c r="A28" s="532"/>
      <c r="B28" s="877">
        <v>111</v>
      </c>
      <c r="C28" s="3242" t="s">
        <v>3162</v>
      </c>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75"/>
      <c r="Q28" s="1572">
        <f t="shared" si="11"/>
        <v>111</v>
      </c>
      <c r="R28" s="1573" t="s">
        <v>11</v>
      </c>
      <c r="S28" s="1574">
        <f t="shared" ref="S28:S46" si="12">F28</f>
        <v>100</v>
      </c>
      <c r="T28" s="1573" t="s">
        <v>11</v>
      </c>
      <c r="U28" s="1574">
        <f t="shared" ref="U28:U46" si="13">H28</f>
        <v>100</v>
      </c>
      <c r="V28" s="1573" t="s">
        <v>11</v>
      </c>
      <c r="W28" s="1574">
        <f t="shared" ref="W28:W46" si="14">J28</f>
        <v>100</v>
      </c>
      <c r="X28" s="1567"/>
      <c r="Y28" s="3475"/>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75"/>
      <c r="Q29" s="1572">
        <f t="shared" si="11"/>
        <v>111</v>
      </c>
      <c r="R29" s="1573" t="s">
        <v>11</v>
      </c>
      <c r="S29" s="1574">
        <f t="shared" si="12"/>
        <v>100</v>
      </c>
      <c r="T29" s="1573" t="s">
        <v>11</v>
      </c>
      <c r="U29" s="1574">
        <f t="shared" si="13"/>
        <v>100</v>
      </c>
      <c r="V29" s="1573" t="s">
        <v>11</v>
      </c>
      <c r="W29" s="1574">
        <f t="shared" si="14"/>
        <v>100</v>
      </c>
      <c r="X29" s="1567"/>
      <c r="Y29" s="347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75"/>
      <c r="Q30" s="1572">
        <f t="shared" si="11"/>
        <v>111</v>
      </c>
      <c r="R30" s="1573" t="s">
        <v>11</v>
      </c>
      <c r="S30" s="1574">
        <f t="shared" si="12"/>
        <v>100</v>
      </c>
      <c r="T30" s="1573" t="s">
        <v>11</v>
      </c>
      <c r="U30" s="1574">
        <f t="shared" si="13"/>
        <v>100</v>
      </c>
      <c r="V30" s="1573" t="s">
        <v>11</v>
      </c>
      <c r="W30" s="1574">
        <f t="shared" si="14"/>
        <v>100</v>
      </c>
      <c r="X30" s="1567"/>
      <c r="Y30" s="3475"/>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75"/>
      <c r="Q31" s="1572">
        <f t="shared" si="11"/>
        <v>111</v>
      </c>
      <c r="R31" s="1573" t="s">
        <v>11</v>
      </c>
      <c r="S31" s="1574">
        <f t="shared" si="12"/>
        <v>100</v>
      </c>
      <c r="T31" s="1573" t="s">
        <v>11</v>
      </c>
      <c r="U31" s="1574">
        <f t="shared" si="13"/>
        <v>100</v>
      </c>
      <c r="V31" s="1573" t="s">
        <v>11</v>
      </c>
      <c r="W31" s="1574">
        <f t="shared" si="14"/>
        <v>100</v>
      </c>
      <c r="X31" s="1567"/>
      <c r="Y31" s="3475"/>
      <c r="Z31" s="1575">
        <f t="shared" si="15"/>
        <v>111</v>
      </c>
      <c r="AA31" s="1576">
        <f t="shared" si="3"/>
        <v>1</v>
      </c>
      <c r="AB31" s="1576">
        <f t="shared" si="4"/>
        <v>1</v>
      </c>
      <c r="AC31" s="1576">
        <f t="shared" si="5"/>
        <v>1</v>
      </c>
    </row>
    <row r="32" spans="1:29" ht="15">
      <c r="A32" s="2908" t="s">
        <v>2758</v>
      </c>
      <c r="B32" s="172" t="s">
        <v>725</v>
      </c>
      <c r="C32" s="878" t="s">
        <v>3111</v>
      </c>
      <c r="D32" s="597">
        <v>100</v>
      </c>
      <c r="E32" s="878" t="s">
        <v>3111</v>
      </c>
      <c r="F32" s="575">
        <f>SUMIF(100:100,E32,101:101)-SUMIF(100:100,C32,101:101)+100</f>
        <v>100</v>
      </c>
      <c r="G32" s="878" t="s">
        <v>3111</v>
      </c>
      <c r="H32" s="597">
        <f>SUMIF(100:100,G32,101:101)-SUMIF(100:100,C32,101:101)+100</f>
        <v>100</v>
      </c>
      <c r="I32" s="879" t="s">
        <v>3111</v>
      </c>
      <c r="J32" s="540">
        <f>SUMIF(100:100,I32,101:101)-SUMIF(100:100,C32,101:101)+100</f>
        <v>100</v>
      </c>
      <c r="K32" s="864">
        <v>5</v>
      </c>
      <c r="L32" s="2143"/>
      <c r="M32" s="2135"/>
      <c r="N32" s="2135"/>
      <c r="O32" s="2142"/>
      <c r="P32" s="3476" t="s">
        <v>550</v>
      </c>
      <c r="Q32" s="1572" t="str">
        <f t="shared" si="11"/>
        <v>建筑类型</v>
      </c>
      <c r="R32" s="1573" t="s">
        <v>11</v>
      </c>
      <c r="S32" s="1574">
        <f t="shared" si="12"/>
        <v>100</v>
      </c>
      <c r="T32" s="1573" t="s">
        <v>11</v>
      </c>
      <c r="U32" s="1574">
        <f t="shared" si="13"/>
        <v>100</v>
      </c>
      <c r="V32" s="1573" t="s">
        <v>11</v>
      </c>
      <c r="W32" s="1574">
        <f t="shared" si="14"/>
        <v>100</v>
      </c>
      <c r="X32" s="1567"/>
      <c r="Y32" s="3477" t="s">
        <v>550</v>
      </c>
      <c r="Z32" s="1575" t="str">
        <f t="shared" si="15"/>
        <v>建筑类型</v>
      </c>
      <c r="AA32" s="1576">
        <f t="shared" si="3"/>
        <v>1</v>
      </c>
      <c r="AB32" s="1576">
        <f t="shared" si="4"/>
        <v>1</v>
      </c>
      <c r="AC32" s="1576">
        <f t="shared" si="5"/>
        <v>1</v>
      </c>
    </row>
    <row r="33" spans="1:29" s="1339" customFormat="1" ht="15">
      <c r="A33" s="603"/>
      <c r="B33" s="527" t="s">
        <v>726</v>
      </c>
      <c r="C33" s="880">
        <f>'数据-基础表'!B3</f>
        <v>171863.99999999997</v>
      </c>
      <c r="D33" s="255">
        <v>100</v>
      </c>
      <c r="E33" s="880">
        <v>615000</v>
      </c>
      <c r="F33" s="863">
        <f>LOOKUP(E33,103:103,104:104)-LOOKUP(C33,103:103,104:104)+100</f>
        <v>103</v>
      </c>
      <c r="G33" s="533">
        <v>145200</v>
      </c>
      <c r="H33" s="255">
        <f>LOOKUP(G33,103:103,104:104)-LOOKUP(C33,103:103,104:104)+100</f>
        <v>100</v>
      </c>
      <c r="I33" s="534">
        <v>804984</v>
      </c>
      <c r="J33" s="255">
        <f>LOOKUP(I33,103:103,104:104)-LOOKUP(C33,103:103,104:104)+100</f>
        <v>104</v>
      </c>
      <c r="K33" s="865"/>
      <c r="L33" s="2141"/>
      <c r="M33" s="2172"/>
      <c r="N33" s="2172"/>
      <c r="O33" s="2144"/>
      <c r="P33" s="3477"/>
      <c r="Q33" s="1605" t="str">
        <f t="shared" si="11"/>
        <v>项目建筑规模</v>
      </c>
      <c r="R33" s="1577" t="s">
        <v>11</v>
      </c>
      <c r="S33" s="1578">
        <f t="shared" si="12"/>
        <v>103</v>
      </c>
      <c r="T33" s="1577" t="s">
        <v>11</v>
      </c>
      <c r="U33" s="1578">
        <f t="shared" si="13"/>
        <v>100</v>
      </c>
      <c r="V33" s="1577" t="s">
        <v>11</v>
      </c>
      <c r="W33" s="1578">
        <f t="shared" si="14"/>
        <v>104</v>
      </c>
      <c r="X33" s="1579"/>
      <c r="Y33" s="3477"/>
      <c r="Z33" s="1580" t="str">
        <f t="shared" si="15"/>
        <v>项目建筑规模</v>
      </c>
      <c r="AA33" s="1576">
        <f t="shared" si="3"/>
        <v>0.970873786407767</v>
      </c>
      <c r="AB33" s="1576">
        <f t="shared" si="4"/>
        <v>1</v>
      </c>
      <c r="AC33" s="1576">
        <f t="shared" si="5"/>
        <v>0.96153846153846156</v>
      </c>
    </row>
    <row r="34" spans="1:29" ht="15">
      <c r="A34" s="594"/>
      <c r="B34" s="527" t="s">
        <v>727</v>
      </c>
      <c r="C34" s="881" t="s">
        <v>3113</v>
      </c>
      <c r="D34" s="540">
        <v>100</v>
      </c>
      <c r="E34" s="881" t="s">
        <v>3113</v>
      </c>
      <c r="F34" s="575">
        <f>SUMIF(105:105,E34,106:106)-SUMIF(105:105,C34,106:106)+100</f>
        <v>100</v>
      </c>
      <c r="G34" s="881" t="s">
        <v>3113</v>
      </c>
      <c r="H34" s="540">
        <f>SUMIF(105:105,G34,106:106)-SUMIF(105:105,C34,106:106)+100</f>
        <v>100</v>
      </c>
      <c r="I34" s="881" t="s">
        <v>3113</v>
      </c>
      <c r="J34" s="540">
        <f>SUMIF(105:105,I34,106:106)-SUMIF(105:105,C34,106:106)+100</f>
        <v>100</v>
      </c>
      <c r="K34" s="864">
        <v>3</v>
      </c>
      <c r="L34" s="2143"/>
      <c r="M34" s="2135"/>
      <c r="N34" s="2135"/>
      <c r="O34" s="2142"/>
      <c r="P34" s="3477"/>
      <c r="Q34" s="1572" t="str">
        <f t="shared" si="11"/>
        <v>建筑结构</v>
      </c>
      <c r="R34" s="1573" t="s">
        <v>11</v>
      </c>
      <c r="S34" s="1574">
        <f t="shared" si="12"/>
        <v>100</v>
      </c>
      <c r="T34" s="1573" t="s">
        <v>11</v>
      </c>
      <c r="U34" s="1574">
        <f t="shared" si="13"/>
        <v>100</v>
      </c>
      <c r="V34" s="1573" t="s">
        <v>11</v>
      </c>
      <c r="W34" s="1574">
        <f t="shared" si="14"/>
        <v>100</v>
      </c>
      <c r="X34" s="1567"/>
      <c r="Y34" s="3477"/>
      <c r="Z34" s="1575" t="str">
        <f t="shared" si="15"/>
        <v>建筑结构</v>
      </c>
      <c r="AA34" s="1576">
        <f t="shared" si="3"/>
        <v>1</v>
      </c>
      <c r="AB34" s="1576">
        <f t="shared" si="4"/>
        <v>1</v>
      </c>
      <c r="AC34" s="1576">
        <f t="shared" si="5"/>
        <v>1</v>
      </c>
    </row>
    <row r="35" spans="1:29" ht="15">
      <c r="A35" s="594"/>
      <c r="B35" s="527" t="s">
        <v>728</v>
      </c>
      <c r="C35" s="599" t="s">
        <v>3107</v>
      </c>
      <c r="D35" s="540">
        <v>100</v>
      </c>
      <c r="E35" s="599" t="s">
        <v>3107</v>
      </c>
      <c r="F35" s="575">
        <f>SUMIF(107:107,E35,108:108)-SUMIF(107:107,C35,108:108)+100</f>
        <v>100</v>
      </c>
      <c r="G35" s="599" t="s">
        <v>3107</v>
      </c>
      <c r="H35" s="540">
        <f>SUMIF(107:107,G35,108:108)-SUMIF(107:107,C35,108:108)+100</f>
        <v>100</v>
      </c>
      <c r="I35" s="599" t="s">
        <v>3107</v>
      </c>
      <c r="J35" s="540">
        <f>SUMIF(107:107,I35,108:108)-SUMIF(107:107,C35,108:108)+100</f>
        <v>100</v>
      </c>
      <c r="K35" s="864">
        <v>5</v>
      </c>
      <c r="L35" s="2143"/>
      <c r="M35" s="2135"/>
      <c r="N35" s="2135"/>
      <c r="O35" s="2142"/>
      <c r="P35" s="3477"/>
      <c r="Q35" s="1572" t="str">
        <f t="shared" si="11"/>
        <v>建筑品质</v>
      </c>
      <c r="R35" s="1573" t="s">
        <v>11</v>
      </c>
      <c r="S35" s="1574">
        <f t="shared" si="12"/>
        <v>100</v>
      </c>
      <c r="T35" s="1573" t="s">
        <v>11</v>
      </c>
      <c r="U35" s="1574">
        <f t="shared" si="13"/>
        <v>100</v>
      </c>
      <c r="V35" s="1573" t="s">
        <v>11</v>
      </c>
      <c r="W35" s="1574">
        <f t="shared" si="14"/>
        <v>100</v>
      </c>
      <c r="X35" s="1567"/>
      <c r="Y35" s="3477"/>
      <c r="Z35" s="1575" t="str">
        <f t="shared" si="15"/>
        <v>建筑品质</v>
      </c>
      <c r="AA35" s="1576">
        <f t="shared" si="3"/>
        <v>1</v>
      </c>
      <c r="AB35" s="1576">
        <f t="shared" si="4"/>
        <v>1</v>
      </c>
      <c r="AC35" s="1576">
        <f t="shared" si="5"/>
        <v>1</v>
      </c>
    </row>
    <row r="36" spans="1:29" ht="15">
      <c r="A36" s="594"/>
      <c r="B36" s="527" t="s">
        <v>729</v>
      </c>
      <c r="C36" s="599" t="s">
        <v>3116</v>
      </c>
      <c r="D36" s="540">
        <v>100</v>
      </c>
      <c r="E36" s="599" t="s">
        <v>3116</v>
      </c>
      <c r="F36" s="575">
        <f>SUMIF(109:109,E36,110:110)-SUMIF(109:109,C36,110:110)+100</f>
        <v>100</v>
      </c>
      <c r="G36" s="599" t="s">
        <v>3116</v>
      </c>
      <c r="H36" s="540">
        <f>SUMIF(109:109,G36,110:110)-SUMIF(109:109,C36,110:110)+100</f>
        <v>100</v>
      </c>
      <c r="I36" s="599" t="s">
        <v>3116</v>
      </c>
      <c r="J36" s="540">
        <f>SUMIF(109:109,I36,110:110)-SUMIF(109:109,C36,110:110)+100</f>
        <v>100</v>
      </c>
      <c r="K36" s="864">
        <v>2</v>
      </c>
      <c r="L36" s="2143"/>
      <c r="M36" s="2135"/>
      <c r="N36" s="2135"/>
      <c r="O36" s="2142"/>
      <c r="P36" s="3477"/>
      <c r="Q36" s="1572" t="str">
        <f t="shared" si="11"/>
        <v>公共部分装修</v>
      </c>
      <c r="R36" s="1573" t="s">
        <v>11</v>
      </c>
      <c r="S36" s="1574">
        <f t="shared" si="12"/>
        <v>100</v>
      </c>
      <c r="T36" s="1573" t="s">
        <v>11</v>
      </c>
      <c r="U36" s="1574">
        <f t="shared" si="13"/>
        <v>100</v>
      </c>
      <c r="V36" s="1573" t="s">
        <v>11</v>
      </c>
      <c r="W36" s="1574">
        <f t="shared" si="14"/>
        <v>100</v>
      </c>
      <c r="X36" s="1567"/>
      <c r="Y36" s="3477"/>
      <c r="Z36" s="1575" t="str">
        <f t="shared" si="15"/>
        <v>公共部分装修</v>
      </c>
      <c r="AA36" s="1576">
        <f t="shared" si="3"/>
        <v>1</v>
      </c>
      <c r="AB36" s="1576">
        <f t="shared" si="4"/>
        <v>1</v>
      </c>
      <c r="AC36" s="1576">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6"/>
      <c r="M37" s="2137"/>
      <c r="N37" s="2137"/>
      <c r="O37" s="2138"/>
      <c r="P37" s="3477"/>
      <c r="Q37" s="1151" t="str">
        <f t="shared" si="11"/>
        <v>成新度</v>
      </c>
      <c r="R37" s="1568" t="s">
        <v>11</v>
      </c>
      <c r="S37" s="1569">
        <f t="shared" si="12"/>
        <v>100</v>
      </c>
      <c r="T37" s="1568" t="s">
        <v>11</v>
      </c>
      <c r="U37" s="1569">
        <f t="shared" si="13"/>
        <v>100</v>
      </c>
      <c r="V37" s="1568" t="s">
        <v>11</v>
      </c>
      <c r="W37" s="1569">
        <f t="shared" si="14"/>
        <v>100</v>
      </c>
      <c r="X37" s="1570"/>
      <c r="Y37" s="3477"/>
      <c r="Z37" s="1150" t="str">
        <f t="shared" si="15"/>
        <v>成新度</v>
      </c>
      <c r="AA37" s="1571">
        <f t="shared" si="3"/>
        <v>1</v>
      </c>
      <c r="AB37" s="1571">
        <f t="shared" si="4"/>
        <v>1</v>
      </c>
      <c r="AC37" s="1571">
        <f t="shared" si="5"/>
        <v>1</v>
      </c>
    </row>
    <row r="38" spans="1:29" ht="15">
      <c r="A38" s="594"/>
      <c r="B38" s="527" t="s">
        <v>731</v>
      </c>
      <c r="C38" s="599" t="s">
        <v>3119</v>
      </c>
      <c r="D38" s="540">
        <v>100</v>
      </c>
      <c r="E38" s="599" t="s">
        <v>3119</v>
      </c>
      <c r="F38" s="575">
        <f>SUMIF(114:114,E38,115:115)-SUMIF(114:114,C38,115:115)+100</f>
        <v>100</v>
      </c>
      <c r="G38" s="599" t="s">
        <v>3119</v>
      </c>
      <c r="H38" s="540">
        <f>SUMIF(114:114,G38,115:115)-SUMIF(114:114,C38,115:115)+100</f>
        <v>100</v>
      </c>
      <c r="I38" s="599" t="s">
        <v>3163</v>
      </c>
      <c r="J38" s="540">
        <f>SUMIF(114:114,I38,115:115)-SUMIF(114:114,C38,115:115)+100</f>
        <v>95</v>
      </c>
      <c r="K38" s="864">
        <v>5</v>
      </c>
      <c r="L38" s="2143"/>
      <c r="M38" s="2135"/>
      <c r="N38" s="2135"/>
      <c r="O38" s="2142"/>
      <c r="P38" s="3477" t="s">
        <v>550</v>
      </c>
      <c r="Q38" s="1572" t="str">
        <f t="shared" si="11"/>
        <v>物业管理</v>
      </c>
      <c r="R38" s="1573" t="s">
        <v>11</v>
      </c>
      <c r="S38" s="1574">
        <f t="shared" si="12"/>
        <v>100</v>
      </c>
      <c r="T38" s="1573" t="s">
        <v>11</v>
      </c>
      <c r="U38" s="1574">
        <f t="shared" si="13"/>
        <v>100</v>
      </c>
      <c r="V38" s="1573" t="s">
        <v>11</v>
      </c>
      <c r="W38" s="1574">
        <f t="shared" si="14"/>
        <v>95</v>
      </c>
      <c r="X38" s="1567"/>
      <c r="Y38" s="3477" t="s">
        <v>550</v>
      </c>
      <c r="Z38" s="1575" t="str">
        <f t="shared" si="15"/>
        <v>物业管理</v>
      </c>
      <c r="AA38" s="1576">
        <f t="shared" si="3"/>
        <v>1</v>
      </c>
      <c r="AB38" s="1576">
        <f t="shared" si="4"/>
        <v>1</v>
      </c>
      <c r="AC38" s="1576">
        <f t="shared" si="5"/>
        <v>1.0526315789473684</v>
      </c>
    </row>
    <row r="39" spans="1:29" ht="15">
      <c r="A39" s="594"/>
      <c r="B39" s="1896" t="s">
        <v>2567</v>
      </c>
      <c r="C39" s="599" t="s">
        <v>3108</v>
      </c>
      <c r="D39" s="540">
        <v>100</v>
      </c>
      <c r="E39" s="599" t="s">
        <v>3108</v>
      </c>
      <c r="F39" s="575">
        <f>SUMIF(116:116,E39,117:117)-SUMIF(116:116,C39,117:117)+100</f>
        <v>100</v>
      </c>
      <c r="G39" s="599" t="s">
        <v>3108</v>
      </c>
      <c r="H39" s="540">
        <f>SUMIF(116:116,G39,117:117)-SUMIF(116:116,C39,117:117)+100</f>
        <v>100</v>
      </c>
      <c r="I39" s="599" t="s">
        <v>3108</v>
      </c>
      <c r="J39" s="540">
        <f>SUMIF(116:116,I39,117:117)-SUMIF(116:116,C39,117:117)+100</f>
        <v>100</v>
      </c>
      <c r="K39" s="864">
        <v>1</v>
      </c>
      <c r="L39" s="2143"/>
      <c r="M39" s="2135"/>
      <c r="N39" s="2135"/>
      <c r="O39" s="2142"/>
      <c r="P39" s="3477"/>
      <c r="Q39" s="1572" t="str">
        <f t="shared" si="11"/>
        <v>市政基础设施</v>
      </c>
      <c r="R39" s="1573" t="s">
        <v>11</v>
      </c>
      <c r="S39" s="1574">
        <f t="shared" si="12"/>
        <v>100</v>
      </c>
      <c r="T39" s="1573" t="s">
        <v>11</v>
      </c>
      <c r="U39" s="1574">
        <f t="shared" si="13"/>
        <v>100</v>
      </c>
      <c r="V39" s="1573" t="s">
        <v>11</v>
      </c>
      <c r="W39" s="1574">
        <f t="shared" si="14"/>
        <v>100</v>
      </c>
      <c r="X39" s="1567"/>
      <c r="Y39" s="3477"/>
      <c r="Z39" s="1575" t="str">
        <f t="shared" si="15"/>
        <v>市政基础设施</v>
      </c>
      <c r="AA39" s="1576">
        <f t="shared" si="3"/>
        <v>1</v>
      </c>
      <c r="AB39" s="1576">
        <f t="shared" si="4"/>
        <v>1</v>
      </c>
      <c r="AC39" s="1576">
        <f t="shared" si="5"/>
        <v>1</v>
      </c>
    </row>
    <row r="40" spans="1:29" ht="15">
      <c r="A40" s="594"/>
      <c r="B40" s="527" t="s">
        <v>732</v>
      </c>
      <c r="C40" s="599" t="s">
        <v>3122</v>
      </c>
      <c r="D40" s="540">
        <v>100</v>
      </c>
      <c r="E40" s="599" t="s">
        <v>3122</v>
      </c>
      <c r="F40" s="575">
        <f>SUMIF(118:118,E40,119:119)-SUMIF(118:118,C40,119:119)+100</f>
        <v>100</v>
      </c>
      <c r="G40" s="599" t="s">
        <v>3122</v>
      </c>
      <c r="H40" s="540">
        <f>SUMIF(118:118,G40,119:119)-SUMIF(118:118,C40,119:119)+100</f>
        <v>100</v>
      </c>
      <c r="I40" s="599" t="s">
        <v>3122</v>
      </c>
      <c r="J40" s="540">
        <f>SUMIF(118:118,I40,119:119)-SUMIF(118:118,C40,119:119)+100</f>
        <v>100</v>
      </c>
      <c r="K40" s="864">
        <v>2</v>
      </c>
      <c r="L40" s="2143"/>
      <c r="M40" s="2135"/>
      <c r="N40" s="2135"/>
      <c r="O40" s="2142"/>
      <c r="P40" s="3477"/>
      <c r="Q40" s="1572" t="str">
        <f t="shared" si="11"/>
        <v>房型</v>
      </c>
      <c r="R40" s="1573" t="s">
        <v>11</v>
      </c>
      <c r="S40" s="1574">
        <f t="shared" si="12"/>
        <v>100</v>
      </c>
      <c r="T40" s="1573" t="s">
        <v>11</v>
      </c>
      <c r="U40" s="1574">
        <f t="shared" si="13"/>
        <v>100</v>
      </c>
      <c r="V40" s="1573" t="s">
        <v>11</v>
      </c>
      <c r="W40" s="1574">
        <f t="shared" si="14"/>
        <v>100</v>
      </c>
      <c r="X40" s="1567"/>
      <c r="Y40" s="3477"/>
      <c r="Z40" s="1575" t="str">
        <f t="shared" si="15"/>
        <v>房型</v>
      </c>
      <c r="AA40" s="1576">
        <f t="shared" si="3"/>
        <v>1</v>
      </c>
      <c r="AB40" s="1576">
        <f t="shared" si="4"/>
        <v>1</v>
      </c>
      <c r="AC40" s="1576">
        <f t="shared" si="5"/>
        <v>1</v>
      </c>
    </row>
    <row r="41" spans="1:29" s="1339" customFormat="1" ht="28.5">
      <c r="A41" s="603"/>
      <c r="B41" s="527" t="s">
        <v>733</v>
      </c>
      <c r="C41" s="880" t="s">
        <v>3150</v>
      </c>
      <c r="D41" s="255">
        <v>100</v>
      </c>
      <c r="E41" s="880" t="s">
        <v>3150</v>
      </c>
      <c r="F41" s="863">
        <f>SUMIF(120:120,E41,121:121)-SUMIF(120:120,C41,121:121)+100</f>
        <v>100</v>
      </c>
      <c r="G41" s="880" t="s">
        <v>3152</v>
      </c>
      <c r="H41" s="255">
        <f>SUMIF(120:120,G41,121:121)-SUMIF(120:120,C41,121:121)+100</f>
        <v>100</v>
      </c>
      <c r="I41" s="880" t="s">
        <v>3151</v>
      </c>
      <c r="J41" s="540">
        <f>SUMIF(120:120,I41,121:121)-SUMIF(120:120,C41,121:121)+100</f>
        <v>100</v>
      </c>
      <c r="K41" s="865"/>
      <c r="L41" s="2141"/>
      <c r="M41" s="2172"/>
      <c r="N41" s="2172"/>
      <c r="O41" s="2144"/>
      <c r="P41" s="3477"/>
      <c r="Q41" s="1605" t="str">
        <f t="shared" si="11"/>
        <v>单套/主力户型建筑面积</v>
      </c>
      <c r="R41" s="1577" t="s">
        <v>11</v>
      </c>
      <c r="S41" s="1578">
        <f t="shared" si="12"/>
        <v>100</v>
      </c>
      <c r="T41" s="1577" t="s">
        <v>11</v>
      </c>
      <c r="U41" s="1578">
        <f t="shared" si="13"/>
        <v>100</v>
      </c>
      <c r="V41" s="1577" t="s">
        <v>11</v>
      </c>
      <c r="W41" s="1578">
        <f t="shared" si="14"/>
        <v>100</v>
      </c>
      <c r="X41" s="1579"/>
      <c r="Y41" s="3477"/>
      <c r="Z41" s="1580" t="str">
        <f t="shared" si="15"/>
        <v>单套/主力户型建筑面积</v>
      </c>
      <c r="AA41" s="1576">
        <f t="shared" si="3"/>
        <v>1</v>
      </c>
      <c r="AB41" s="1576">
        <f t="shared" si="4"/>
        <v>1</v>
      </c>
      <c r="AC41" s="1576">
        <f t="shared" si="5"/>
        <v>1</v>
      </c>
    </row>
    <row r="42" spans="1:29" ht="15">
      <c r="A42" s="594"/>
      <c r="B42" s="527" t="s">
        <v>734</v>
      </c>
      <c r="C42" s="599" t="s">
        <v>3116</v>
      </c>
      <c r="D42" s="540">
        <v>100</v>
      </c>
      <c r="E42" s="599" t="s">
        <v>3116</v>
      </c>
      <c r="F42" s="575">
        <f>SUMIF(122:122,E42,123:123)-SUMIF(122:122,C42,123:123)+100</f>
        <v>100</v>
      </c>
      <c r="G42" s="599" t="s">
        <v>3116</v>
      </c>
      <c r="H42" s="540">
        <f>SUMIF(122:122,G42,123:123)-SUMIF(122:122,C42,123:123)+100</f>
        <v>100</v>
      </c>
      <c r="I42" s="599" t="s">
        <v>3149</v>
      </c>
      <c r="J42" s="540">
        <f>SUMIF(122:122,I42,123:123)-SUMIF(122:122,C42,123:123)+100</f>
        <v>91</v>
      </c>
      <c r="K42" s="864">
        <v>3</v>
      </c>
      <c r="L42" s="2143"/>
      <c r="M42" s="2135"/>
      <c r="N42" s="2135"/>
      <c r="O42" s="2142"/>
      <c r="P42" s="3477"/>
      <c r="Q42" s="1572" t="str">
        <f t="shared" si="11"/>
        <v>内部装修</v>
      </c>
      <c r="R42" s="1573" t="s">
        <v>11</v>
      </c>
      <c r="S42" s="1574">
        <f t="shared" si="12"/>
        <v>100</v>
      </c>
      <c r="T42" s="1573" t="s">
        <v>11</v>
      </c>
      <c r="U42" s="1574">
        <f t="shared" si="13"/>
        <v>100</v>
      </c>
      <c r="V42" s="1573" t="s">
        <v>11</v>
      </c>
      <c r="W42" s="1574">
        <f t="shared" si="14"/>
        <v>91</v>
      </c>
      <c r="X42" s="1567"/>
      <c r="Y42" s="3477"/>
      <c r="Z42" s="1575" t="str">
        <f t="shared" si="15"/>
        <v>内部装修</v>
      </c>
      <c r="AA42" s="1576">
        <f t="shared" si="3"/>
        <v>1</v>
      </c>
      <c r="AB42" s="1576">
        <f t="shared" si="4"/>
        <v>1</v>
      </c>
      <c r="AC42" s="1576">
        <f t="shared" si="5"/>
        <v>1.098901098901099</v>
      </c>
    </row>
    <row r="43" spans="1:29" ht="27">
      <c r="A43" s="594"/>
      <c r="B43" s="527" t="s">
        <v>735</v>
      </c>
      <c r="C43" s="599" t="s">
        <v>3107</v>
      </c>
      <c r="D43" s="540">
        <v>100</v>
      </c>
      <c r="E43" s="599" t="s">
        <v>3107</v>
      </c>
      <c r="F43" s="575">
        <f>SUMIF(124:124,E43,125:125)-SUMIF(124:124,C43,125:125)+100</f>
        <v>100</v>
      </c>
      <c r="G43" s="599" t="s">
        <v>3107</v>
      </c>
      <c r="H43" s="540">
        <f>SUMIF(124:124,G43,125:125)-SUMIF(124:124,C43,125:125)+100</f>
        <v>100</v>
      </c>
      <c r="I43" s="599" t="s">
        <v>3107</v>
      </c>
      <c r="J43" s="540">
        <f>SUMIF(124:124,I43,125:125)-SUMIF(124:124,C43,125:125)+100</f>
        <v>100</v>
      </c>
      <c r="K43" s="864"/>
      <c r="L43" s="2143"/>
      <c r="M43" s="2135"/>
      <c r="N43" s="2135"/>
      <c r="O43" s="2142"/>
      <c r="P43" s="3477"/>
      <c r="Q43" s="1572" t="str">
        <f t="shared" si="11"/>
        <v>内部装修维护情况</v>
      </c>
      <c r="R43" s="1573" t="s">
        <v>11</v>
      </c>
      <c r="S43" s="1574">
        <f t="shared" si="12"/>
        <v>100</v>
      </c>
      <c r="T43" s="1573" t="s">
        <v>11</v>
      </c>
      <c r="U43" s="1574">
        <f t="shared" si="13"/>
        <v>100</v>
      </c>
      <c r="V43" s="1573" t="s">
        <v>11</v>
      </c>
      <c r="W43" s="1574">
        <f t="shared" si="14"/>
        <v>100</v>
      </c>
      <c r="X43" s="1567"/>
      <c r="Y43" s="3477"/>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77"/>
      <c r="Q44" s="1151">
        <f t="shared" si="11"/>
        <v>111</v>
      </c>
      <c r="R44" s="1568" t="s">
        <v>11</v>
      </c>
      <c r="S44" s="1569">
        <f t="shared" si="12"/>
        <v>100</v>
      </c>
      <c r="T44" s="1568" t="s">
        <v>11</v>
      </c>
      <c r="U44" s="1569">
        <f t="shared" si="13"/>
        <v>100</v>
      </c>
      <c r="V44" s="1568" t="s">
        <v>11</v>
      </c>
      <c r="W44" s="1569">
        <f t="shared" si="14"/>
        <v>100</v>
      </c>
      <c r="X44" s="1570"/>
      <c r="Y44" s="3477"/>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77"/>
      <c r="Q45" s="1572">
        <f t="shared" si="11"/>
        <v>111</v>
      </c>
      <c r="R45" s="1573" t="s">
        <v>11</v>
      </c>
      <c r="S45" s="1574">
        <f t="shared" si="12"/>
        <v>100</v>
      </c>
      <c r="T45" s="1573" t="s">
        <v>11</v>
      </c>
      <c r="U45" s="1574">
        <f t="shared" si="13"/>
        <v>100</v>
      </c>
      <c r="V45" s="1573" t="s">
        <v>11</v>
      </c>
      <c r="W45" s="1574">
        <f t="shared" si="14"/>
        <v>100</v>
      </c>
      <c r="X45" s="1567"/>
      <c r="Y45" s="3477"/>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54"/>
      <c r="Q46" s="1572">
        <f t="shared" si="11"/>
        <v>111</v>
      </c>
      <c r="R46" s="1573" t="s">
        <v>10</v>
      </c>
      <c r="S46" s="1574">
        <f t="shared" si="12"/>
        <v>100</v>
      </c>
      <c r="T46" s="1573" t="s">
        <v>10</v>
      </c>
      <c r="U46" s="1574">
        <f t="shared" si="13"/>
        <v>100</v>
      </c>
      <c r="V46" s="1573" t="s">
        <v>10</v>
      </c>
      <c r="W46" s="1574">
        <f t="shared" si="14"/>
        <v>100</v>
      </c>
      <c r="X46" s="1567"/>
      <c r="Y46" s="3554"/>
      <c r="Z46" s="1575">
        <f t="shared" si="15"/>
        <v>111</v>
      </c>
      <c r="AA46" s="1576">
        <f t="shared" si="3"/>
        <v>1</v>
      </c>
      <c r="AB46" s="1576">
        <f t="shared" si="4"/>
        <v>1</v>
      </c>
      <c r="AC46" s="1576">
        <f t="shared" si="5"/>
        <v>1</v>
      </c>
    </row>
    <row r="47" spans="1:29" ht="15">
      <c r="A47" s="607" t="s">
        <v>736</v>
      </c>
      <c r="B47" s="887"/>
      <c r="C47" s="2628" t="s">
        <v>9</v>
      </c>
      <c r="D47" s="2629"/>
      <c r="E47" s="2630">
        <v>27000</v>
      </c>
      <c r="F47" s="2631"/>
      <c r="G47" s="2632">
        <v>22000</v>
      </c>
      <c r="H47" s="2633"/>
      <c r="I47" s="2630">
        <v>18000</v>
      </c>
      <c r="J47" s="2633"/>
      <c r="K47" s="1606"/>
      <c r="L47" s="2145"/>
      <c r="M47" s="2146"/>
      <c r="N47" s="2135"/>
      <c r="O47" s="2146"/>
      <c r="P47" s="3439" t="str">
        <f>A47</f>
        <v>成交单价（元/平方米）</v>
      </c>
      <c r="Q47" s="3439"/>
      <c r="R47" s="3553">
        <f>E47</f>
        <v>27000</v>
      </c>
      <c r="S47" s="3553"/>
      <c r="T47" s="3553">
        <f>G47</f>
        <v>22000</v>
      </c>
      <c r="U47" s="3553"/>
      <c r="V47" s="3553">
        <f>I47</f>
        <v>18000</v>
      </c>
      <c r="W47" s="3553"/>
      <c r="X47" s="1559"/>
      <c r="Y47" s="1581"/>
      <c r="Z47" s="1559"/>
      <c r="AA47" s="1559"/>
      <c r="AB47" s="1559"/>
      <c r="AC47" s="1559"/>
    </row>
    <row r="48" spans="1:29" ht="15.75" thickBot="1">
      <c r="A48" s="615" t="s">
        <v>2763</v>
      </c>
      <c r="B48" s="888"/>
      <c r="C48" s="2634">
        <f>R49</f>
        <v>24845</v>
      </c>
      <c r="D48" s="2635"/>
      <c r="E48" s="2636">
        <f>R48</f>
        <v>25228</v>
      </c>
      <c r="F48" s="2636"/>
      <c r="G48" s="2634">
        <f>T48</f>
        <v>24869</v>
      </c>
      <c r="H48" s="2635"/>
      <c r="I48" s="2636">
        <f>V48</f>
        <v>24438</v>
      </c>
      <c r="J48" s="2635"/>
      <c r="K48" s="1607"/>
      <c r="L48" s="2145"/>
      <c r="M48" s="2146"/>
      <c r="N48" s="2146"/>
      <c r="O48" s="2146"/>
      <c r="P48" s="3439" t="str">
        <f>A48</f>
        <v>比较价格（元/平方米）</v>
      </c>
      <c r="Q48" s="3439"/>
      <c r="R48" s="3553">
        <f>IF(F1="售价",ROUND(PRODUCT(R47,AA7:AA46),0),ROUND(PRODUCT(R47,AA7:AA46),1))</f>
        <v>25228</v>
      </c>
      <c r="S48" s="3553"/>
      <c r="T48" s="3553">
        <f>IF(F1="售价",ROUND(PRODUCT(T47,AB7:AB46),0),ROUND(PRODUCT(T47,AB7:AB46),1))</f>
        <v>24869</v>
      </c>
      <c r="U48" s="3553"/>
      <c r="V48" s="3553">
        <f>IF(F1="售价",ROUND(PRODUCT(V47,AC7:AC46),0),ROUND(PRODUCT(V47,AC7:AC46),1))</f>
        <v>24438</v>
      </c>
      <c r="W48" s="3553"/>
      <c r="X48" s="1559"/>
      <c r="Y48" s="1559"/>
      <c r="Z48" s="1559"/>
      <c r="AA48" s="1559"/>
      <c r="AB48" s="1559"/>
      <c r="AC48" s="1559"/>
    </row>
    <row r="49" spans="1:29" ht="15.75" thickBot="1">
      <c r="A49" s="621" t="s">
        <v>2940</v>
      </c>
      <c r="B49" s="622"/>
      <c r="C49" s="2637">
        <f>R49</f>
        <v>24845</v>
      </c>
      <c r="D49" s="2637"/>
      <c r="E49" s="2637"/>
      <c r="F49" s="2637"/>
      <c r="G49" s="2637"/>
      <c r="H49" s="2637"/>
      <c r="I49" s="2637"/>
      <c r="J49" s="2637"/>
      <c r="K49" s="1608"/>
      <c r="L49" s="2145"/>
      <c r="M49" s="2146"/>
      <c r="N49" s="2146"/>
      <c r="O49" s="2146"/>
      <c r="P49" s="3436" t="str">
        <f>A49</f>
        <v>估价对象XX用房的比较价格（楼面单价，元/平方米）</v>
      </c>
      <c r="Q49" s="3437"/>
      <c r="R49" s="3552">
        <f>IF(F1="售价",ROUND(AVERAGE(R48:V48),0),ROUND(AVERAGE(R48:V48),1))</f>
        <v>24845</v>
      </c>
      <c r="S49" s="3552"/>
      <c r="T49" s="3552"/>
      <c r="U49" s="3552"/>
      <c r="V49" s="3552"/>
      <c r="W49" s="355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7.0239416521325593E-2</v>
      </c>
      <c r="F52" s="627" t="str">
        <f>IF(OR(E52&gt;=0.3,E52&lt;=-0.3),"超过30%","")</f>
        <v/>
      </c>
      <c r="G52" s="626">
        <f>IF(G47&lt;G48,G48/G47-1,G47/G48-1)</f>
        <v>0.13040909090909092</v>
      </c>
      <c r="H52" s="627" t="str">
        <f>IF(OR(G52&gt;=0.3,G52&lt;=-0.3),"超过30%","")</f>
        <v/>
      </c>
      <c r="I52" s="626">
        <f>IF(I47&lt;I48,I48/I47-1,I47/I48-1)</f>
        <v>0.35766666666666658</v>
      </c>
      <c r="J52" s="627" t="str">
        <f>IF(OR(I52&gt;=0.3,I52&lt;=-0.3),"超过30%","")</f>
        <v>超过30%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1.4435642768104939E-2</v>
      </c>
      <c r="F53" s="627" t="str">
        <f>IF(OR(E53&gt;=0.2,E53&lt;=-0.2),"超过20%","")</f>
        <v/>
      </c>
      <c r="G53" s="626">
        <f>IF(G48&lt;I48,I48/G48-1,G48/I48-1)</f>
        <v>1.7636467796055433E-2</v>
      </c>
      <c r="H53" s="627" t="str">
        <f>IF(OR(G53&gt;=0.2,G53&lt;=-0.2),"超过20%","")</f>
        <v/>
      </c>
      <c r="I53" s="626">
        <f>IF(I48&lt;E48,E48/I48-1,I48/E48-1)</f>
        <v>3.2326704312955146E-2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0.22727272727272729</v>
      </c>
      <c r="F54" s="627" t="str">
        <f>IF(OR(E54&gt;=0.3,E54&lt;=-0.3),"超过30%","")</f>
        <v/>
      </c>
      <c r="G54" s="626">
        <f>IF(G47&lt;I47,I47/G47-1,G47/I47-1)</f>
        <v>0.22222222222222232</v>
      </c>
      <c r="H54" s="627" t="str">
        <f>IF(OR(G54&gt;=0.3,G54&lt;=-0.3),"超过30%","")</f>
        <v/>
      </c>
      <c r="I54" s="626">
        <f>IF(I47&lt;E47,E47/I47-1,I47/E47-1)</f>
        <v>0.5</v>
      </c>
      <c r="J54" s="627" t="str">
        <f>IF(OR(I54&gt;=0.3,I54&lt;=-0.3),"超过30%","")</f>
        <v>超过30%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541">
        <v>8</v>
      </c>
      <c r="L68" s="541">
        <v>9</v>
      </c>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96</v>
      </c>
      <c r="E77" s="679">
        <f>D77-$K15</f>
        <v>92</v>
      </c>
      <c r="F77" s="679">
        <f>E77-$K15</f>
        <v>88</v>
      </c>
      <c r="G77" s="679">
        <f>F77-$K15</f>
        <v>84</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2561</v>
      </c>
      <c r="C82" s="2599" t="s">
        <v>2562</v>
      </c>
      <c r="D82" s="2599" t="s">
        <v>2563</v>
      </c>
      <c r="E82" s="2599" t="s">
        <v>2564</v>
      </c>
      <c r="F82" s="2599" t="s">
        <v>2565</v>
      </c>
      <c r="G82" s="2599" t="s">
        <v>2566</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2260</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38" t="s">
        <v>3164</v>
      </c>
      <c r="D90" s="3238" t="s">
        <v>3165</v>
      </c>
      <c r="E90" s="3238" t="s">
        <v>3166</v>
      </c>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v>100</v>
      </c>
      <c r="D91" s="692">
        <v>99</v>
      </c>
      <c r="E91" s="692">
        <v>98</v>
      </c>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237" t="s">
        <v>3112</v>
      </c>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v>
      </c>
      <c r="H102" s="708" t="str">
        <f t="shared" si="23"/>
        <v>1000000(含)-1200000</v>
      </c>
      <c r="I102" s="708" t="str">
        <f t="shared" si="23"/>
        <v>1200000(含)-1400000</v>
      </c>
      <c r="J102" s="708" t="str">
        <f t="shared" si="23"/>
        <v>1400000(含)-1600000</v>
      </c>
      <c r="K102" s="708" t="str">
        <f t="shared" si="23"/>
        <v>1600000(含)-1800000</v>
      </c>
      <c r="L102" s="708" t="str">
        <f t="shared" si="23"/>
        <v>1800000(含)-2000000</v>
      </c>
      <c r="M102" s="708" t="str">
        <f>M103&amp;"(含)"&amp;"-"&amp;P103</f>
        <v>2000000(含)-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200000</v>
      </c>
      <c r="E103" s="730">
        <v>400000</v>
      </c>
      <c r="F103" s="730">
        <v>600000</v>
      </c>
      <c r="G103" s="730">
        <v>800000</v>
      </c>
      <c r="H103" s="730">
        <v>1000000</v>
      </c>
      <c r="I103" s="730">
        <v>1200000</v>
      </c>
      <c r="J103" s="730">
        <v>1400000</v>
      </c>
      <c r="K103" s="730">
        <v>1600000</v>
      </c>
      <c r="L103" s="730">
        <v>1800000</v>
      </c>
      <c r="M103" s="730">
        <v>2000000</v>
      </c>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101</v>
      </c>
      <c r="E104" s="692">
        <v>102</v>
      </c>
      <c r="F104" s="671">
        <v>103</v>
      </c>
      <c r="G104" s="692">
        <v>104</v>
      </c>
      <c r="H104" s="671">
        <v>105</v>
      </c>
      <c r="I104" s="692">
        <v>106</v>
      </c>
      <c r="J104" s="671">
        <v>107</v>
      </c>
      <c r="K104" s="692">
        <v>108</v>
      </c>
      <c r="L104" s="671">
        <v>109</v>
      </c>
      <c r="M104" s="692">
        <v>110</v>
      </c>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238" t="s">
        <v>3114</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239" t="s">
        <v>3115</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238" t="s">
        <v>3117</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238" t="s">
        <v>3120</v>
      </c>
      <c r="D114" s="3238" t="s">
        <v>3118</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2559</v>
      </c>
      <c r="C116" s="3238" t="s">
        <v>3121</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239" t="s">
        <v>3123</v>
      </c>
      <c r="D118" s="3239" t="s">
        <v>3125</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238" t="s">
        <v>3117</v>
      </c>
      <c r="D122" s="688"/>
      <c r="E122" s="688"/>
      <c r="F122" s="3239" t="s">
        <v>3126</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2268</v>
      </c>
      <c r="H138" s="1929" t="s">
        <v>2269</v>
      </c>
      <c r="I138" s="1930"/>
      <c r="J138" s="1926" t="s">
        <v>2270</v>
      </c>
      <c r="K138" s="1929" t="s">
        <v>2271</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2272</v>
      </c>
      <c r="E139" s="1900">
        <v>100</v>
      </c>
      <c r="F139" s="1901">
        <v>102.5</v>
      </c>
      <c r="G139" s="1931" t="s">
        <v>2273</v>
      </c>
      <c r="H139" s="1902">
        <v>105</v>
      </c>
      <c r="I139" s="1932" t="s">
        <v>2274</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2275</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2276</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2277</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2278</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2279</v>
      </c>
      <c r="E144" s="1906">
        <v>102</v>
      </c>
      <c r="F144" s="1912">
        <v>100</v>
      </c>
      <c r="G144" s="1935" t="s">
        <v>2279</v>
      </c>
      <c r="H144" s="1908">
        <v>105</v>
      </c>
      <c r="I144" s="1934" t="s">
        <v>2278</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2280</v>
      </c>
      <c r="C145" s="1913">
        <f>ROUND(MAX(C139:C144)/MIN(C139:C144)-1,3)</f>
        <v>7.2999999999999995E-2</v>
      </c>
      <c r="D145" s="1937"/>
      <c r="E145" s="1937"/>
      <c r="F145" s="1938" t="s">
        <v>2281</v>
      </c>
      <c r="G145" s="1939"/>
      <c r="H145" s="1940"/>
      <c r="I145" s="1941" t="s">
        <v>2278</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2290</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2291</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445" t="s">
        <v>522</v>
      </c>
      <c r="D4" s="3446"/>
      <c r="E4" s="3480" t="s">
        <v>523</v>
      </c>
      <c r="F4" s="3481"/>
      <c r="G4" s="3445" t="s">
        <v>524</v>
      </c>
      <c r="H4" s="3446"/>
      <c r="I4" s="3445" t="s">
        <v>525</v>
      </c>
      <c r="J4" s="3446"/>
      <c r="K4" s="514" t="s">
        <v>526</v>
      </c>
      <c r="L4" s="2134"/>
      <c r="M4" s="2135"/>
      <c r="N4" s="2135"/>
      <c r="O4" s="2135"/>
      <c r="P4" s="3447" t="s">
        <v>527</v>
      </c>
      <c r="Q4" s="3448"/>
      <c r="R4" s="3453" t="s">
        <v>523</v>
      </c>
      <c r="S4" s="3454"/>
      <c r="T4" s="3453" t="s">
        <v>524</v>
      </c>
      <c r="U4" s="3454"/>
      <c r="V4" s="3440" t="s">
        <v>525</v>
      </c>
      <c r="W4" s="3440"/>
      <c r="X4" s="1567"/>
      <c r="Y4" s="3453" t="s">
        <v>527</v>
      </c>
      <c r="Z4" s="3454"/>
      <c r="AA4" s="3442" t="s">
        <v>523</v>
      </c>
      <c r="AB4" s="3440" t="s">
        <v>524</v>
      </c>
      <c r="AC4" s="3442" t="s">
        <v>525</v>
      </c>
    </row>
    <row r="5" spans="1:29" ht="15">
      <c r="A5" s="515"/>
      <c r="B5" s="516"/>
      <c r="C5" s="3461" t="s">
        <v>2934</v>
      </c>
      <c r="D5" s="3462"/>
      <c r="E5" s="3482" t="s">
        <v>2935</v>
      </c>
      <c r="F5" s="3483"/>
      <c r="G5" s="3461" t="s">
        <v>2936</v>
      </c>
      <c r="H5" s="3462"/>
      <c r="I5" s="3461" t="s">
        <v>2937</v>
      </c>
      <c r="J5" s="3462"/>
      <c r="K5" s="514"/>
      <c r="L5" s="2134"/>
      <c r="M5" s="2135"/>
      <c r="N5" s="2135"/>
      <c r="O5" s="2135"/>
      <c r="P5" s="3449"/>
      <c r="Q5" s="3450"/>
      <c r="R5" s="3455"/>
      <c r="S5" s="3456"/>
      <c r="T5" s="3455"/>
      <c r="U5" s="3456"/>
      <c r="V5" s="3440"/>
      <c r="W5" s="3440"/>
      <c r="X5" s="1567"/>
      <c r="Y5" s="3455"/>
      <c r="Z5" s="3456"/>
      <c r="AA5" s="3443"/>
      <c r="AB5" s="3440"/>
      <c r="AC5" s="3443"/>
    </row>
    <row r="6" spans="1:29" ht="15.75" thickBot="1">
      <c r="A6" s="517"/>
      <c r="B6" s="518"/>
      <c r="C6" s="3459" t="s">
        <v>2938</v>
      </c>
      <c r="D6" s="3460"/>
      <c r="E6" s="3478" t="s">
        <v>2938</v>
      </c>
      <c r="F6" s="3479"/>
      <c r="G6" s="3459" t="s">
        <v>2938</v>
      </c>
      <c r="H6" s="3460"/>
      <c r="I6" s="3459" t="s">
        <v>2938</v>
      </c>
      <c r="J6" s="3460"/>
      <c r="K6" s="514" t="s">
        <v>528</v>
      </c>
      <c r="L6" s="2134"/>
      <c r="M6" s="2135"/>
      <c r="N6" s="2135"/>
      <c r="O6" s="2135"/>
      <c r="P6" s="3451"/>
      <c r="Q6" s="3452"/>
      <c r="R6" s="3455"/>
      <c r="S6" s="3456"/>
      <c r="T6" s="3457"/>
      <c r="U6" s="3458"/>
      <c r="V6" s="3440"/>
      <c r="W6" s="3440"/>
      <c r="X6" s="1567"/>
      <c r="Y6" s="3457"/>
      <c r="Z6" s="3458"/>
      <c r="AA6" s="3444"/>
      <c r="AB6" s="3440"/>
      <c r="AC6" s="3444"/>
    </row>
    <row r="7" spans="1:29" s="1220" customFormat="1" ht="15.75" thickBot="1">
      <c r="A7" s="2913"/>
      <c r="B7" s="2920"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71" t="s">
        <v>530</v>
      </c>
      <c r="Q7" s="3473"/>
      <c r="R7" s="1568" t="s">
        <v>8</v>
      </c>
      <c r="S7" s="1569">
        <f t="shared" ref="S7:S15" si="0">F7</f>
        <v>0</v>
      </c>
      <c r="T7" s="1568" t="s">
        <v>8</v>
      </c>
      <c r="U7" s="1569">
        <f t="shared" ref="U7:U15" si="1">H7</f>
        <v>0</v>
      </c>
      <c r="V7" s="1568" t="s">
        <v>8</v>
      </c>
      <c r="W7" s="1569">
        <f t="shared" ref="W7:W15" si="2">J7</f>
        <v>0</v>
      </c>
      <c r="X7" s="1570"/>
      <c r="Y7" s="3471" t="s">
        <v>530</v>
      </c>
      <c r="Z7" s="3472"/>
      <c r="AA7" s="1571" t="e">
        <f>D7/F7</f>
        <v>#DIV/0!</v>
      </c>
      <c r="AB7" s="1571" t="e">
        <f>D7/H7</f>
        <v>#DIV/0!</v>
      </c>
      <c r="AC7" s="1571"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71" t="s">
        <v>533</v>
      </c>
      <c r="Q8" s="3472"/>
      <c r="R8" s="1568" t="s">
        <v>8</v>
      </c>
      <c r="S8" s="1569">
        <f t="shared" si="0"/>
        <v>0</v>
      </c>
      <c r="T8" s="1568" t="s">
        <v>8</v>
      </c>
      <c r="U8" s="1569">
        <f t="shared" si="1"/>
        <v>0</v>
      </c>
      <c r="V8" s="1568" t="s">
        <v>8</v>
      </c>
      <c r="W8" s="1569">
        <f t="shared" si="2"/>
        <v>0</v>
      </c>
      <c r="X8" s="1570"/>
      <c r="Y8" s="3471" t="s">
        <v>533</v>
      </c>
      <c r="Z8" s="3472"/>
      <c r="AA8" s="1571" t="e">
        <f t="shared" ref="AA8:AA46" si="3">D8/F8</f>
        <v>#DIV/0!</v>
      </c>
      <c r="AB8" s="1571" t="e">
        <f t="shared" ref="AB8:AB46" si="4">D8/H8</f>
        <v>#DIV/0!</v>
      </c>
      <c r="AC8" s="1571" t="e">
        <f t="shared" ref="AC8:AC46" si="5">D8/J8</f>
        <v>#DIV/0!</v>
      </c>
    </row>
    <row r="9" spans="1:29" s="1220" customFormat="1" ht="15">
      <c r="A9" s="2915"/>
      <c r="B9" s="2922" t="s">
        <v>2759</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39" t="s">
        <v>535</v>
      </c>
      <c r="Q9" s="1151" t="str">
        <f t="shared" ref="Q9:Q15" si="6">B9</f>
        <v>用途</v>
      </c>
      <c r="R9" s="1568" t="s">
        <v>8</v>
      </c>
      <c r="S9" s="1569">
        <f t="shared" si="0"/>
        <v>100</v>
      </c>
      <c r="T9" s="1568" t="s">
        <v>8</v>
      </c>
      <c r="U9" s="1569">
        <f t="shared" si="1"/>
        <v>100</v>
      </c>
      <c r="V9" s="1568" t="s">
        <v>8</v>
      </c>
      <c r="W9" s="1569">
        <f t="shared" si="2"/>
        <v>100</v>
      </c>
      <c r="X9" s="1570"/>
      <c r="Y9" s="338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2917"/>
      <c r="B11" s="2921"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39"/>
      <c r="Q11" s="1151" t="str">
        <f t="shared" si="6"/>
        <v>容积率</v>
      </c>
      <c r="R11" s="1568" t="s">
        <v>8</v>
      </c>
      <c r="S11" s="1569" t="e">
        <f t="shared" si="0"/>
        <v>#N/A</v>
      </c>
      <c r="T11" s="1568" t="s">
        <v>8</v>
      </c>
      <c r="U11" s="1569" t="e">
        <f t="shared" si="1"/>
        <v>#N/A</v>
      </c>
      <c r="V11" s="1568" t="s">
        <v>8</v>
      </c>
      <c r="W11" s="1569" t="e">
        <f t="shared" si="2"/>
        <v>#N/A</v>
      </c>
      <c r="X11" s="1570"/>
      <c r="Y11" s="338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439"/>
      <c r="Q12" s="1151">
        <f t="shared" si="6"/>
        <v>111</v>
      </c>
      <c r="R12" s="1568" t="s">
        <v>8</v>
      </c>
      <c r="S12" s="1569">
        <f t="shared" si="0"/>
        <v>100</v>
      </c>
      <c r="T12" s="1568" t="s">
        <v>8</v>
      </c>
      <c r="U12" s="1569">
        <f t="shared" si="1"/>
        <v>100</v>
      </c>
      <c r="V12" s="1568" t="s">
        <v>8</v>
      </c>
      <c r="W12" s="1569">
        <f t="shared" si="2"/>
        <v>100</v>
      </c>
      <c r="X12" s="1570"/>
      <c r="Y12" s="3385"/>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439"/>
      <c r="Q13" s="1151">
        <f t="shared" si="6"/>
        <v>111</v>
      </c>
      <c r="R13" s="1568" t="s">
        <v>8</v>
      </c>
      <c r="S13" s="1569">
        <f t="shared" si="0"/>
        <v>100</v>
      </c>
      <c r="T13" s="1568" t="s">
        <v>8</v>
      </c>
      <c r="U13" s="1569">
        <f t="shared" si="1"/>
        <v>100</v>
      </c>
      <c r="V13" s="1568" t="s">
        <v>8</v>
      </c>
      <c r="W13" s="1569">
        <f t="shared" si="2"/>
        <v>100</v>
      </c>
      <c r="X13" s="1570"/>
      <c r="Y13" s="3385"/>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439"/>
      <c r="Q14" s="1151">
        <f t="shared" si="6"/>
        <v>111</v>
      </c>
      <c r="R14" s="1568" t="s">
        <v>8</v>
      </c>
      <c r="S14" s="1569">
        <f t="shared" si="0"/>
        <v>100</v>
      </c>
      <c r="T14" s="1568" t="s">
        <v>8</v>
      </c>
      <c r="U14" s="1569">
        <f t="shared" si="1"/>
        <v>100</v>
      </c>
      <c r="V14" s="1568" t="s">
        <v>8</v>
      </c>
      <c r="W14" s="1569">
        <f t="shared" si="2"/>
        <v>100</v>
      </c>
      <c r="X14" s="1570"/>
      <c r="Y14" s="3385"/>
      <c r="Z14" s="1150">
        <f t="shared" si="7"/>
        <v>111</v>
      </c>
      <c r="AA14" s="1571">
        <f t="shared" si="3"/>
        <v>1</v>
      </c>
      <c r="AB14" s="1571">
        <f t="shared" si="4"/>
        <v>1</v>
      </c>
      <c r="AC14" s="1571">
        <f t="shared" si="5"/>
        <v>1</v>
      </c>
    </row>
    <row r="15" spans="1:29" ht="71.25">
      <c r="A15" s="2911" t="s">
        <v>2757</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74" t="s">
        <v>540</v>
      </c>
      <c r="Q15" s="1572" t="str">
        <f t="shared" si="6"/>
        <v>商业繁华度</v>
      </c>
      <c r="R15" s="1573" t="s">
        <v>8</v>
      </c>
      <c r="S15" s="1574">
        <f t="shared" si="0"/>
        <v>100</v>
      </c>
      <c r="T15" s="1573" t="s">
        <v>8</v>
      </c>
      <c r="U15" s="1574">
        <f t="shared" si="1"/>
        <v>100</v>
      </c>
      <c r="V15" s="1573" t="s">
        <v>8</v>
      </c>
      <c r="W15" s="1574">
        <f t="shared" si="2"/>
        <v>100</v>
      </c>
      <c r="X15" s="1567"/>
      <c r="Y15" s="3474"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75"/>
      <c r="Q16" s="1572"/>
      <c r="R16" s="1573"/>
      <c r="S16" s="1574"/>
      <c r="T16" s="1573"/>
      <c r="U16" s="1574"/>
      <c r="V16" s="1573"/>
      <c r="W16" s="1574"/>
      <c r="X16" s="1567"/>
      <c r="Y16" s="3475"/>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75"/>
      <c r="Q17" s="1572" t="str">
        <f>B17</f>
        <v>交通便捷度</v>
      </c>
      <c r="R17" s="1573" t="s">
        <v>8</v>
      </c>
      <c r="S17" s="1574">
        <f>F17</f>
        <v>100</v>
      </c>
      <c r="T17" s="1573" t="s">
        <v>8</v>
      </c>
      <c r="U17" s="1574">
        <f>H17</f>
        <v>100</v>
      </c>
      <c r="V17" s="1573" t="s">
        <v>8</v>
      </c>
      <c r="W17" s="1574">
        <f>J17</f>
        <v>100</v>
      </c>
      <c r="X17" s="1567"/>
      <c r="Y17" s="347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75"/>
      <c r="Q18" s="1572"/>
      <c r="R18" s="1573"/>
      <c r="S18" s="1574"/>
      <c r="T18" s="1573"/>
      <c r="U18" s="1574"/>
      <c r="V18" s="1573"/>
      <c r="W18" s="1574"/>
      <c r="X18" s="1567"/>
      <c r="Y18" s="3475"/>
      <c r="Z18" s="1575"/>
      <c r="AA18" s="1576">
        <v>1</v>
      </c>
      <c r="AB18" s="1576">
        <v>1</v>
      </c>
      <c r="AC18" s="1576">
        <v>1</v>
      </c>
    </row>
    <row r="19" spans="1:29" ht="42.75">
      <c r="A19" s="532"/>
      <c r="B19" s="2601" t="s">
        <v>2549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75"/>
      <c r="Q19" s="1572" t="str">
        <f>B19</f>
        <v>公共配套设施</v>
      </c>
      <c r="R19" s="1573" t="s">
        <v>8</v>
      </c>
      <c r="S19" s="1574">
        <f>F19</f>
        <v>100</v>
      </c>
      <c r="T19" s="1573" t="s">
        <v>8</v>
      </c>
      <c r="U19" s="1574">
        <f>H19</f>
        <v>100</v>
      </c>
      <c r="V19" s="1573" t="s">
        <v>8</v>
      </c>
      <c r="W19" s="1574">
        <f>J19</f>
        <v>100</v>
      </c>
      <c r="X19" s="1567"/>
      <c r="Y19" s="347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75"/>
      <c r="Q20" s="1572"/>
      <c r="R20" s="1573"/>
      <c r="S20" s="1574"/>
      <c r="T20" s="1573"/>
      <c r="U20" s="1574"/>
      <c r="V20" s="1573"/>
      <c r="W20" s="1574"/>
      <c r="X20" s="1567"/>
      <c r="Y20" s="3475"/>
      <c r="Z20" s="1575"/>
      <c r="AA20" s="1576">
        <v>1</v>
      </c>
      <c r="AB20" s="1576">
        <v>1</v>
      </c>
      <c r="AC20" s="1576">
        <v>1</v>
      </c>
    </row>
    <row r="21" spans="1:29" ht="28.5">
      <c r="A21" s="532"/>
      <c r="B21" s="2594"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75"/>
      <c r="Q21" s="2580" t="str">
        <f>B21</f>
        <v>基础设施水平</v>
      </c>
      <c r="R21" s="1573" t="s">
        <v>8</v>
      </c>
      <c r="S21" s="1574">
        <f>F21</f>
        <v>100</v>
      </c>
      <c r="T21" s="1573" t="s">
        <v>8</v>
      </c>
      <c r="U21" s="1574">
        <f>H21</f>
        <v>100</v>
      </c>
      <c r="V21" s="1573" t="s">
        <v>8</v>
      </c>
      <c r="W21" s="1574">
        <f>J21</f>
        <v>100</v>
      </c>
      <c r="X21" s="2582"/>
      <c r="Y21" s="3475"/>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75"/>
      <c r="Q22" s="2580"/>
      <c r="R22" s="1573"/>
      <c r="S22" s="1574"/>
      <c r="T22" s="1573"/>
      <c r="U22" s="1574"/>
      <c r="V22" s="1573"/>
      <c r="W22" s="1574"/>
      <c r="X22" s="2582"/>
      <c r="Y22" s="3475"/>
      <c r="Z22" s="2581"/>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75"/>
      <c r="Q23" s="1572" t="str">
        <f>B23</f>
        <v>自然及人文环境</v>
      </c>
      <c r="R23" s="1573" t="s">
        <v>8</v>
      </c>
      <c r="S23" s="1574">
        <f>F23</f>
        <v>100</v>
      </c>
      <c r="T23" s="1573" t="s">
        <v>8</v>
      </c>
      <c r="U23" s="1574">
        <f>H23</f>
        <v>100</v>
      </c>
      <c r="V23" s="1573" t="s">
        <v>8</v>
      </c>
      <c r="W23" s="1574">
        <f>J23</f>
        <v>100</v>
      </c>
      <c r="X23" s="1567"/>
      <c r="Y23" s="347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75"/>
      <c r="Q24" s="1572"/>
      <c r="R24" s="1573"/>
      <c r="S24" s="1574"/>
      <c r="T24" s="1573"/>
      <c r="U24" s="1574"/>
      <c r="V24" s="1573"/>
      <c r="W24" s="1574"/>
      <c r="X24" s="1567"/>
      <c r="Y24" s="3475"/>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75"/>
      <c r="Q25" s="1572" t="str">
        <f t="shared" ref="Q25:Q46" si="11">B25</f>
        <v>临街状况</v>
      </c>
      <c r="R25" s="1573" t="s">
        <v>8</v>
      </c>
      <c r="S25" s="1574">
        <f>F25</f>
        <v>100</v>
      </c>
      <c r="T25" s="1573" t="s">
        <v>8</v>
      </c>
      <c r="U25" s="1574">
        <f>H25</f>
        <v>100</v>
      </c>
      <c r="V25" s="1573" t="s">
        <v>8</v>
      </c>
      <c r="W25" s="1574">
        <f>J25</f>
        <v>100</v>
      </c>
      <c r="X25" s="1567"/>
      <c r="Y25" s="3475"/>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75"/>
      <c r="Q26" s="1572" t="str">
        <f t="shared" si="11"/>
        <v>平面位置/可视性</v>
      </c>
      <c r="R26" s="1573" t="s">
        <v>8</v>
      </c>
      <c r="S26" s="1574">
        <f>F26</f>
        <v>100</v>
      </c>
      <c r="T26" s="1573" t="s">
        <v>8</v>
      </c>
      <c r="U26" s="1574">
        <f>H26</f>
        <v>100</v>
      </c>
      <c r="V26" s="1573" t="s">
        <v>8</v>
      </c>
      <c r="W26" s="1574">
        <f>J26</f>
        <v>100</v>
      </c>
      <c r="X26" s="1567"/>
      <c r="Y26" s="3475"/>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75"/>
      <c r="Q27" s="1151" t="str">
        <f t="shared" si="11"/>
        <v>人流量</v>
      </c>
      <c r="R27" s="1568" t="s">
        <v>8</v>
      </c>
      <c r="S27" s="1569">
        <f>F27</f>
        <v>100</v>
      </c>
      <c r="T27" s="1568" t="s">
        <v>8</v>
      </c>
      <c r="U27" s="1569">
        <f>H27</f>
        <v>100</v>
      </c>
      <c r="V27" s="1568" t="s">
        <v>8</v>
      </c>
      <c r="W27" s="1569">
        <f>J27</f>
        <v>100</v>
      </c>
      <c r="X27" s="1570"/>
      <c r="Y27" s="3475"/>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7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7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75"/>
      <c r="Q29" s="1572">
        <f t="shared" si="11"/>
        <v>111</v>
      </c>
      <c r="R29" s="1573" t="s">
        <v>8</v>
      </c>
      <c r="S29" s="1574">
        <f t="shared" si="12"/>
        <v>100</v>
      </c>
      <c r="T29" s="1573" t="s">
        <v>8</v>
      </c>
      <c r="U29" s="1574">
        <f t="shared" si="13"/>
        <v>100</v>
      </c>
      <c r="V29" s="1573" t="s">
        <v>8</v>
      </c>
      <c r="W29" s="1574">
        <f t="shared" si="14"/>
        <v>100</v>
      </c>
      <c r="X29" s="1567"/>
      <c r="Y29" s="347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75"/>
      <c r="Q30" s="1572">
        <f t="shared" si="11"/>
        <v>111</v>
      </c>
      <c r="R30" s="1573" t="s">
        <v>8</v>
      </c>
      <c r="S30" s="1574">
        <f t="shared" si="12"/>
        <v>100</v>
      </c>
      <c r="T30" s="1573" t="s">
        <v>8</v>
      </c>
      <c r="U30" s="1574">
        <f t="shared" si="13"/>
        <v>100</v>
      </c>
      <c r="V30" s="1573" t="s">
        <v>8</v>
      </c>
      <c r="W30" s="1574">
        <f t="shared" si="14"/>
        <v>100</v>
      </c>
      <c r="X30" s="1567"/>
      <c r="Y30" s="347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75"/>
      <c r="Q31" s="1572">
        <f t="shared" si="11"/>
        <v>111</v>
      </c>
      <c r="R31" s="1573" t="s">
        <v>8</v>
      </c>
      <c r="S31" s="1574">
        <f t="shared" si="12"/>
        <v>100</v>
      </c>
      <c r="T31" s="1573" t="s">
        <v>8</v>
      </c>
      <c r="U31" s="1574">
        <f t="shared" si="13"/>
        <v>100</v>
      </c>
      <c r="V31" s="1573" t="s">
        <v>8</v>
      </c>
      <c r="W31" s="1574">
        <f t="shared" si="14"/>
        <v>100</v>
      </c>
      <c r="X31" s="1567"/>
      <c r="Y31" s="3475"/>
      <c r="Z31" s="1575">
        <f t="shared" si="15"/>
        <v>111</v>
      </c>
      <c r="AA31" s="1576">
        <f t="shared" si="3"/>
        <v>1</v>
      </c>
      <c r="AB31" s="1576">
        <f t="shared" si="4"/>
        <v>1</v>
      </c>
      <c r="AC31" s="1576">
        <f t="shared" si="5"/>
        <v>1</v>
      </c>
    </row>
    <row r="32" spans="1:29" ht="15">
      <c r="A32" s="2908" t="s">
        <v>2758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76" t="s">
        <v>550</v>
      </c>
      <c r="Q32" s="1572" t="str">
        <f t="shared" si="11"/>
        <v>商业类型</v>
      </c>
      <c r="R32" s="1573" t="s">
        <v>8</v>
      </c>
      <c r="S32" s="1574">
        <f t="shared" si="12"/>
        <v>100</v>
      </c>
      <c r="T32" s="1573" t="s">
        <v>8</v>
      </c>
      <c r="U32" s="1574">
        <f t="shared" si="13"/>
        <v>100</v>
      </c>
      <c r="V32" s="1573" t="s">
        <v>8</v>
      </c>
      <c r="W32" s="1574">
        <f t="shared" si="14"/>
        <v>100</v>
      </c>
      <c r="X32" s="1567"/>
      <c r="Y32" s="3477"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77"/>
      <c r="Q33" s="1605" t="str">
        <f t="shared" si="11"/>
        <v>项目建筑规模</v>
      </c>
      <c r="R33" s="1577" t="s">
        <v>8</v>
      </c>
      <c r="S33" s="1578" t="e">
        <f t="shared" si="12"/>
        <v>#N/A</v>
      </c>
      <c r="T33" s="1577" t="s">
        <v>8</v>
      </c>
      <c r="U33" s="1578" t="e">
        <f t="shared" si="13"/>
        <v>#N/A</v>
      </c>
      <c r="V33" s="1577" t="s">
        <v>8</v>
      </c>
      <c r="W33" s="1578" t="e">
        <f t="shared" si="14"/>
        <v>#N/A</v>
      </c>
      <c r="X33" s="1579"/>
      <c r="Y33" s="3477"/>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77"/>
      <c r="Q34" s="1572" t="str">
        <f t="shared" si="11"/>
        <v>建筑结构</v>
      </c>
      <c r="R34" s="1573" t="s">
        <v>8</v>
      </c>
      <c r="S34" s="1574">
        <f t="shared" si="12"/>
        <v>100</v>
      </c>
      <c r="T34" s="1573" t="s">
        <v>8</v>
      </c>
      <c r="U34" s="1574">
        <f t="shared" si="13"/>
        <v>100</v>
      </c>
      <c r="V34" s="1573" t="s">
        <v>8</v>
      </c>
      <c r="W34" s="1574">
        <f t="shared" si="14"/>
        <v>100</v>
      </c>
      <c r="X34" s="1567"/>
      <c r="Y34" s="3477"/>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77"/>
      <c r="Q35" s="1572" t="str">
        <f t="shared" si="11"/>
        <v>公共部分装修</v>
      </c>
      <c r="R35" s="1573" t="s">
        <v>8</v>
      </c>
      <c r="S35" s="1574">
        <f t="shared" si="12"/>
        <v>100</v>
      </c>
      <c r="T35" s="1573" t="s">
        <v>8</v>
      </c>
      <c r="U35" s="1574">
        <f t="shared" si="13"/>
        <v>100</v>
      </c>
      <c r="V35" s="1573" t="s">
        <v>8</v>
      </c>
      <c r="W35" s="1574">
        <f t="shared" si="14"/>
        <v>100</v>
      </c>
      <c r="X35" s="1567"/>
      <c r="Y35" s="3477"/>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77"/>
      <c r="Q36" s="1572" t="str">
        <f t="shared" si="11"/>
        <v>成新度</v>
      </c>
      <c r="R36" s="1573" t="s">
        <v>8</v>
      </c>
      <c r="S36" s="1574" t="e">
        <f t="shared" si="12"/>
        <v>#N/A</v>
      </c>
      <c r="T36" s="1573" t="s">
        <v>8</v>
      </c>
      <c r="U36" s="1574" t="e">
        <f t="shared" si="13"/>
        <v>#N/A</v>
      </c>
      <c r="V36" s="1573" t="s">
        <v>8</v>
      </c>
      <c r="W36" s="1574" t="e">
        <f t="shared" si="14"/>
        <v>#N/A</v>
      </c>
      <c r="X36" s="1567"/>
      <c r="Y36" s="3477"/>
      <c r="Z36" s="1575" t="str">
        <f t="shared" si="15"/>
        <v>成新度</v>
      </c>
      <c r="AA36" s="1576" t="e">
        <f t="shared" si="3"/>
        <v>#N/A</v>
      </c>
      <c r="AB36" s="1576" t="e">
        <f t="shared" si="4"/>
        <v>#N/A</v>
      </c>
      <c r="AC36" s="1576" t="e">
        <f t="shared" si="5"/>
        <v>#N/A</v>
      </c>
    </row>
    <row r="37" spans="1:29" s="1220" customFormat="1" ht="15">
      <c r="A37" s="600"/>
      <c r="B37" s="1896"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77"/>
      <c r="Q37" s="1151" t="str">
        <f t="shared" si="11"/>
        <v>市政基础设施</v>
      </c>
      <c r="R37" s="1568" t="s">
        <v>8</v>
      </c>
      <c r="S37" s="1569">
        <f t="shared" si="12"/>
        <v>100</v>
      </c>
      <c r="T37" s="1568" t="s">
        <v>8</v>
      </c>
      <c r="U37" s="1569">
        <f t="shared" si="13"/>
        <v>100</v>
      </c>
      <c r="V37" s="1568" t="s">
        <v>8</v>
      </c>
      <c r="W37" s="1569">
        <f t="shared" si="14"/>
        <v>100</v>
      </c>
      <c r="X37" s="1570"/>
      <c r="Y37" s="3477"/>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77" t="s">
        <v>766</v>
      </c>
      <c r="Q38" s="1572" t="str">
        <f t="shared" si="11"/>
        <v>业态</v>
      </c>
      <c r="R38" s="1573" t="s">
        <v>8</v>
      </c>
      <c r="S38" s="1574">
        <f t="shared" si="12"/>
        <v>100</v>
      </c>
      <c r="T38" s="1573" t="s">
        <v>8</v>
      </c>
      <c r="U38" s="1574">
        <f t="shared" si="13"/>
        <v>100</v>
      </c>
      <c r="V38" s="1573" t="s">
        <v>8</v>
      </c>
      <c r="W38" s="1574">
        <f t="shared" si="14"/>
        <v>100</v>
      </c>
      <c r="X38" s="1567"/>
      <c r="Y38" s="3477"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77"/>
      <c r="Q39" s="1572" t="str">
        <f t="shared" si="11"/>
        <v>层高</v>
      </c>
      <c r="R39" s="1573" t="s">
        <v>8</v>
      </c>
      <c r="S39" s="1574">
        <f t="shared" si="12"/>
        <v>100</v>
      </c>
      <c r="T39" s="1573" t="s">
        <v>8</v>
      </c>
      <c r="U39" s="1574">
        <f t="shared" si="13"/>
        <v>100</v>
      </c>
      <c r="V39" s="1573" t="s">
        <v>8</v>
      </c>
      <c r="W39" s="1574">
        <f t="shared" si="14"/>
        <v>100</v>
      </c>
      <c r="X39" s="1567"/>
      <c r="Y39" s="3477"/>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77"/>
      <c r="Q40" s="1572" t="str">
        <f t="shared" si="11"/>
        <v>单套建筑面积</v>
      </c>
      <c r="R40" s="1573" t="s">
        <v>8</v>
      </c>
      <c r="S40" s="1574">
        <f t="shared" si="12"/>
        <v>100</v>
      </c>
      <c r="T40" s="1573" t="s">
        <v>8</v>
      </c>
      <c r="U40" s="1574">
        <f t="shared" si="13"/>
        <v>100</v>
      </c>
      <c r="V40" s="1573" t="s">
        <v>8</v>
      </c>
      <c r="W40" s="1574">
        <f t="shared" si="14"/>
        <v>100</v>
      </c>
      <c r="X40" s="1567"/>
      <c r="Y40" s="3477"/>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77"/>
      <c r="Q41" s="1605" t="str">
        <f t="shared" si="11"/>
        <v>进深比</v>
      </c>
      <c r="R41" s="1577" t="s">
        <v>8</v>
      </c>
      <c r="S41" s="1578">
        <f t="shared" si="12"/>
        <v>100</v>
      </c>
      <c r="T41" s="1577" t="s">
        <v>8</v>
      </c>
      <c r="U41" s="1578">
        <f t="shared" si="13"/>
        <v>100</v>
      </c>
      <c r="V41" s="1577" t="s">
        <v>8</v>
      </c>
      <c r="W41" s="1578">
        <f t="shared" si="14"/>
        <v>100</v>
      </c>
      <c r="X41" s="1579"/>
      <c r="Y41" s="3477"/>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77"/>
      <c r="Q42" s="1572" t="str">
        <f t="shared" si="11"/>
        <v>内部装修</v>
      </c>
      <c r="R42" s="1573" t="s">
        <v>8</v>
      </c>
      <c r="S42" s="1574">
        <f t="shared" si="12"/>
        <v>100</v>
      </c>
      <c r="T42" s="1573" t="s">
        <v>8</v>
      </c>
      <c r="U42" s="1574">
        <f t="shared" si="13"/>
        <v>100</v>
      </c>
      <c r="V42" s="1573" t="s">
        <v>8</v>
      </c>
      <c r="W42" s="1574">
        <f t="shared" si="14"/>
        <v>100</v>
      </c>
      <c r="X42" s="1567"/>
      <c r="Y42" s="3477"/>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77"/>
      <c r="Q43" s="1572" t="str">
        <f t="shared" si="11"/>
        <v>内部装修维护情况</v>
      </c>
      <c r="R43" s="1573" t="s">
        <v>8</v>
      </c>
      <c r="S43" s="1574">
        <f t="shared" si="12"/>
        <v>100</v>
      </c>
      <c r="T43" s="1573" t="s">
        <v>8</v>
      </c>
      <c r="U43" s="1574">
        <f t="shared" si="13"/>
        <v>100</v>
      </c>
      <c r="V43" s="1573" t="s">
        <v>8</v>
      </c>
      <c r="W43" s="1574">
        <f t="shared" si="14"/>
        <v>100</v>
      </c>
      <c r="X43" s="1567"/>
      <c r="Y43" s="3477"/>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77"/>
      <c r="Q44" s="1151">
        <f t="shared" si="11"/>
        <v>111</v>
      </c>
      <c r="R44" s="1568" t="s">
        <v>8</v>
      </c>
      <c r="S44" s="1569">
        <f t="shared" si="12"/>
        <v>100</v>
      </c>
      <c r="T44" s="1568" t="s">
        <v>8</v>
      </c>
      <c r="U44" s="1569">
        <f t="shared" si="13"/>
        <v>100</v>
      </c>
      <c r="V44" s="1568" t="s">
        <v>8</v>
      </c>
      <c r="W44" s="1569">
        <f t="shared" si="14"/>
        <v>100</v>
      </c>
      <c r="X44" s="1570"/>
      <c r="Y44" s="3477"/>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77"/>
      <c r="Q45" s="1572">
        <f t="shared" si="11"/>
        <v>111</v>
      </c>
      <c r="R45" s="1573" t="s">
        <v>8</v>
      </c>
      <c r="S45" s="1574">
        <f t="shared" si="12"/>
        <v>100</v>
      </c>
      <c r="T45" s="1573" t="s">
        <v>8</v>
      </c>
      <c r="U45" s="1574">
        <f t="shared" si="13"/>
        <v>100</v>
      </c>
      <c r="V45" s="1573" t="s">
        <v>8</v>
      </c>
      <c r="W45" s="1574">
        <f t="shared" si="14"/>
        <v>100</v>
      </c>
      <c r="X45" s="1567"/>
      <c r="Y45" s="3477"/>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54"/>
      <c r="Q46" s="1572">
        <f t="shared" si="11"/>
        <v>111</v>
      </c>
      <c r="R46" s="1573" t="s">
        <v>8</v>
      </c>
      <c r="S46" s="1574">
        <f t="shared" si="12"/>
        <v>100</v>
      </c>
      <c r="T46" s="1573" t="s">
        <v>8</v>
      </c>
      <c r="U46" s="1574">
        <f t="shared" si="13"/>
        <v>100</v>
      </c>
      <c r="V46" s="1573" t="s">
        <v>8</v>
      </c>
      <c r="W46" s="1574">
        <f t="shared" si="14"/>
        <v>100</v>
      </c>
      <c r="X46" s="1567"/>
      <c r="Y46" s="3554"/>
      <c r="Z46" s="1575">
        <f t="shared" si="15"/>
        <v>111</v>
      </c>
      <c r="AA46" s="1576">
        <f t="shared" si="3"/>
        <v>1</v>
      </c>
      <c r="AB46" s="1576">
        <f t="shared" si="4"/>
        <v>1</v>
      </c>
      <c r="AC46" s="1576">
        <f t="shared" si="5"/>
        <v>1</v>
      </c>
    </row>
    <row r="47" spans="1:29" ht="15">
      <c r="A47" s="607" t="s">
        <v>736</v>
      </c>
      <c r="B47" s="887"/>
      <c r="C47" s="2628" t="s">
        <v>1</v>
      </c>
      <c r="D47" s="2629"/>
      <c r="E47" s="2630"/>
      <c r="F47" s="2631"/>
      <c r="G47" s="2632"/>
      <c r="H47" s="2633"/>
      <c r="I47" s="2630"/>
      <c r="J47" s="2633"/>
      <c r="K47" s="1611"/>
      <c r="L47" s="2145"/>
      <c r="M47" s="2146"/>
      <c r="N47" s="2135"/>
      <c r="O47" s="2146"/>
      <c r="P47" s="3439" t="str">
        <f>A47</f>
        <v>成交单价（元/平方米）</v>
      </c>
      <c r="Q47" s="3439"/>
      <c r="R47" s="3553">
        <f>E47</f>
        <v>0</v>
      </c>
      <c r="S47" s="3553"/>
      <c r="T47" s="3553">
        <f>G47</f>
        <v>0</v>
      </c>
      <c r="U47" s="3553"/>
      <c r="V47" s="3553">
        <f>I47</f>
        <v>0</v>
      </c>
      <c r="W47" s="3553"/>
      <c r="X47" s="1559"/>
      <c r="Y47" s="1581"/>
      <c r="Z47" s="1559"/>
      <c r="AA47" s="1559"/>
      <c r="AB47" s="1559"/>
      <c r="AC47" s="1559"/>
    </row>
    <row r="48" spans="1:29" ht="15.75" thickBot="1">
      <c r="A48" s="615" t="s">
        <v>2763</v>
      </c>
      <c r="B48" s="888"/>
      <c r="C48" s="2634" t="e">
        <f>R49</f>
        <v>#DIV/0!</v>
      </c>
      <c r="D48" s="2635"/>
      <c r="E48" s="2636" t="e">
        <f>R48</f>
        <v>#DIV/0!</v>
      </c>
      <c r="F48" s="2636"/>
      <c r="G48" s="2634" t="e">
        <f>T48</f>
        <v>#DIV/0!</v>
      </c>
      <c r="H48" s="2635"/>
      <c r="I48" s="2636" t="e">
        <f>V48</f>
        <v>#DIV/0!</v>
      </c>
      <c r="J48" s="2635"/>
      <c r="K48" s="1612"/>
      <c r="L48" s="2145"/>
      <c r="M48" s="2146"/>
      <c r="N48" s="2135"/>
      <c r="O48" s="2146"/>
      <c r="P48" s="3439" t="str">
        <f>A48</f>
        <v>比较价格（元/平方米）</v>
      </c>
      <c r="Q48" s="3439"/>
      <c r="R48" s="3553" t="e">
        <f>IF(F1="售价",ROUND(PRODUCT(R47,AA7:AA46),0),ROUND(PRODUCT(R47,AA7:AA46),1))</f>
        <v>#DIV/0!</v>
      </c>
      <c r="S48" s="3553"/>
      <c r="T48" s="3553" t="e">
        <f>IF(F1="售价",ROUND(PRODUCT(T47,AB7:AB46),0),ROUND(PRODUCT(T47,AB7:AB46),1))</f>
        <v>#DIV/0!</v>
      </c>
      <c r="U48" s="3553"/>
      <c r="V48" s="3553" t="e">
        <f>IF(F1="售价",ROUND(PRODUCT(V47,AC7:AC46),0),ROUND(PRODUCT(V47,AC7:AC46),1))</f>
        <v>#DIV/0!</v>
      </c>
      <c r="W48" s="3553"/>
      <c r="X48" s="1559"/>
      <c r="Y48" s="1559"/>
      <c r="Z48" s="1559"/>
      <c r="AA48" s="1559"/>
      <c r="AB48" s="1559"/>
      <c r="AC48" s="1559"/>
    </row>
    <row r="49" spans="1:29" ht="15.75" thickBot="1">
      <c r="A49" s="621" t="s">
        <v>2940</v>
      </c>
      <c r="B49" s="622"/>
      <c r="C49" s="2637" t="e">
        <f>R49</f>
        <v>#DIV/0!</v>
      </c>
      <c r="D49" s="2637"/>
      <c r="E49" s="2637"/>
      <c r="F49" s="2637"/>
      <c r="G49" s="2637"/>
      <c r="H49" s="2637"/>
      <c r="I49" s="2637"/>
      <c r="J49" s="2637"/>
      <c r="K49" s="1613"/>
      <c r="L49" s="2145"/>
      <c r="M49" s="2146"/>
      <c r="N49" s="2135"/>
      <c r="O49" s="2146"/>
      <c r="P49" s="3436" t="str">
        <f>A49</f>
        <v>估价对象XX用房的比较价格（楼面单价，元/平方米）</v>
      </c>
      <c r="Q49" s="3437"/>
      <c r="R49" s="3552" t="e">
        <f>IF(F1="售价",ROUND(AVERAGE(R48:V48),0),ROUND(AVERAGE(R48:V48),1))</f>
        <v>#DIV/0!</v>
      </c>
      <c r="S49" s="3552"/>
      <c r="T49" s="3552"/>
      <c r="U49" s="3552"/>
      <c r="V49" s="3552"/>
      <c r="W49" s="355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2561</v>
      </c>
      <c r="C82" s="2599" t="s">
        <v>2562</v>
      </c>
      <c r="D82" s="2599" t="s">
        <v>2563</v>
      </c>
      <c r="E82" s="2599" t="s">
        <v>2564</v>
      </c>
      <c r="F82" s="2599" t="s">
        <v>2565</v>
      </c>
      <c r="G82" s="2599" t="s">
        <v>2566</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2559</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4" zoomScale="80" zoomScaleNormal="80" workbookViewId="0">
      <selection activeCell="A43" sqref="A33:XFD43"/>
    </sheetView>
  </sheetViews>
  <sheetFormatPr defaultRowHeight="14.25"/>
  <cols>
    <col min="1" max="1" width="10.5" style="1337" customWidth="1"/>
    <col min="2" max="2" width="15.75" style="1337" customWidth="1"/>
    <col min="3" max="3" width="16"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t="s">
        <v>2997</v>
      </c>
      <c r="E1" s="506"/>
      <c r="F1" s="2808" t="s">
        <v>3129</v>
      </c>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467</v>
      </c>
      <c r="B2" s="850">
        <f>ROUND(B3*D3/10000,0)</f>
        <v>74635</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519</v>
      </c>
      <c r="B3" s="510">
        <f>C50</f>
        <v>16443</v>
      </c>
      <c r="C3" s="852" t="s">
        <v>722</v>
      </c>
      <c r="D3" s="851">
        <f>SUMIF('数据-汇总表'!$C19:$C33,D1,'数据-汇总表'!$E19:$E33)</f>
        <v>45389.999999999985</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445" t="s">
        <v>522</v>
      </c>
      <c r="D4" s="3446"/>
      <c r="E4" s="3480" t="s">
        <v>523</v>
      </c>
      <c r="F4" s="3481"/>
      <c r="G4" s="3445" t="s">
        <v>524</v>
      </c>
      <c r="H4" s="3446"/>
      <c r="I4" s="3445" t="s">
        <v>525</v>
      </c>
      <c r="J4" s="3446"/>
      <c r="K4" s="514" t="s">
        <v>526</v>
      </c>
      <c r="L4" s="2134"/>
      <c r="M4" s="2135"/>
      <c r="N4" s="2135"/>
      <c r="O4" s="2135"/>
      <c r="P4" s="3558" t="s">
        <v>527</v>
      </c>
      <c r="Q4" s="3448"/>
      <c r="R4" s="3453" t="s">
        <v>523</v>
      </c>
      <c r="S4" s="3454"/>
      <c r="T4" s="3453" t="s">
        <v>524</v>
      </c>
      <c r="U4" s="3454"/>
      <c r="V4" s="3440" t="s">
        <v>525</v>
      </c>
      <c r="W4" s="3440"/>
      <c r="X4" s="1567"/>
      <c r="Y4" s="3453" t="s">
        <v>527</v>
      </c>
      <c r="Z4" s="3454"/>
      <c r="AA4" s="3442" t="s">
        <v>523</v>
      </c>
      <c r="AB4" s="3442" t="s">
        <v>524</v>
      </c>
      <c r="AC4" s="3442" t="s">
        <v>525</v>
      </c>
    </row>
    <row r="5" spans="1:29" ht="15">
      <c r="A5" s="515"/>
      <c r="B5" s="516"/>
      <c r="C5" s="3461" t="s">
        <v>2934</v>
      </c>
      <c r="D5" s="3462"/>
      <c r="E5" s="3556" t="s">
        <v>3145</v>
      </c>
      <c r="F5" s="3483"/>
      <c r="G5" s="3555" t="s">
        <v>3148</v>
      </c>
      <c r="H5" s="3462"/>
      <c r="I5" s="3555" t="s">
        <v>3160</v>
      </c>
      <c r="J5" s="3462"/>
      <c r="K5" s="514"/>
      <c r="L5" s="2134"/>
      <c r="M5" s="2135"/>
      <c r="N5" s="2135"/>
      <c r="O5" s="2135"/>
      <c r="P5" s="3559"/>
      <c r="Q5" s="3450"/>
      <c r="R5" s="3455"/>
      <c r="S5" s="3456"/>
      <c r="T5" s="3455"/>
      <c r="U5" s="3456"/>
      <c r="V5" s="3440"/>
      <c r="W5" s="3440"/>
      <c r="X5" s="1567"/>
      <c r="Y5" s="3455"/>
      <c r="Z5" s="3456"/>
      <c r="AA5" s="3443"/>
      <c r="AB5" s="3443"/>
      <c r="AC5" s="3443"/>
    </row>
    <row r="6" spans="1:29" ht="15.75" thickBot="1">
      <c r="A6" s="517"/>
      <c r="B6" s="518"/>
      <c r="C6" s="3459" t="s">
        <v>2938</v>
      </c>
      <c r="D6" s="3460"/>
      <c r="E6" s="3556" t="s">
        <v>3144</v>
      </c>
      <c r="F6" s="3483"/>
      <c r="G6" s="3465" t="s">
        <v>3147</v>
      </c>
      <c r="H6" s="3460"/>
      <c r="I6" s="3465" t="s">
        <v>3161</v>
      </c>
      <c r="J6" s="3460"/>
      <c r="K6" s="514" t="s">
        <v>528</v>
      </c>
      <c r="L6" s="2134"/>
      <c r="M6" s="2135"/>
      <c r="N6" s="2135"/>
      <c r="O6" s="2135"/>
      <c r="P6" s="3560"/>
      <c r="Q6" s="3452"/>
      <c r="R6" s="3455"/>
      <c r="S6" s="3456"/>
      <c r="T6" s="3457"/>
      <c r="U6" s="3458"/>
      <c r="V6" s="3440"/>
      <c r="W6" s="3440"/>
      <c r="X6" s="1567"/>
      <c r="Y6" s="3457"/>
      <c r="Z6" s="3458"/>
      <c r="AA6" s="3444"/>
      <c r="AB6" s="3444"/>
      <c r="AC6" s="3444"/>
    </row>
    <row r="7" spans="1:29" s="1220" customFormat="1" ht="15.75" thickBot="1">
      <c r="A7" s="2913"/>
      <c r="B7" s="2920" t="s">
        <v>529</v>
      </c>
      <c r="C7" s="519">
        <f>'数据-取费表'!B2</f>
        <v>43383</v>
      </c>
      <c r="D7" s="520">
        <v>100</v>
      </c>
      <c r="E7" s="521">
        <v>43374</v>
      </c>
      <c r="F7" s="522">
        <f>SUMIF(59:59,YEAR(E7)&amp;"-"&amp;MONTH(E7),60:60)</f>
        <v>100</v>
      </c>
      <c r="G7" s="521">
        <v>43374</v>
      </c>
      <c r="H7" s="520">
        <f>SUMIF(59:59,YEAR(G7)&amp;"-"&amp;MONTH(G7),60:60)</f>
        <v>100</v>
      </c>
      <c r="I7" s="521">
        <v>43374</v>
      </c>
      <c r="J7" s="520">
        <f>SUMIF(59:59,YEAR(I7)&amp;"-"&amp;MONTH(I7),60:60)</f>
        <v>100</v>
      </c>
      <c r="K7" s="524"/>
      <c r="L7" s="2136"/>
      <c r="M7" s="2137"/>
      <c r="N7" s="2137"/>
      <c r="O7" s="2137"/>
      <c r="P7" s="3473" t="s">
        <v>530</v>
      </c>
      <c r="Q7" s="3473"/>
      <c r="R7" s="1568" t="s">
        <v>8</v>
      </c>
      <c r="S7" s="1569">
        <f t="shared" ref="S7:S15" si="0">F7</f>
        <v>100</v>
      </c>
      <c r="T7" s="1568" t="s">
        <v>8</v>
      </c>
      <c r="U7" s="1569">
        <f t="shared" ref="U7:U15" si="1">H7</f>
        <v>100</v>
      </c>
      <c r="V7" s="1568" t="s">
        <v>8</v>
      </c>
      <c r="W7" s="1569">
        <f t="shared" ref="W7:W15" si="2">J7</f>
        <v>100</v>
      </c>
      <c r="X7" s="1570"/>
      <c r="Y7" s="3471" t="s">
        <v>530</v>
      </c>
      <c r="Z7" s="3472"/>
      <c r="AA7" s="1571">
        <f>D7/F7</f>
        <v>1</v>
      </c>
      <c r="AB7" s="1571">
        <f>D7/H7</f>
        <v>1</v>
      </c>
      <c r="AC7" s="1571">
        <f>D7/J7</f>
        <v>1</v>
      </c>
    </row>
    <row r="8" spans="1:29" s="1220" customFormat="1" ht="15.75" thickBot="1">
      <c r="A8" s="2914"/>
      <c r="B8" s="2921" t="s">
        <v>531</v>
      </c>
      <c r="C8" s="525" t="s">
        <v>576</v>
      </c>
      <c r="D8" s="520">
        <v>100</v>
      </c>
      <c r="E8" s="856" t="s">
        <v>3106</v>
      </c>
      <c r="F8" s="522">
        <f>SUMIF(62:62,E8,63:63)-SUMIF(62:62,C8,63:63)+100</f>
        <v>100</v>
      </c>
      <c r="G8" s="856" t="s">
        <v>3106</v>
      </c>
      <c r="H8" s="520">
        <f>SUMIF(62:62,G8,63:63)-SUMIF(62:62,C8,63:63)+100</f>
        <v>100</v>
      </c>
      <c r="I8" s="856" t="s">
        <v>3106</v>
      </c>
      <c r="J8" s="520">
        <f>SUMIF(62:62,I8,63:63)-SUMIF(62:62,C8,63:63)+100</f>
        <v>100</v>
      </c>
      <c r="K8" s="524"/>
      <c r="L8" s="2136"/>
      <c r="M8" s="2137"/>
      <c r="N8" s="2137"/>
      <c r="O8" s="2137"/>
      <c r="P8" s="3473" t="s">
        <v>533</v>
      </c>
      <c r="Q8" s="3472"/>
      <c r="R8" s="1568" t="s">
        <v>8</v>
      </c>
      <c r="S8" s="1569">
        <f t="shared" si="0"/>
        <v>100</v>
      </c>
      <c r="T8" s="1568" t="s">
        <v>8</v>
      </c>
      <c r="U8" s="1569">
        <f t="shared" si="1"/>
        <v>100</v>
      </c>
      <c r="V8" s="1568" t="s">
        <v>8</v>
      </c>
      <c r="W8" s="1569">
        <f t="shared" si="2"/>
        <v>100</v>
      </c>
      <c r="X8" s="1570"/>
      <c r="Y8" s="3471" t="s">
        <v>533</v>
      </c>
      <c r="Z8" s="3472"/>
      <c r="AA8" s="1571">
        <f t="shared" ref="AA8:AA47" si="3">D8/F8</f>
        <v>1</v>
      </c>
      <c r="AB8" s="1571">
        <f t="shared" ref="AB8:AB47" si="4">D8/H8</f>
        <v>1</v>
      </c>
      <c r="AC8" s="1571">
        <f t="shared" ref="AC8:AC47" si="5">D8/J8</f>
        <v>1</v>
      </c>
    </row>
    <row r="9" spans="1:29" s="1220" customFormat="1" ht="15">
      <c r="A9" s="2915"/>
      <c r="B9" s="2922" t="s">
        <v>2759</v>
      </c>
      <c r="C9" s="3235" t="s">
        <v>3155</v>
      </c>
      <c r="D9" s="254">
        <v>100</v>
      </c>
      <c r="E9" s="858" t="s">
        <v>3173</v>
      </c>
      <c r="F9" s="254">
        <f>SUMIF(64:64,E9,65:65)-SUMIF(64:64,C9,65:65)+100</f>
        <v>100</v>
      </c>
      <c r="G9" s="858" t="s">
        <v>3173</v>
      </c>
      <c r="H9" s="254">
        <f>SUMIF(64:64,G9,65:65)-SUMIF(64:64,C9,65:65)+100</f>
        <v>100</v>
      </c>
      <c r="I9" s="858" t="s">
        <v>3173</v>
      </c>
      <c r="J9" s="254">
        <f>SUMIF(64:64,I9,65:65)-SUMIF(64:64,C9,65:65)+100</f>
        <v>100</v>
      </c>
      <c r="K9" s="524"/>
      <c r="L9" s="2136"/>
      <c r="M9" s="2137"/>
      <c r="N9" s="2137"/>
      <c r="O9" s="2137"/>
      <c r="P9" s="3439" t="s">
        <v>535</v>
      </c>
      <c r="Q9" s="1151" t="str">
        <f t="shared" ref="Q9:Q15" si="6">B9</f>
        <v>用途</v>
      </c>
      <c r="R9" s="1568" t="s">
        <v>8</v>
      </c>
      <c r="S9" s="1569">
        <f t="shared" si="0"/>
        <v>100</v>
      </c>
      <c r="T9" s="1568" t="s">
        <v>8</v>
      </c>
      <c r="U9" s="1569">
        <f t="shared" si="1"/>
        <v>100</v>
      </c>
      <c r="V9" s="1568" t="s">
        <v>8</v>
      </c>
      <c r="W9" s="1569">
        <f t="shared" si="2"/>
        <v>100</v>
      </c>
      <c r="X9" s="1570"/>
      <c r="Y9" s="3385" t="s">
        <v>536</v>
      </c>
      <c r="Z9" s="1150" t="str">
        <f t="shared" ref="Z9:Z15" si="7">Q9</f>
        <v>用途</v>
      </c>
      <c r="AA9" s="1571">
        <f t="shared" si="3"/>
        <v>1</v>
      </c>
      <c r="AB9" s="1571">
        <f t="shared" si="4"/>
        <v>1</v>
      </c>
      <c r="AC9" s="1571">
        <f t="shared" si="5"/>
        <v>1</v>
      </c>
    </row>
    <row r="10" spans="1:29" s="1338" customFormat="1" ht="27">
      <c r="A10" s="2916"/>
      <c r="B10" s="2921" t="s">
        <v>2760</v>
      </c>
      <c r="C10" s="861" t="s">
        <v>3174</v>
      </c>
      <c r="D10" s="255">
        <v>100</v>
      </c>
      <c r="E10" s="862" t="s">
        <v>3174</v>
      </c>
      <c r="F10" s="255">
        <f>SUMIF(66:66,E10,67:67)-SUMIF(66:66,C10,67:67)+100</f>
        <v>100</v>
      </c>
      <c r="G10" s="862" t="s">
        <v>3174</v>
      </c>
      <c r="H10" s="255">
        <f>SUMIF(66:66,G10,67:67)-SUMIF(66:66,C10,67:67)+100</f>
        <v>100</v>
      </c>
      <c r="I10" s="862" t="s">
        <v>3174</v>
      </c>
      <c r="J10" s="255">
        <f>SUMIF(66:66,I10,67:67)-SUMIF(66:66,C10,67:67)+100</f>
        <v>100</v>
      </c>
      <c r="K10" s="584">
        <v>1</v>
      </c>
      <c r="L10" s="2139"/>
      <c r="M10" s="2179"/>
      <c r="N10" s="2179"/>
      <c r="O10" s="2179"/>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3568"/>
      <c r="B11" s="3567" t="s">
        <v>2761</v>
      </c>
      <c r="C11" s="533">
        <f>'不动产比较法-住宅'!C11</f>
        <v>6.88</v>
      </c>
      <c r="D11" s="255">
        <v>100</v>
      </c>
      <c r="E11" s="534">
        <v>4.76</v>
      </c>
      <c r="F11" s="255">
        <f>LOOKUP(E11,69:69,70:70)-LOOKUP(C11,69:69,70:70)+100</f>
        <v>104</v>
      </c>
      <c r="G11" s="533">
        <v>6.8</v>
      </c>
      <c r="H11" s="255">
        <f>LOOKUP(G11,69:69,70:70)-LOOKUP(C11,69:69,70:70)+100</f>
        <v>100</v>
      </c>
      <c r="I11" s="533">
        <v>4.9000000000000004</v>
      </c>
      <c r="J11" s="255">
        <f>LOOKUP(I11,69:69,70:70)-LOOKUP(C11,69:69,70:70)+100</f>
        <v>104</v>
      </c>
      <c r="K11" s="584">
        <v>2</v>
      </c>
      <c r="L11" s="2141"/>
      <c r="M11" s="2135"/>
      <c r="N11" s="2135"/>
      <c r="O11" s="2135"/>
      <c r="P11" s="3439"/>
      <c r="Q11" s="1151" t="str">
        <f t="shared" si="6"/>
        <v>容积率</v>
      </c>
      <c r="R11" s="1568" t="s">
        <v>8</v>
      </c>
      <c r="S11" s="1569">
        <f t="shared" si="0"/>
        <v>104</v>
      </c>
      <c r="T11" s="1568" t="s">
        <v>8</v>
      </c>
      <c r="U11" s="1569">
        <f t="shared" si="1"/>
        <v>100</v>
      </c>
      <c r="V11" s="1568" t="s">
        <v>8</v>
      </c>
      <c r="W11" s="1569">
        <f t="shared" si="2"/>
        <v>104</v>
      </c>
      <c r="X11" s="1570"/>
      <c r="Y11" s="3385"/>
      <c r="Z11" s="1150" t="str">
        <f t="shared" si="7"/>
        <v>容积率</v>
      </c>
      <c r="AA11" s="1571">
        <f t="shared" si="3"/>
        <v>0.96153846153846156</v>
      </c>
      <c r="AB11" s="1571">
        <f t="shared" si="4"/>
        <v>1</v>
      </c>
      <c r="AC11" s="1571">
        <f t="shared" si="5"/>
        <v>0.96153846153846156</v>
      </c>
    </row>
    <row r="12" spans="1:29" s="1220" customFormat="1" ht="15">
      <c r="A12" s="2918"/>
      <c r="B12" s="2924">
        <v>111</v>
      </c>
      <c r="C12" s="528"/>
      <c r="D12" s="538">
        <v>100</v>
      </c>
      <c r="E12" s="528"/>
      <c r="F12" s="255">
        <f>SUMIF(71:71,E12,72:72)-SUMIF(71:71,C12,72:72)+100</f>
        <v>100</v>
      </c>
      <c r="G12" s="528"/>
      <c r="H12" s="255">
        <f>SUMIF(71:71,G12,72:72)-SUMIF(71:71,C12,72:72)+100</f>
        <v>100</v>
      </c>
      <c r="I12" s="528"/>
      <c r="J12" s="255">
        <f>SUMIF(71:71,I12,72:72)-SUMIF(71:71,C12,72:72)+100</f>
        <v>100</v>
      </c>
      <c r="K12" s="581"/>
      <c r="L12" s="2136"/>
      <c r="M12" s="2137"/>
      <c r="N12" s="2137"/>
      <c r="O12" s="2137"/>
      <c r="P12" s="3439"/>
      <c r="Q12" s="1151">
        <f t="shared" si="6"/>
        <v>111</v>
      </c>
      <c r="R12" s="1568" t="s">
        <v>8</v>
      </c>
      <c r="S12" s="1569">
        <f t="shared" si="0"/>
        <v>100</v>
      </c>
      <c r="T12" s="1568" t="s">
        <v>8</v>
      </c>
      <c r="U12" s="1569">
        <f t="shared" si="1"/>
        <v>100</v>
      </c>
      <c r="V12" s="1568" t="s">
        <v>8</v>
      </c>
      <c r="W12" s="1569">
        <f t="shared" si="2"/>
        <v>100</v>
      </c>
      <c r="X12" s="1570"/>
      <c r="Y12" s="3385"/>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439"/>
      <c r="Q13" s="1151">
        <f t="shared" si="6"/>
        <v>111</v>
      </c>
      <c r="R13" s="1568" t="s">
        <v>8</v>
      </c>
      <c r="S13" s="1569">
        <f t="shared" si="0"/>
        <v>100</v>
      </c>
      <c r="T13" s="1568" t="s">
        <v>8</v>
      </c>
      <c r="U13" s="1569">
        <f t="shared" si="1"/>
        <v>100</v>
      </c>
      <c r="V13" s="1568" t="s">
        <v>8</v>
      </c>
      <c r="W13" s="1569">
        <f t="shared" si="2"/>
        <v>100</v>
      </c>
      <c r="X13" s="1570"/>
      <c r="Y13" s="3385"/>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439"/>
      <c r="Q14" s="1151">
        <f t="shared" si="6"/>
        <v>111</v>
      </c>
      <c r="R14" s="1568" t="s">
        <v>8</v>
      </c>
      <c r="S14" s="1569">
        <f t="shared" si="0"/>
        <v>100</v>
      </c>
      <c r="T14" s="1568" t="s">
        <v>8</v>
      </c>
      <c r="U14" s="1569">
        <f t="shared" si="1"/>
        <v>100</v>
      </c>
      <c r="V14" s="1568" t="s">
        <v>8</v>
      </c>
      <c r="W14" s="1569">
        <f t="shared" si="2"/>
        <v>100</v>
      </c>
      <c r="X14" s="1570"/>
      <c r="Y14" s="3385"/>
      <c r="Z14" s="1150">
        <f t="shared" si="7"/>
        <v>111</v>
      </c>
      <c r="AA14" s="1571">
        <f t="shared" si="3"/>
        <v>1</v>
      </c>
      <c r="AB14" s="1571">
        <f t="shared" si="4"/>
        <v>1</v>
      </c>
      <c r="AC14" s="1571">
        <f t="shared" si="5"/>
        <v>1</v>
      </c>
    </row>
    <row r="15" spans="1:29" ht="71.25">
      <c r="A15" s="2911" t="s">
        <v>2757</v>
      </c>
      <c r="B15" s="547" t="s">
        <v>542</v>
      </c>
      <c r="C15" s="548" t="str">
        <f>估价对象房地状况!C5</f>
        <v>估价对象位于XX商圈，周边办公楼项目较多，入驻率高，办公集聚程度较好</v>
      </c>
      <c r="D15" s="549">
        <v>100</v>
      </c>
      <c r="E15" s="552"/>
      <c r="F15" s="549">
        <f>SUMIF(77:77,E16,78:78)-SUMIF(77:77,C16,78:78)+100</f>
        <v>103</v>
      </c>
      <c r="G15" s="552"/>
      <c r="H15" s="549">
        <f>SUMIF(77:77,G16,78:78)-SUMIF(77:77,C16,78:78)+100</f>
        <v>100</v>
      </c>
      <c r="I15" s="552"/>
      <c r="J15" s="549">
        <f>SUMIF(77:77,I16,78:78)-SUMIF(77:77,C16,78:78)+100</f>
        <v>100</v>
      </c>
      <c r="K15" s="898">
        <v>3</v>
      </c>
      <c r="L15" s="2143"/>
      <c r="M15" s="2135"/>
      <c r="N15" s="2135"/>
      <c r="O15" s="2135"/>
      <c r="P15" s="3474" t="s">
        <v>540</v>
      </c>
      <c r="Q15" s="1572" t="str">
        <f t="shared" si="6"/>
        <v>办公集聚程度</v>
      </c>
      <c r="R15" s="1573" t="s">
        <v>8</v>
      </c>
      <c r="S15" s="1574">
        <f t="shared" si="0"/>
        <v>103</v>
      </c>
      <c r="T15" s="1573" t="s">
        <v>8</v>
      </c>
      <c r="U15" s="1574">
        <f t="shared" si="1"/>
        <v>100</v>
      </c>
      <c r="V15" s="1573" t="s">
        <v>8</v>
      </c>
      <c r="W15" s="1574">
        <f t="shared" si="2"/>
        <v>100</v>
      </c>
      <c r="X15" s="1567"/>
      <c r="Y15" s="3474" t="s">
        <v>540</v>
      </c>
      <c r="Z15" s="1575" t="str">
        <f t="shared" si="7"/>
        <v>办公集聚程度</v>
      </c>
      <c r="AA15" s="1576">
        <f t="shared" si="3"/>
        <v>0.970873786407767</v>
      </c>
      <c r="AB15" s="1576">
        <f t="shared" si="4"/>
        <v>1</v>
      </c>
      <c r="AC15" s="1576">
        <f t="shared" si="5"/>
        <v>1</v>
      </c>
    </row>
    <row r="16" spans="1:29" ht="15">
      <c r="A16" s="532"/>
      <c r="B16" s="553"/>
      <c r="C16" s="554" t="s">
        <v>3128</v>
      </c>
      <c r="D16" s="555"/>
      <c r="E16" s="576" t="s">
        <v>3107</v>
      </c>
      <c r="F16" s="555"/>
      <c r="G16" s="576" t="s">
        <v>3128</v>
      </c>
      <c r="H16" s="559"/>
      <c r="I16" s="576" t="s">
        <v>3128</v>
      </c>
      <c r="J16" s="555"/>
      <c r="K16" s="899"/>
      <c r="L16" s="2143"/>
      <c r="M16" s="2135"/>
      <c r="N16" s="2135"/>
      <c r="O16" s="2135"/>
      <c r="P16" s="3475"/>
      <c r="Q16" s="1572"/>
      <c r="R16" s="1573"/>
      <c r="S16" s="1574"/>
      <c r="T16" s="1573"/>
      <c r="U16" s="1574"/>
      <c r="V16" s="1573"/>
      <c r="W16" s="1574"/>
      <c r="X16" s="1567"/>
      <c r="Y16" s="3475"/>
      <c r="Z16" s="1575"/>
      <c r="AA16" s="1576">
        <v>1</v>
      </c>
      <c r="AB16" s="1576">
        <v>1</v>
      </c>
      <c r="AC16" s="1576">
        <v>1</v>
      </c>
    </row>
    <row r="17" spans="1:29" ht="71.25">
      <c r="A17" s="532"/>
      <c r="B17" s="560" t="s">
        <v>296</v>
      </c>
      <c r="C17" s="573" t="str">
        <f>估价对象房地状况!C6</f>
        <v>估价对象周边道路状况、公共交通通达情况、停车便捷程度，综合评价交通便捷度较好</v>
      </c>
      <c r="D17" s="559">
        <v>100</v>
      </c>
      <c r="E17" s="564"/>
      <c r="F17" s="559">
        <f>SUMIF(79:79,E18,80:80)-SUMIF(79:79,C18,80:80)+100</f>
        <v>103</v>
      </c>
      <c r="G17" s="564"/>
      <c r="H17" s="565">
        <f>SUMIF(79:79,G18,80:80)-SUMIF(79:79,C18,80:80)+100</f>
        <v>100</v>
      </c>
      <c r="I17" s="564"/>
      <c r="J17" s="565">
        <f>SUMIF(79:79,I18,80:80)-SUMIF(79:79,C18,80:80)+100</f>
        <v>100</v>
      </c>
      <c r="K17" s="898">
        <f>'不动产比较法-住宅'!K17</f>
        <v>3</v>
      </c>
      <c r="L17" s="2143"/>
      <c r="M17" s="2135"/>
      <c r="N17" s="2135"/>
      <c r="O17" s="2135"/>
      <c r="P17" s="3475"/>
      <c r="Q17" s="1572" t="str">
        <f>B17</f>
        <v>交通便捷度</v>
      </c>
      <c r="R17" s="1573" t="s">
        <v>8</v>
      </c>
      <c r="S17" s="1574">
        <f>F17</f>
        <v>103</v>
      </c>
      <c r="T17" s="1573" t="s">
        <v>8</v>
      </c>
      <c r="U17" s="1574">
        <f>H17</f>
        <v>100</v>
      </c>
      <c r="V17" s="1573" t="s">
        <v>8</v>
      </c>
      <c r="W17" s="1574">
        <f>J17</f>
        <v>100</v>
      </c>
      <c r="X17" s="1567"/>
      <c r="Y17" s="3475"/>
      <c r="Z17" s="1575" t="str">
        <f>Q17</f>
        <v>交通便捷度</v>
      </c>
      <c r="AA17" s="1576">
        <f t="shared" si="3"/>
        <v>0.970873786407767</v>
      </c>
      <c r="AB17" s="1576">
        <f t="shared" si="4"/>
        <v>1</v>
      </c>
      <c r="AC17" s="1576">
        <f t="shared" si="5"/>
        <v>1</v>
      </c>
    </row>
    <row r="18" spans="1:29" ht="15">
      <c r="A18" s="532"/>
      <c r="B18" s="566"/>
      <c r="C18" s="567" t="s">
        <v>3107</v>
      </c>
      <c r="D18" s="559"/>
      <c r="E18" s="569" t="s">
        <v>3127</v>
      </c>
      <c r="F18" s="559"/>
      <c r="G18" s="569" t="s">
        <v>3107</v>
      </c>
      <c r="H18" s="555"/>
      <c r="I18" s="569" t="s">
        <v>3107</v>
      </c>
      <c r="J18" s="555"/>
      <c r="K18" s="899"/>
      <c r="L18" s="2143"/>
      <c r="M18" s="2135"/>
      <c r="N18" s="2135"/>
      <c r="O18" s="2135"/>
      <c r="P18" s="3475"/>
      <c r="Q18" s="1572"/>
      <c r="R18" s="1573"/>
      <c r="S18" s="1574"/>
      <c r="T18" s="1573"/>
      <c r="U18" s="1574"/>
      <c r="V18" s="1573"/>
      <c r="W18" s="1574"/>
      <c r="X18" s="1567"/>
      <c r="Y18" s="3475"/>
      <c r="Z18" s="1575"/>
      <c r="AA18" s="1576">
        <v>1</v>
      </c>
      <c r="AB18" s="1576">
        <v>1</v>
      </c>
      <c r="AC18" s="1576">
        <v>1</v>
      </c>
    </row>
    <row r="19" spans="1:29" ht="42.75">
      <c r="A19" s="532"/>
      <c r="B19" s="2604" t="s">
        <v>2549</v>
      </c>
      <c r="C19" s="573" t="str">
        <f>估价对象房地状况!C7</f>
        <v>估价对象所在区域公共配套设施齐备情况</v>
      </c>
      <c r="D19" s="565">
        <v>100</v>
      </c>
      <c r="E19" s="572"/>
      <c r="F19" s="565">
        <f>SUMIF(81:81,E20,82:82)-SUMIF(81:81,C20,82:82)+100</f>
        <v>100</v>
      </c>
      <c r="G19" s="572"/>
      <c r="H19" s="559">
        <f>SUMIF(81:81,G20,82:82)-SUMIF(81:81,C20,82:82)+100</f>
        <v>95</v>
      </c>
      <c r="I19" s="572"/>
      <c r="J19" s="559">
        <f>SUMIF(81:81,I20,82:82)-SUMIF(81:81,C20,82:82)+100</f>
        <v>95</v>
      </c>
      <c r="K19" s="898">
        <f>'不动产比较法-住宅'!K19</f>
        <v>5</v>
      </c>
      <c r="L19" s="2143"/>
      <c r="M19" s="2135"/>
      <c r="N19" s="2135"/>
      <c r="O19" s="2135"/>
      <c r="P19" s="3475"/>
      <c r="Q19" s="1572" t="str">
        <f>B19</f>
        <v>公共配套设施</v>
      </c>
      <c r="R19" s="1573" t="s">
        <v>8</v>
      </c>
      <c r="S19" s="1574">
        <f>F19</f>
        <v>100</v>
      </c>
      <c r="T19" s="1573" t="s">
        <v>8</v>
      </c>
      <c r="U19" s="1574">
        <f>H19</f>
        <v>95</v>
      </c>
      <c r="V19" s="1573" t="s">
        <v>8</v>
      </c>
      <c r="W19" s="1574">
        <f>J19</f>
        <v>95</v>
      </c>
      <c r="X19" s="1567"/>
      <c r="Y19" s="3475"/>
      <c r="Z19" s="1575" t="str">
        <f>Q19</f>
        <v>公共配套设施</v>
      </c>
      <c r="AA19" s="1576">
        <f t="shared" si="3"/>
        <v>1</v>
      </c>
      <c r="AB19" s="1576">
        <f t="shared" si="4"/>
        <v>1.0526315789473684</v>
      </c>
      <c r="AC19" s="1576">
        <f t="shared" si="5"/>
        <v>1.0526315789473684</v>
      </c>
    </row>
    <row r="20" spans="1:29" ht="15">
      <c r="A20" s="532"/>
      <c r="B20" s="566"/>
      <c r="C20" s="554" t="s">
        <v>3127</v>
      </c>
      <c r="D20" s="555"/>
      <c r="E20" s="558" t="s">
        <v>3127</v>
      </c>
      <c r="F20" s="555"/>
      <c r="G20" s="558" t="s">
        <v>3107</v>
      </c>
      <c r="H20" s="555"/>
      <c r="I20" s="558" t="s">
        <v>3107</v>
      </c>
      <c r="J20" s="555"/>
      <c r="K20" s="899"/>
      <c r="L20" s="2143"/>
      <c r="M20" s="2135"/>
      <c r="N20" s="2135"/>
      <c r="O20" s="2135"/>
      <c r="P20" s="3475"/>
      <c r="Q20" s="1572"/>
      <c r="R20" s="1573"/>
      <c r="S20" s="1574"/>
      <c r="T20" s="1573"/>
      <c r="U20" s="1574"/>
      <c r="V20" s="1573"/>
      <c r="W20" s="1574"/>
      <c r="X20" s="1567"/>
      <c r="Y20" s="3475"/>
      <c r="Z20" s="1575"/>
      <c r="AA20" s="1576">
        <v>1</v>
      </c>
      <c r="AB20" s="1576">
        <v>1</v>
      </c>
      <c r="AC20" s="1576">
        <v>1</v>
      </c>
    </row>
    <row r="21" spans="1:29" ht="28.5">
      <c r="A21" s="532"/>
      <c r="B21" s="2592" t="s">
        <v>2561</v>
      </c>
      <c r="C21" s="573" t="str">
        <f>估价对象房地状况!C8</f>
        <v>估价对象所在区域基础设施水平</v>
      </c>
      <c r="D21" s="565">
        <v>100</v>
      </c>
      <c r="E21" s="572"/>
      <c r="F21" s="565">
        <f>SUMIF(83:83,E22,84:84)-SUMIF(83:83,C22,84:84)+100</f>
        <v>100</v>
      </c>
      <c r="G21" s="572"/>
      <c r="H21" s="565">
        <f>SUMIF(83:83,G22,84:84)-SUMIF(83:83,C22,84:84)+100</f>
        <v>100</v>
      </c>
      <c r="I21" s="572"/>
      <c r="J21" s="565">
        <f>SUMIF(83:83,I22,84:84)-SUMIF(83:83,C22,84:84)+100</f>
        <v>100</v>
      </c>
      <c r="K21" s="898">
        <f>'不动产比较法-住宅'!K21</f>
        <v>1</v>
      </c>
      <c r="L21" s="2143"/>
      <c r="M21" s="2135"/>
      <c r="N21" s="2135"/>
      <c r="O21" s="2135"/>
      <c r="P21" s="3475"/>
      <c r="Q21" s="2580" t="str">
        <f>B21</f>
        <v>基础设施水平</v>
      </c>
      <c r="R21" s="1573" t="s">
        <v>8</v>
      </c>
      <c r="S21" s="1574">
        <f>F21</f>
        <v>100</v>
      </c>
      <c r="T21" s="1573" t="s">
        <v>8</v>
      </c>
      <c r="U21" s="1574">
        <f>H21</f>
        <v>100</v>
      </c>
      <c r="V21" s="1573" t="s">
        <v>8</v>
      </c>
      <c r="W21" s="1574">
        <f>J21</f>
        <v>100</v>
      </c>
      <c r="X21" s="2582"/>
      <c r="Y21" s="3475"/>
      <c r="Z21" s="2581" t="str">
        <f>Q21</f>
        <v>基础设施水平</v>
      </c>
      <c r="AA21" s="1576">
        <f t="shared" ref="AA21" si="8">D21/F21</f>
        <v>1</v>
      </c>
      <c r="AB21" s="1576">
        <f t="shared" ref="AB21" si="9">D21/H21</f>
        <v>1</v>
      </c>
      <c r="AC21" s="1576">
        <f t="shared" ref="AC21" si="10">D21/J21</f>
        <v>1</v>
      </c>
    </row>
    <row r="22" spans="1:29" ht="15">
      <c r="A22" s="532"/>
      <c r="B22" s="578"/>
      <c r="C22" s="567" t="s">
        <v>3108</v>
      </c>
      <c r="D22" s="555"/>
      <c r="E22" s="576" t="s">
        <v>3108</v>
      </c>
      <c r="F22" s="555"/>
      <c r="G22" s="576" t="s">
        <v>3108</v>
      </c>
      <c r="H22" s="555"/>
      <c r="I22" s="576" t="s">
        <v>3108</v>
      </c>
      <c r="J22" s="555"/>
      <c r="K22" s="2603"/>
      <c r="L22" s="2143"/>
      <c r="M22" s="2135"/>
      <c r="N22" s="2135"/>
      <c r="O22" s="2135"/>
      <c r="P22" s="3475"/>
      <c r="Q22" s="2580"/>
      <c r="R22" s="1573"/>
      <c r="S22" s="1574"/>
      <c r="T22" s="1573"/>
      <c r="U22" s="1574"/>
      <c r="V22" s="1573"/>
      <c r="W22" s="1574"/>
      <c r="X22" s="2582"/>
      <c r="Y22" s="3475"/>
      <c r="Z22" s="2581"/>
      <c r="AA22" s="1576">
        <v>1</v>
      </c>
      <c r="AB22" s="1576">
        <v>1</v>
      </c>
      <c r="AC22" s="1576">
        <v>1</v>
      </c>
    </row>
    <row r="23" spans="1:29" ht="42.75">
      <c r="A23" s="532"/>
      <c r="B23" s="560" t="s">
        <v>778</v>
      </c>
      <c r="C23" s="573" t="str">
        <f>估价对象房地状况!C9</f>
        <v>区域自然环境：；人文环境；综合评价环境状况一般</v>
      </c>
      <c r="D23" s="559">
        <v>100</v>
      </c>
      <c r="E23" s="564"/>
      <c r="F23" s="559">
        <f>SUMIF(85:85,E24,86:86)-SUMIF(85:85,C24,86:86)+100</f>
        <v>97</v>
      </c>
      <c r="G23" s="564"/>
      <c r="H23" s="559">
        <f>SUMIF(85:85,G24,86:86)-SUMIF(85:85,C24,86:86)+100</f>
        <v>97</v>
      </c>
      <c r="I23" s="564"/>
      <c r="J23" s="559">
        <f>SUMIF(85:85,I24,86:86)-SUMIF(85:85,C24,86:86)+100</f>
        <v>97</v>
      </c>
      <c r="K23" s="898">
        <f>'不动产比较法-住宅'!K23</f>
        <v>3</v>
      </c>
      <c r="L23" s="2143"/>
      <c r="M23" s="2135"/>
      <c r="N23" s="2135"/>
      <c r="O23" s="2135"/>
      <c r="P23" s="3475"/>
      <c r="Q23" s="1572" t="str">
        <f>B23</f>
        <v>环境质量</v>
      </c>
      <c r="R23" s="1573" t="s">
        <v>8</v>
      </c>
      <c r="S23" s="1574">
        <f>F23</f>
        <v>97</v>
      </c>
      <c r="T23" s="1573" t="s">
        <v>8</v>
      </c>
      <c r="U23" s="1574">
        <f>H23</f>
        <v>97</v>
      </c>
      <c r="V23" s="1573" t="s">
        <v>8</v>
      </c>
      <c r="W23" s="1574">
        <f>J23</f>
        <v>97</v>
      </c>
      <c r="X23" s="1567"/>
      <c r="Y23" s="3475"/>
      <c r="Z23" s="1575" t="str">
        <f>Q23</f>
        <v>环境质量</v>
      </c>
      <c r="AA23" s="1576">
        <f t="shared" si="3"/>
        <v>1.0309278350515463</v>
      </c>
      <c r="AB23" s="1576">
        <f t="shared" si="4"/>
        <v>1.0309278350515463</v>
      </c>
      <c r="AC23" s="1576">
        <f t="shared" si="5"/>
        <v>1.0309278350515463</v>
      </c>
    </row>
    <row r="24" spans="1:29" ht="15">
      <c r="A24" s="532"/>
      <c r="B24" s="578"/>
      <c r="C24" s="554" t="s">
        <v>3128</v>
      </c>
      <c r="D24" s="555"/>
      <c r="E24" s="558" t="s">
        <v>3311</v>
      </c>
      <c r="F24" s="555"/>
      <c r="G24" s="558" t="s">
        <v>3311</v>
      </c>
      <c r="H24" s="555"/>
      <c r="I24" s="558" t="s">
        <v>3311</v>
      </c>
      <c r="J24" s="555"/>
      <c r="K24" s="899"/>
      <c r="L24" s="2143"/>
      <c r="M24" s="2135"/>
      <c r="N24" s="2135"/>
      <c r="O24" s="2135"/>
      <c r="P24" s="3475"/>
      <c r="Q24" s="1572"/>
      <c r="R24" s="1573"/>
      <c r="S24" s="1574"/>
      <c r="T24" s="1573"/>
      <c r="U24" s="1574"/>
      <c r="V24" s="1573"/>
      <c r="W24" s="1574"/>
      <c r="X24" s="1567"/>
      <c r="Y24" s="3475"/>
      <c r="Z24" s="1575"/>
      <c r="AA24" s="1576">
        <v>1</v>
      </c>
      <c r="AB24" s="1576">
        <v>1</v>
      </c>
      <c r="AC24" s="1576">
        <v>1</v>
      </c>
    </row>
    <row r="25" spans="1:29" ht="27">
      <c r="A25" s="515"/>
      <c r="B25" s="560" t="s">
        <v>548</v>
      </c>
      <c r="C25" s="912"/>
      <c r="D25" s="540">
        <v>100</v>
      </c>
      <c r="E25" s="539"/>
      <c r="F25" s="540">
        <f>SUMIF(87:87,E26,88:88)-SUMIF(87:87,C26,88:88)+100</f>
        <v>100</v>
      </c>
      <c r="G25" s="539"/>
      <c r="H25" s="540">
        <f>SUMIF(87:87,G26,88:88)-SUMIF(87:87,C26,88:88)+100</f>
        <v>100</v>
      </c>
      <c r="I25" s="539"/>
      <c r="J25" s="540">
        <f>SUMIF(87:87,I26,88:88)-SUMIF(87:87,C26,88:88)+100</f>
        <v>100</v>
      </c>
      <c r="K25" s="898">
        <v>1</v>
      </c>
      <c r="L25" s="2143"/>
      <c r="M25" s="2135"/>
      <c r="N25" s="2135"/>
      <c r="O25" s="2135"/>
      <c r="P25" s="3475"/>
      <c r="Q25" s="1572" t="str">
        <f>B25</f>
        <v>毗邻道路的类型与等级</v>
      </c>
      <c r="R25" s="1573" t="s">
        <v>8</v>
      </c>
      <c r="S25" s="1574">
        <f>F25</f>
        <v>100</v>
      </c>
      <c r="T25" s="1573" t="s">
        <v>8</v>
      </c>
      <c r="U25" s="1574">
        <f>H25</f>
        <v>100</v>
      </c>
      <c r="V25" s="1573" t="s">
        <v>8</v>
      </c>
      <c r="W25" s="1574">
        <f>J25</f>
        <v>100</v>
      </c>
      <c r="X25" s="1567"/>
      <c r="Y25" s="3475"/>
      <c r="Z25" s="1575" t="str">
        <f>Q25</f>
        <v>毗邻道路的类型与等级</v>
      </c>
      <c r="AA25" s="1576">
        <f t="shared" si="3"/>
        <v>1</v>
      </c>
      <c r="AB25" s="1576">
        <f t="shared" si="4"/>
        <v>1</v>
      </c>
      <c r="AC25" s="1576">
        <f t="shared" si="5"/>
        <v>1</v>
      </c>
    </row>
    <row r="26" spans="1:29" ht="15">
      <c r="A26" s="515"/>
      <c r="B26" s="566"/>
      <c r="C26" s="580" t="s">
        <v>3109</v>
      </c>
      <c r="D26" s="540"/>
      <c r="E26" s="583" t="s">
        <v>3109</v>
      </c>
      <c r="F26" s="540"/>
      <c r="G26" s="583" t="s">
        <v>3109</v>
      </c>
      <c r="H26" s="540"/>
      <c r="I26" s="583" t="s">
        <v>3109</v>
      </c>
      <c r="J26" s="540"/>
      <c r="K26" s="899"/>
      <c r="L26" s="2143"/>
      <c r="M26" s="2135"/>
      <c r="N26" s="2135"/>
      <c r="O26" s="2135"/>
      <c r="P26" s="3475"/>
      <c r="Q26" s="1572"/>
      <c r="R26" s="1573"/>
      <c r="S26" s="1574"/>
      <c r="T26" s="1573"/>
      <c r="U26" s="1574"/>
      <c r="V26" s="1573"/>
      <c r="W26" s="1574"/>
      <c r="X26" s="1567"/>
      <c r="Y26" s="3475"/>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75"/>
      <c r="Q27" s="1572" t="str">
        <f t="shared" ref="Q27:Q47" si="11">B27</f>
        <v>楼层</v>
      </c>
      <c r="R27" s="1573" t="s">
        <v>8</v>
      </c>
      <c r="S27" s="1574">
        <f>F27</f>
        <v>100</v>
      </c>
      <c r="T27" s="1573" t="s">
        <v>8</v>
      </c>
      <c r="U27" s="1574">
        <f>H27</f>
        <v>100</v>
      </c>
      <c r="V27" s="1573" t="s">
        <v>8</v>
      </c>
      <c r="W27" s="1574">
        <f>J27</f>
        <v>100</v>
      </c>
      <c r="X27" s="1567"/>
      <c r="Y27" s="3475"/>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75"/>
      <c r="Q28" s="1151" t="str">
        <f t="shared" si="11"/>
        <v>朝向</v>
      </c>
      <c r="R28" s="1568" t="s">
        <v>8</v>
      </c>
      <c r="S28" s="1569">
        <f>F28</f>
        <v>100</v>
      </c>
      <c r="T28" s="1568" t="s">
        <v>8</v>
      </c>
      <c r="U28" s="1569">
        <f>H28</f>
        <v>100</v>
      </c>
      <c r="V28" s="1568" t="s">
        <v>8</v>
      </c>
      <c r="W28" s="1569">
        <f>J28</f>
        <v>100</v>
      </c>
      <c r="X28" s="1570"/>
      <c r="Y28" s="3475"/>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75"/>
      <c r="Q29" s="1572">
        <f t="shared" si="11"/>
        <v>111</v>
      </c>
      <c r="R29" s="1573" t="s">
        <v>8</v>
      </c>
      <c r="S29" s="1574">
        <f t="shared" ref="S29:S47" si="12">F29</f>
        <v>100</v>
      </c>
      <c r="T29" s="1573" t="s">
        <v>8</v>
      </c>
      <c r="U29" s="1574">
        <f t="shared" ref="U29:U47" si="13">H29</f>
        <v>100</v>
      </c>
      <c r="V29" s="1573" t="s">
        <v>8</v>
      </c>
      <c r="W29" s="1574">
        <f t="shared" ref="W29:W47" si="14">J29</f>
        <v>100</v>
      </c>
      <c r="X29" s="1567"/>
      <c r="Y29" s="3475"/>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75"/>
      <c r="Q30" s="1572">
        <f t="shared" si="11"/>
        <v>111</v>
      </c>
      <c r="R30" s="1573" t="s">
        <v>8</v>
      </c>
      <c r="S30" s="1574">
        <f t="shared" si="12"/>
        <v>100</v>
      </c>
      <c r="T30" s="1573" t="s">
        <v>8</v>
      </c>
      <c r="U30" s="1574">
        <f t="shared" si="13"/>
        <v>100</v>
      </c>
      <c r="V30" s="1573" t="s">
        <v>8</v>
      </c>
      <c r="W30" s="1574">
        <f t="shared" si="14"/>
        <v>100</v>
      </c>
      <c r="X30" s="1567"/>
      <c r="Y30" s="3475"/>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75"/>
      <c r="Q31" s="1572">
        <f t="shared" si="11"/>
        <v>111</v>
      </c>
      <c r="R31" s="1573" t="s">
        <v>8</v>
      </c>
      <c r="S31" s="1574">
        <f t="shared" si="12"/>
        <v>100</v>
      </c>
      <c r="T31" s="1573" t="s">
        <v>8</v>
      </c>
      <c r="U31" s="1574">
        <f t="shared" si="13"/>
        <v>100</v>
      </c>
      <c r="V31" s="1573" t="s">
        <v>8</v>
      </c>
      <c r="W31" s="1574">
        <f t="shared" si="14"/>
        <v>100</v>
      </c>
      <c r="X31" s="1567"/>
      <c r="Y31" s="3475"/>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75"/>
      <c r="Q32" s="1572">
        <f t="shared" si="11"/>
        <v>111</v>
      </c>
      <c r="R32" s="1573" t="s">
        <v>8</v>
      </c>
      <c r="S32" s="1574">
        <f t="shared" si="12"/>
        <v>100</v>
      </c>
      <c r="T32" s="1573" t="s">
        <v>8</v>
      </c>
      <c r="U32" s="1574">
        <f t="shared" si="13"/>
        <v>100</v>
      </c>
      <c r="V32" s="1573" t="s">
        <v>8</v>
      </c>
      <c r="W32" s="1574">
        <f t="shared" si="14"/>
        <v>100</v>
      </c>
      <c r="X32" s="1567"/>
      <c r="Y32" s="3475"/>
      <c r="Z32" s="1575">
        <f t="shared" si="15"/>
        <v>111</v>
      </c>
      <c r="AA32" s="1576">
        <f t="shared" si="3"/>
        <v>1</v>
      </c>
      <c r="AB32" s="1576">
        <f t="shared" si="4"/>
        <v>1</v>
      </c>
      <c r="AC32" s="1576">
        <f t="shared" si="5"/>
        <v>1</v>
      </c>
    </row>
    <row r="33" spans="1:29" ht="15">
      <c r="A33" s="2908" t="s">
        <v>2758</v>
      </c>
      <c r="B33" s="172" t="s">
        <v>780</v>
      </c>
      <c r="C33" s="916" t="s">
        <v>3111</v>
      </c>
      <c r="D33" s="597">
        <v>100</v>
      </c>
      <c r="E33" s="916" t="s">
        <v>3111</v>
      </c>
      <c r="F33" s="575">
        <f>SUMIF(101:101,E33,102:102)-SUMIF(101:101,C33,102:102)+100</f>
        <v>100</v>
      </c>
      <c r="G33" s="916" t="s">
        <v>3111</v>
      </c>
      <c r="H33" s="540">
        <f>SUMIF(101:101,G33,102:102)-SUMIF(101:101,C33,102:102)+100</f>
        <v>100</v>
      </c>
      <c r="I33" s="916" t="s">
        <v>3111</v>
      </c>
      <c r="J33" s="597">
        <f>SUMIF(101:101,I33,102:102)-SUMIF(101:101,C33,102:102)+100</f>
        <v>100</v>
      </c>
      <c r="K33" s="584">
        <v>5</v>
      </c>
      <c r="L33" s="2143"/>
      <c r="M33" s="2135"/>
      <c r="N33" s="2135"/>
      <c r="O33" s="2135"/>
      <c r="P33" s="3476" t="s">
        <v>550</v>
      </c>
      <c r="Q33" s="1572" t="str">
        <f t="shared" si="11"/>
        <v>建筑类型</v>
      </c>
      <c r="R33" s="1573" t="s">
        <v>8</v>
      </c>
      <c r="S33" s="1574">
        <f t="shared" si="12"/>
        <v>100</v>
      </c>
      <c r="T33" s="1573" t="s">
        <v>8</v>
      </c>
      <c r="U33" s="1574">
        <f t="shared" si="13"/>
        <v>100</v>
      </c>
      <c r="V33" s="1573" t="s">
        <v>8</v>
      </c>
      <c r="W33" s="1574">
        <f t="shared" si="14"/>
        <v>100</v>
      </c>
      <c r="X33" s="1567"/>
      <c r="Y33" s="3477" t="s">
        <v>550</v>
      </c>
      <c r="Z33" s="1575" t="str">
        <f t="shared" si="15"/>
        <v>建筑类型</v>
      </c>
      <c r="AA33" s="1576">
        <f t="shared" si="3"/>
        <v>1</v>
      </c>
      <c r="AB33" s="1576">
        <f t="shared" si="4"/>
        <v>1</v>
      </c>
      <c r="AC33" s="1576">
        <f t="shared" si="5"/>
        <v>1</v>
      </c>
    </row>
    <row r="34" spans="1:29" s="1339" customFormat="1" ht="15">
      <c r="A34" s="603"/>
      <c r="B34" s="527" t="s">
        <v>726</v>
      </c>
      <c r="C34" s="880">
        <f>'不动产比较法-住宅'!C33</f>
        <v>171863.99999999997</v>
      </c>
      <c r="D34" s="255">
        <v>100</v>
      </c>
      <c r="E34" s="880">
        <f>'不动产比较法-住宅'!E33</f>
        <v>615000</v>
      </c>
      <c r="F34" s="863">
        <f>LOOKUP(E34,104:104,105:105)-LOOKUP(C34,104:104,105:105)+100</f>
        <v>103</v>
      </c>
      <c r="G34" s="880">
        <f>'不动产比较法-住宅'!G33</f>
        <v>145200</v>
      </c>
      <c r="H34" s="255">
        <f>LOOKUP(G34,104:104,105:105)-LOOKUP(C34,104:104,105:105)+100</f>
        <v>100</v>
      </c>
      <c r="I34" s="880">
        <v>48803.06</v>
      </c>
      <c r="J34" s="255">
        <f>LOOKUP(I34,104:104,105:105)-LOOKUP(C34,104:104,105:105)+100</f>
        <v>100</v>
      </c>
      <c r="K34" s="581"/>
      <c r="L34" s="2141"/>
      <c r="M34" s="2172"/>
      <c r="N34" s="2172"/>
      <c r="O34" s="2172"/>
      <c r="P34" s="3477"/>
      <c r="Q34" s="1605" t="str">
        <f t="shared" si="11"/>
        <v>项目建筑规模</v>
      </c>
      <c r="R34" s="1577" t="s">
        <v>8</v>
      </c>
      <c r="S34" s="1578">
        <f t="shared" si="12"/>
        <v>103</v>
      </c>
      <c r="T34" s="1577" t="s">
        <v>8</v>
      </c>
      <c r="U34" s="1578">
        <f t="shared" si="13"/>
        <v>100</v>
      </c>
      <c r="V34" s="1577" t="s">
        <v>8</v>
      </c>
      <c r="W34" s="1578">
        <f t="shared" si="14"/>
        <v>100</v>
      </c>
      <c r="X34" s="1579"/>
      <c r="Y34" s="3477"/>
      <c r="Z34" s="1580" t="str">
        <f t="shared" si="15"/>
        <v>项目建筑规模</v>
      </c>
      <c r="AA34" s="1576">
        <f t="shared" si="3"/>
        <v>0.970873786407767</v>
      </c>
      <c r="AB34" s="1576">
        <f t="shared" si="4"/>
        <v>1</v>
      </c>
      <c r="AC34" s="1576">
        <f t="shared" si="5"/>
        <v>1</v>
      </c>
    </row>
    <row r="35" spans="1:29" ht="15">
      <c r="A35" s="594"/>
      <c r="B35" s="527" t="s">
        <v>727</v>
      </c>
      <c r="C35" s="574" t="s">
        <v>3113</v>
      </c>
      <c r="D35" s="540">
        <v>100</v>
      </c>
      <c r="E35" s="574" t="s">
        <v>3113</v>
      </c>
      <c r="F35" s="575">
        <f>SUMIF(106:106,E35,107:107)-SUMIF(106:106,C35,107:107)+100</f>
        <v>100</v>
      </c>
      <c r="G35" s="574" t="s">
        <v>3113</v>
      </c>
      <c r="H35" s="540">
        <f>SUMIF(106:106,G35,107:107)-SUMIF(106:106,C35,107:107)+100</f>
        <v>100</v>
      </c>
      <c r="I35" s="574" t="s">
        <v>3113</v>
      </c>
      <c r="J35" s="540">
        <f>SUMIF(106:106,I35,107:107)-SUMIF(106:106,C35,107:107)+100</f>
        <v>100</v>
      </c>
      <c r="K35" s="584">
        <v>3</v>
      </c>
      <c r="L35" s="2143"/>
      <c r="M35" s="2135"/>
      <c r="N35" s="2135"/>
      <c r="O35" s="2135"/>
      <c r="P35" s="3477"/>
      <c r="Q35" s="1572" t="str">
        <f t="shared" si="11"/>
        <v>建筑结构</v>
      </c>
      <c r="R35" s="1573" t="s">
        <v>8</v>
      </c>
      <c r="S35" s="1574">
        <f t="shared" si="12"/>
        <v>100</v>
      </c>
      <c r="T35" s="1573" t="s">
        <v>8</v>
      </c>
      <c r="U35" s="1574">
        <f t="shared" si="13"/>
        <v>100</v>
      </c>
      <c r="V35" s="1573" t="s">
        <v>8</v>
      </c>
      <c r="W35" s="1574">
        <f t="shared" si="14"/>
        <v>100</v>
      </c>
      <c r="X35" s="1567"/>
      <c r="Y35" s="3477"/>
      <c r="Z35" s="1575" t="str">
        <f t="shared" si="15"/>
        <v>建筑结构</v>
      </c>
      <c r="AA35" s="1576">
        <f t="shared" si="3"/>
        <v>1</v>
      </c>
      <c r="AB35" s="1576">
        <f t="shared" si="4"/>
        <v>1</v>
      </c>
      <c r="AC35" s="1576">
        <f t="shared" si="5"/>
        <v>1</v>
      </c>
    </row>
    <row r="36" spans="1:29" ht="15">
      <c r="A36" s="594"/>
      <c r="B36" s="527" t="s">
        <v>763</v>
      </c>
      <c r="C36" s="574" t="s">
        <v>3116</v>
      </c>
      <c r="D36" s="540">
        <v>100</v>
      </c>
      <c r="E36" s="574" t="s">
        <v>3116</v>
      </c>
      <c r="F36" s="575">
        <f>SUMIF(108:108,E36,109:109)-SUMIF(108:108,C36,109:109)+100</f>
        <v>100</v>
      </c>
      <c r="G36" s="574" t="s">
        <v>3116</v>
      </c>
      <c r="H36" s="540">
        <f>SUMIF(108:108,G36,109:109)-SUMIF(108:108,C36,109:109)+100</f>
        <v>100</v>
      </c>
      <c r="I36" s="574" t="s">
        <v>3116</v>
      </c>
      <c r="J36" s="540">
        <f>SUMIF(108:108,I36,109:109)-SUMIF(108:108,C36,109:109)+100</f>
        <v>100</v>
      </c>
      <c r="K36" s="584">
        <v>2</v>
      </c>
      <c r="L36" s="2143"/>
      <c r="M36" s="2135"/>
      <c r="N36" s="2135"/>
      <c r="O36" s="2135"/>
      <c r="P36" s="3477"/>
      <c r="Q36" s="1572" t="str">
        <f t="shared" si="11"/>
        <v>公共部分装修</v>
      </c>
      <c r="R36" s="1573" t="s">
        <v>8</v>
      </c>
      <c r="S36" s="1574">
        <f t="shared" si="12"/>
        <v>100</v>
      </c>
      <c r="T36" s="1573" t="s">
        <v>8</v>
      </c>
      <c r="U36" s="1574">
        <f t="shared" si="13"/>
        <v>100</v>
      </c>
      <c r="V36" s="1573" t="s">
        <v>8</v>
      </c>
      <c r="W36" s="1574">
        <f t="shared" si="14"/>
        <v>100</v>
      </c>
      <c r="X36" s="1567"/>
      <c r="Y36" s="3477"/>
      <c r="Z36" s="1575" t="str">
        <f t="shared" si="15"/>
        <v>公共部分装修</v>
      </c>
      <c r="AA36" s="1576">
        <f t="shared" si="3"/>
        <v>1</v>
      </c>
      <c r="AB36" s="1576">
        <f t="shared" si="4"/>
        <v>1</v>
      </c>
      <c r="AC36" s="1576">
        <f t="shared" si="5"/>
        <v>1</v>
      </c>
    </row>
    <row r="37" spans="1:29" ht="15">
      <c r="A37" s="594"/>
      <c r="B37" s="527" t="s">
        <v>764</v>
      </c>
      <c r="C37" s="883">
        <v>1</v>
      </c>
      <c r="D37" s="540">
        <v>100</v>
      </c>
      <c r="E37" s="883">
        <v>1</v>
      </c>
      <c r="F37" s="575">
        <f>LOOKUP(E37,111:111,112:112)-LOOKUP(C37,111:111,112:112)+100</f>
        <v>100</v>
      </c>
      <c r="G37" s="883">
        <v>1</v>
      </c>
      <c r="H37" s="575">
        <f>LOOKUP(G37,111:111,112:112)-LOOKUP(C37,111:111,112:112)+100</f>
        <v>100</v>
      </c>
      <c r="I37" s="883">
        <v>1</v>
      </c>
      <c r="J37" s="540">
        <f>LOOKUP(I37,111:111,112:112)-LOOKUP(C37,111:111,112:112)+100</f>
        <v>100</v>
      </c>
      <c r="K37" s="584">
        <v>1</v>
      </c>
      <c r="L37" s="2143"/>
      <c r="M37" s="2135"/>
      <c r="N37" s="2135"/>
      <c r="O37" s="2135"/>
      <c r="P37" s="3477"/>
      <c r="Q37" s="1572" t="str">
        <f t="shared" si="11"/>
        <v>成新度</v>
      </c>
      <c r="R37" s="1573" t="s">
        <v>8</v>
      </c>
      <c r="S37" s="1574">
        <f t="shared" si="12"/>
        <v>100</v>
      </c>
      <c r="T37" s="1573" t="s">
        <v>8</v>
      </c>
      <c r="U37" s="1574">
        <f t="shared" si="13"/>
        <v>100</v>
      </c>
      <c r="V37" s="1573" t="s">
        <v>8</v>
      </c>
      <c r="W37" s="1574">
        <f t="shared" si="14"/>
        <v>100</v>
      </c>
      <c r="X37" s="1567"/>
      <c r="Y37" s="3477"/>
      <c r="Z37" s="1575" t="str">
        <f t="shared" si="15"/>
        <v>成新度</v>
      </c>
      <c r="AA37" s="1576">
        <f t="shared" si="3"/>
        <v>1</v>
      </c>
      <c r="AB37" s="1576">
        <f t="shared" si="4"/>
        <v>1</v>
      </c>
      <c r="AC37" s="1576">
        <f t="shared" si="5"/>
        <v>1</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77"/>
      <c r="Q38" s="1151" t="str">
        <f t="shared" si="11"/>
        <v>写字楼等级</v>
      </c>
      <c r="R38" s="1568" t="s">
        <v>8</v>
      </c>
      <c r="S38" s="1569">
        <f t="shared" si="12"/>
        <v>100</v>
      </c>
      <c r="T38" s="1568" t="s">
        <v>8</v>
      </c>
      <c r="U38" s="1569">
        <f t="shared" si="13"/>
        <v>100</v>
      </c>
      <c r="V38" s="1568" t="s">
        <v>8</v>
      </c>
      <c r="W38" s="1569">
        <f t="shared" si="14"/>
        <v>100</v>
      </c>
      <c r="X38" s="1570"/>
      <c r="Y38" s="3477"/>
      <c r="Z38" s="1150" t="str">
        <f t="shared" si="15"/>
        <v>写字楼等级</v>
      </c>
      <c r="AA38" s="1571">
        <f t="shared" si="3"/>
        <v>1</v>
      </c>
      <c r="AB38" s="1571">
        <f t="shared" si="4"/>
        <v>1</v>
      </c>
      <c r="AC38" s="1571">
        <f t="shared" si="5"/>
        <v>1</v>
      </c>
    </row>
    <row r="39" spans="1:29" ht="15">
      <c r="A39" s="594"/>
      <c r="B39" s="527" t="s">
        <v>782</v>
      </c>
      <c r="C39" s="574" t="s">
        <v>3119</v>
      </c>
      <c r="D39" s="540">
        <v>100</v>
      </c>
      <c r="E39" s="574" t="s">
        <v>3119</v>
      </c>
      <c r="F39" s="575">
        <f>SUMIF(115:115,E39,116:116)-SUMIF(115:115,C39,116:116)+100</f>
        <v>100</v>
      </c>
      <c r="G39" s="574" t="s">
        <v>3119</v>
      </c>
      <c r="H39" s="540">
        <f>SUMIF(115:115,G39,116:116)-SUMIF(115:115,C39,116:116)+100</f>
        <v>100</v>
      </c>
      <c r="I39" s="574" t="s">
        <v>3163</v>
      </c>
      <c r="J39" s="540">
        <f>SUMIF(115:115,I39,116:116)-SUMIF(115:115,C39,116:116)+100</f>
        <v>95</v>
      </c>
      <c r="K39" s="584">
        <v>5</v>
      </c>
      <c r="L39" s="2143"/>
      <c r="M39" s="2135"/>
      <c r="N39" s="2135"/>
      <c r="O39" s="2135"/>
      <c r="P39" s="3477" t="s">
        <v>550</v>
      </c>
      <c r="Q39" s="1572" t="str">
        <f t="shared" si="11"/>
        <v>物业管理</v>
      </c>
      <c r="R39" s="1573" t="s">
        <v>8</v>
      </c>
      <c r="S39" s="1574">
        <f t="shared" si="12"/>
        <v>100</v>
      </c>
      <c r="T39" s="1573" t="s">
        <v>8</v>
      </c>
      <c r="U39" s="1574">
        <f t="shared" si="13"/>
        <v>100</v>
      </c>
      <c r="V39" s="1573" t="s">
        <v>8</v>
      </c>
      <c r="W39" s="1574">
        <f t="shared" si="14"/>
        <v>95</v>
      </c>
      <c r="X39" s="1567"/>
      <c r="Y39" s="3477" t="s">
        <v>550</v>
      </c>
      <c r="Z39" s="1575" t="str">
        <f t="shared" si="15"/>
        <v>物业管理</v>
      </c>
      <c r="AA39" s="1576">
        <f t="shared" si="3"/>
        <v>1</v>
      </c>
      <c r="AB39" s="1576">
        <f t="shared" si="4"/>
        <v>1</v>
      </c>
      <c r="AC39" s="1576">
        <f t="shared" si="5"/>
        <v>1.0526315789473684</v>
      </c>
    </row>
    <row r="40" spans="1:29" ht="15">
      <c r="A40" s="594"/>
      <c r="B40" s="1896" t="s">
        <v>2568</v>
      </c>
      <c r="C40" s="574" t="s">
        <v>3168</v>
      </c>
      <c r="D40" s="540">
        <v>100</v>
      </c>
      <c r="E40" s="574" t="s">
        <v>3168</v>
      </c>
      <c r="F40" s="575">
        <f>SUMIF(117:117,E40,118:118)-SUMIF(117:117,C40,118:118)+100</f>
        <v>100</v>
      </c>
      <c r="G40" s="574" t="s">
        <v>3168</v>
      </c>
      <c r="H40" s="540">
        <f>SUMIF(117:117,G40,118:118)-SUMIF(117:117,C40,118:118)+100</f>
        <v>100</v>
      </c>
      <c r="I40" s="574" t="s">
        <v>3168</v>
      </c>
      <c r="J40" s="540">
        <f>SUMIF(117:117,I40,118:118)-SUMIF(117:117,C40,118:118)+100</f>
        <v>100</v>
      </c>
      <c r="K40" s="584">
        <v>1</v>
      </c>
      <c r="L40" s="2143"/>
      <c r="M40" s="2135"/>
      <c r="N40" s="2135"/>
      <c r="O40" s="2135"/>
      <c r="P40" s="3477"/>
      <c r="Q40" s="1572" t="str">
        <f t="shared" si="11"/>
        <v>市政基础设施</v>
      </c>
      <c r="R40" s="1573" t="s">
        <v>8</v>
      </c>
      <c r="S40" s="1574">
        <f t="shared" si="12"/>
        <v>100</v>
      </c>
      <c r="T40" s="1573" t="s">
        <v>8</v>
      </c>
      <c r="U40" s="1574">
        <f t="shared" si="13"/>
        <v>100</v>
      </c>
      <c r="V40" s="1573" t="s">
        <v>8</v>
      </c>
      <c r="W40" s="1574">
        <f t="shared" si="14"/>
        <v>100</v>
      </c>
      <c r="X40" s="1567"/>
      <c r="Y40" s="3477"/>
      <c r="Z40" s="1575" t="str">
        <f t="shared" si="15"/>
        <v>市政基础设施</v>
      </c>
      <c r="AA40" s="1576">
        <f t="shared" si="3"/>
        <v>1</v>
      </c>
      <c r="AB40" s="1576">
        <f t="shared" si="4"/>
        <v>1</v>
      </c>
      <c r="AC40" s="1576">
        <f t="shared" si="5"/>
        <v>1</v>
      </c>
    </row>
    <row r="41" spans="1:29" ht="15">
      <c r="A41" s="594"/>
      <c r="B41" s="527" t="s">
        <v>767</v>
      </c>
      <c r="C41" s="583" t="s">
        <v>3124</v>
      </c>
      <c r="D41" s="540">
        <v>100</v>
      </c>
      <c r="E41" s="583" t="s">
        <v>3124</v>
      </c>
      <c r="F41" s="575">
        <f>SUMIF(119:119,E41,120:120)-SUMIF(119:119,C41,120:120)+100</f>
        <v>100</v>
      </c>
      <c r="G41" s="583" t="s">
        <v>3157</v>
      </c>
      <c r="H41" s="540">
        <f>SUMIF(119:119,G41,120:120)-SUMIF(119:119,C41,120:120)+100</f>
        <v>120</v>
      </c>
      <c r="I41" s="583" t="s">
        <v>3157</v>
      </c>
      <c r="J41" s="540">
        <f>SUMIF(119:119,I41,120:120)-SUMIF(119:119,C41,120:120)+100</f>
        <v>120</v>
      </c>
      <c r="K41" s="584">
        <v>20</v>
      </c>
      <c r="L41" s="2143"/>
      <c r="M41" s="2135"/>
      <c r="N41" s="2135"/>
      <c r="O41" s="2135"/>
      <c r="P41" s="3477"/>
      <c r="Q41" s="1572" t="str">
        <f t="shared" si="11"/>
        <v>层高</v>
      </c>
      <c r="R41" s="1573" t="s">
        <v>8</v>
      </c>
      <c r="S41" s="1574">
        <f t="shared" si="12"/>
        <v>100</v>
      </c>
      <c r="T41" s="1573" t="s">
        <v>8</v>
      </c>
      <c r="U41" s="1574">
        <f t="shared" si="13"/>
        <v>120</v>
      </c>
      <c r="V41" s="1573" t="s">
        <v>8</v>
      </c>
      <c r="W41" s="1574">
        <f t="shared" si="14"/>
        <v>120</v>
      </c>
      <c r="X41" s="1567"/>
      <c r="Y41" s="3477"/>
      <c r="Z41" s="1575" t="str">
        <f t="shared" si="15"/>
        <v>层高</v>
      </c>
      <c r="AA41" s="1576">
        <f t="shared" si="3"/>
        <v>1</v>
      </c>
      <c r="AB41" s="1576">
        <f t="shared" si="4"/>
        <v>0.83333333333333337</v>
      </c>
      <c r="AC41" s="1576">
        <f t="shared" si="5"/>
        <v>0.83333333333333337</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77"/>
      <c r="Q42" s="1605" t="str">
        <f t="shared" si="11"/>
        <v>单套建筑面积</v>
      </c>
      <c r="R42" s="1577" t="s">
        <v>8</v>
      </c>
      <c r="S42" s="1578">
        <f t="shared" si="12"/>
        <v>100</v>
      </c>
      <c r="T42" s="1577" t="s">
        <v>8</v>
      </c>
      <c r="U42" s="1578">
        <f t="shared" si="13"/>
        <v>100</v>
      </c>
      <c r="V42" s="1577" t="s">
        <v>8</v>
      </c>
      <c r="W42" s="1578">
        <f t="shared" si="14"/>
        <v>100</v>
      </c>
      <c r="X42" s="1579"/>
      <c r="Y42" s="3477"/>
      <c r="Z42" s="1580" t="str">
        <f t="shared" si="15"/>
        <v>单套建筑面积</v>
      </c>
      <c r="AA42" s="1576">
        <f t="shared" si="3"/>
        <v>1</v>
      </c>
      <c r="AB42" s="1576">
        <f t="shared" si="4"/>
        <v>1</v>
      </c>
      <c r="AC42" s="1576">
        <f t="shared" si="5"/>
        <v>1</v>
      </c>
    </row>
    <row r="43" spans="1:29" ht="15">
      <c r="A43" s="594"/>
      <c r="B43" s="527" t="s">
        <v>770</v>
      </c>
      <c r="C43" s="574" t="s">
        <v>3116</v>
      </c>
      <c r="D43" s="540">
        <v>100</v>
      </c>
      <c r="E43" s="574" t="s">
        <v>3116</v>
      </c>
      <c r="F43" s="575">
        <f>SUMIF(123:123,E43,124:124)-SUMIF(123:123,C43,124:124)+100</f>
        <v>100</v>
      </c>
      <c r="G43" s="574" t="s">
        <v>3149</v>
      </c>
      <c r="H43" s="540">
        <f>SUMIF(123:123,G43,124:124)-SUMIF(123:123,C43,124:124)+100</f>
        <v>91</v>
      </c>
      <c r="I43" s="574" t="s">
        <v>3149</v>
      </c>
      <c r="J43" s="540">
        <f>SUMIF(123:123,I43,124:124)-SUMIF(123:123,C43,124:124)+100</f>
        <v>91</v>
      </c>
      <c r="K43" s="584">
        <v>3</v>
      </c>
      <c r="L43" s="2143"/>
      <c r="M43" s="2135"/>
      <c r="N43" s="2135"/>
      <c r="O43" s="2135"/>
      <c r="P43" s="3477"/>
      <c r="Q43" s="1572" t="str">
        <f t="shared" si="11"/>
        <v>内部装修</v>
      </c>
      <c r="R43" s="1573" t="s">
        <v>8</v>
      </c>
      <c r="S43" s="1574">
        <f t="shared" si="12"/>
        <v>100</v>
      </c>
      <c r="T43" s="1573" t="s">
        <v>8</v>
      </c>
      <c r="U43" s="1574">
        <f t="shared" si="13"/>
        <v>91</v>
      </c>
      <c r="V43" s="1573" t="s">
        <v>8</v>
      </c>
      <c r="W43" s="1574">
        <f t="shared" si="14"/>
        <v>91</v>
      </c>
      <c r="X43" s="1567"/>
      <c r="Y43" s="3477"/>
      <c r="Z43" s="1575" t="str">
        <f t="shared" si="15"/>
        <v>内部装修</v>
      </c>
      <c r="AA43" s="1576">
        <f t="shared" si="3"/>
        <v>1</v>
      </c>
      <c r="AB43" s="1576">
        <f t="shared" si="4"/>
        <v>1.098901098901099</v>
      </c>
      <c r="AC43" s="1576">
        <f t="shared" si="5"/>
        <v>1.098901098901099</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77"/>
      <c r="Q44" s="1572" t="str">
        <f t="shared" si="11"/>
        <v>内部装修维护情况</v>
      </c>
      <c r="R44" s="1573" t="s">
        <v>8</v>
      </c>
      <c r="S44" s="1574">
        <f t="shared" si="12"/>
        <v>100</v>
      </c>
      <c r="T44" s="1573" t="s">
        <v>8</v>
      </c>
      <c r="U44" s="1574">
        <f t="shared" si="13"/>
        <v>100</v>
      </c>
      <c r="V44" s="1573" t="s">
        <v>8</v>
      </c>
      <c r="W44" s="1574">
        <f t="shared" si="14"/>
        <v>100</v>
      </c>
      <c r="X44" s="1567"/>
      <c r="Y44" s="3477"/>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77"/>
      <c r="Q45" s="1151">
        <f t="shared" si="11"/>
        <v>111</v>
      </c>
      <c r="R45" s="1568" t="s">
        <v>8</v>
      </c>
      <c r="S45" s="1569">
        <f t="shared" si="12"/>
        <v>100</v>
      </c>
      <c r="T45" s="1568" t="s">
        <v>8</v>
      </c>
      <c r="U45" s="1569">
        <f t="shared" si="13"/>
        <v>100</v>
      </c>
      <c r="V45" s="1568" t="s">
        <v>8</v>
      </c>
      <c r="W45" s="1569">
        <f t="shared" si="14"/>
        <v>100</v>
      </c>
      <c r="X45" s="1570"/>
      <c r="Y45" s="3477"/>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77"/>
      <c r="Q46" s="1572">
        <f t="shared" si="11"/>
        <v>111</v>
      </c>
      <c r="R46" s="1573" t="s">
        <v>8</v>
      </c>
      <c r="S46" s="1574">
        <f t="shared" si="12"/>
        <v>100</v>
      </c>
      <c r="T46" s="1573" t="s">
        <v>8</v>
      </c>
      <c r="U46" s="1574">
        <f t="shared" si="13"/>
        <v>100</v>
      </c>
      <c r="V46" s="1573" t="s">
        <v>8</v>
      </c>
      <c r="W46" s="1574">
        <f t="shared" si="14"/>
        <v>100</v>
      </c>
      <c r="X46" s="1567"/>
      <c r="Y46" s="3477"/>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54"/>
      <c r="Q47" s="1572">
        <f t="shared" si="11"/>
        <v>111</v>
      </c>
      <c r="R47" s="1573" t="s">
        <v>8</v>
      </c>
      <c r="S47" s="1574">
        <f t="shared" si="12"/>
        <v>100</v>
      </c>
      <c r="T47" s="1573" t="s">
        <v>8</v>
      </c>
      <c r="U47" s="1574">
        <f t="shared" si="13"/>
        <v>100</v>
      </c>
      <c r="V47" s="1573" t="s">
        <v>8</v>
      </c>
      <c r="W47" s="1574">
        <f t="shared" si="14"/>
        <v>100</v>
      </c>
      <c r="X47" s="1567"/>
      <c r="Y47" s="3554"/>
      <c r="Z47" s="1575">
        <f t="shared" si="15"/>
        <v>111</v>
      </c>
      <c r="AA47" s="1576">
        <f t="shared" si="3"/>
        <v>1</v>
      </c>
      <c r="AB47" s="1576">
        <f t="shared" si="4"/>
        <v>1</v>
      </c>
      <c r="AC47" s="1576">
        <f t="shared" si="5"/>
        <v>1</v>
      </c>
    </row>
    <row r="48" spans="1:29" ht="15">
      <c r="A48" s="607" t="s">
        <v>736</v>
      </c>
      <c r="B48" s="887"/>
      <c r="C48" s="2628" t="s">
        <v>1</v>
      </c>
      <c r="D48" s="2629"/>
      <c r="E48" s="2630">
        <v>18000</v>
      </c>
      <c r="F48" s="2631"/>
      <c r="G48" s="2632">
        <v>16000</v>
      </c>
      <c r="H48" s="2633"/>
      <c r="I48" s="2630">
        <v>17000</v>
      </c>
      <c r="J48" s="2633"/>
      <c r="K48" s="1611"/>
      <c r="L48" s="2145"/>
      <c r="M48" s="2135"/>
      <c r="N48" s="2135"/>
      <c r="O48" s="2135"/>
      <c r="P48" s="3437" t="str">
        <f>A48</f>
        <v>成交单价（元/平方米）</v>
      </c>
      <c r="Q48" s="3439"/>
      <c r="R48" s="3553">
        <f>E48</f>
        <v>18000</v>
      </c>
      <c r="S48" s="3553"/>
      <c r="T48" s="3553">
        <f>G48</f>
        <v>16000</v>
      </c>
      <c r="U48" s="3553"/>
      <c r="V48" s="3553">
        <f>I48</f>
        <v>17000</v>
      </c>
      <c r="W48" s="3553"/>
      <c r="X48" s="1559"/>
      <c r="Y48" s="1581"/>
      <c r="Z48" s="1559"/>
      <c r="AA48" s="1559"/>
      <c r="AB48" s="1559"/>
      <c r="AC48" s="1559"/>
    </row>
    <row r="49" spans="1:29" ht="15.75" thickBot="1">
      <c r="A49" s="615" t="s">
        <v>2763</v>
      </c>
      <c r="B49" s="888"/>
      <c r="C49" s="2634">
        <f>R50</f>
        <v>16443</v>
      </c>
      <c r="D49" s="2635"/>
      <c r="E49" s="2636">
        <f>R49</f>
        <v>16329</v>
      </c>
      <c r="F49" s="2636"/>
      <c r="G49" s="2634">
        <f>T49</f>
        <v>15900</v>
      </c>
      <c r="H49" s="2635"/>
      <c r="I49" s="2636">
        <f>V49</f>
        <v>17099</v>
      </c>
      <c r="J49" s="2635"/>
      <c r="K49" s="1612"/>
      <c r="L49" s="2145"/>
      <c r="M49" s="2135"/>
      <c r="N49" s="2135"/>
      <c r="O49" s="2135"/>
      <c r="P49" s="3437" t="str">
        <f>A49</f>
        <v>比较价格（元/平方米）</v>
      </c>
      <c r="Q49" s="3439"/>
      <c r="R49" s="3553">
        <f>IF(F1="售价",ROUND(PRODUCT(R48,AA7:AA47),0),ROUND(PRODUCT(R48,AA7:AA47),1))</f>
        <v>16329</v>
      </c>
      <c r="S49" s="3553"/>
      <c r="T49" s="3553">
        <f>IF(F1="售价",ROUND(PRODUCT(T48,AB7:AB47),0),ROUND(PRODUCT(T48,AB7:AB47),1))</f>
        <v>15900</v>
      </c>
      <c r="U49" s="3553"/>
      <c r="V49" s="3553">
        <f>IF(F1="售价",ROUND(PRODUCT(V48,AC7:AC47),0),ROUND(PRODUCT(V48,AC7:AC47),1))</f>
        <v>17099</v>
      </c>
      <c r="W49" s="3553"/>
      <c r="X49" s="1559"/>
      <c r="Y49" s="1559"/>
      <c r="Z49" s="1559"/>
      <c r="AA49" s="1559"/>
      <c r="AB49" s="1559"/>
      <c r="AC49" s="1559"/>
    </row>
    <row r="50" spans="1:29" ht="15.75" thickBot="1">
      <c r="A50" s="621" t="s">
        <v>2940</v>
      </c>
      <c r="B50" s="622"/>
      <c r="C50" s="2637">
        <f>R50</f>
        <v>16443</v>
      </c>
      <c r="D50" s="2637"/>
      <c r="E50" s="2637"/>
      <c r="F50" s="2637"/>
      <c r="G50" s="2637"/>
      <c r="H50" s="2637"/>
      <c r="I50" s="2637"/>
      <c r="J50" s="2637"/>
      <c r="K50" s="1613"/>
      <c r="L50" s="2145"/>
      <c r="M50" s="2135"/>
      <c r="N50" s="2135"/>
      <c r="O50" s="2135"/>
      <c r="P50" s="3557" t="str">
        <f>A50</f>
        <v>估价对象XX用房的比较价格（楼面单价，元/平方米）</v>
      </c>
      <c r="Q50" s="3437"/>
      <c r="R50" s="3552">
        <f>IF(F1="售价",ROUND(AVERAGE(R49:V49),0),ROUND(AVERAGE(R49:V49),1))</f>
        <v>16443</v>
      </c>
      <c r="S50" s="3552"/>
      <c r="T50" s="3552"/>
      <c r="U50" s="3552"/>
      <c r="V50" s="3552"/>
      <c r="W50" s="355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0.10233327209259602</v>
      </c>
      <c r="F53" s="627" t="str">
        <f>IF(OR(E53&gt;=0.3,E53&lt;=-0.3),"超过30%","")</f>
        <v/>
      </c>
      <c r="G53" s="626">
        <f>IF(G48&lt;G49,G49/G48-1,G48/G49-1)</f>
        <v>6.2893081761006275E-3</v>
      </c>
      <c r="H53" s="627" t="str">
        <f>IF(OR(G53&gt;=0.3,G53&lt;=-0.3),"超过30%","")</f>
        <v/>
      </c>
      <c r="I53" s="626">
        <f>IF(I48&lt;I49,I49/I48-1,I48/I49-1)</f>
        <v>5.8235294117647829E-3</v>
      </c>
      <c r="J53" s="627" t="str">
        <f>IF(OR(I53&gt;=0.3,I53&lt;=-0.3),"超过30%","")</f>
        <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2.6981132075471592E-2</v>
      </c>
      <c r="F54" s="627" t="str">
        <f>IF(OR(E54&gt;=0.2,E54&lt;=-0.2),"超过20%","")</f>
        <v/>
      </c>
      <c r="G54" s="626">
        <f>IF(G49&lt;I49,I49/G49-1,G49/I49-1)</f>
        <v>7.5408805031446535E-2</v>
      </c>
      <c r="H54" s="627" t="str">
        <f>IF(OR(G54&gt;=0.2,G54&lt;=-0.2),"超过20%","")</f>
        <v/>
      </c>
      <c r="I54" s="626">
        <f>IF(I49&lt;E49,E49/I49-1,I49/E49-1)</f>
        <v>4.7155367750627786E-2</v>
      </c>
      <c r="J54" s="627" t="str">
        <f>IF(OR(I54&gt;=0.2,I54&lt;=-0.2),"超过20%","")</f>
        <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0.125</v>
      </c>
      <c r="F55" s="627" t="str">
        <f>IF(OR(E55&gt;=0.3,E55&lt;=-0.3),"超过30%","")</f>
        <v/>
      </c>
      <c r="G55" s="626">
        <f>IF(G48&lt;I48,I48/G48-1,G48/I48-1)</f>
        <v>6.25E-2</v>
      </c>
      <c r="H55" s="627" t="str">
        <f>IF(OR(G55&gt;=0.3,G55&lt;=-0.3),"超过30%","")</f>
        <v/>
      </c>
      <c r="I55" s="626">
        <f>IF(I48&lt;E48,E48/I48-1,I48/E48-1)</f>
        <v>5.8823529411764719E-2</v>
      </c>
      <c r="J55" s="627" t="str">
        <f>IF(OR(I55&gt;=0.3,I55&lt;=-0.3),"超过30%","")</f>
        <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529</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t="str">
        <f>C9</f>
        <v>商住公寓</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v>100</v>
      </c>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99</v>
      </c>
      <c r="G67" s="679">
        <f>F67-$K10</f>
        <v>98</v>
      </c>
      <c r="H67" s="679">
        <f>G67-$K10</f>
        <v>97</v>
      </c>
      <c r="I67" s="679">
        <f>H67-$K10</f>
        <v>96</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5（含）-6</v>
      </c>
      <c r="I68" s="682" t="str">
        <f t="shared" si="17"/>
        <v>6（含）-7</v>
      </c>
      <c r="J68" s="682" t="str">
        <f t="shared" si="17"/>
        <v>7（含）-8</v>
      </c>
      <c r="K68" s="682" t="str">
        <f t="shared" si="17"/>
        <v>8（含）-9</v>
      </c>
      <c r="L68" s="682" t="str">
        <f t="shared" si="17"/>
        <v>9（含）-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v>0</v>
      </c>
      <c r="D69" s="541">
        <v>1</v>
      </c>
      <c r="E69" s="541">
        <v>2</v>
      </c>
      <c r="F69" s="541">
        <v>3</v>
      </c>
      <c r="G69" s="541">
        <v>4</v>
      </c>
      <c r="H69" s="541">
        <v>5</v>
      </c>
      <c r="I69" s="541">
        <v>6</v>
      </c>
      <c r="J69" s="541">
        <v>7</v>
      </c>
      <c r="K69" s="541">
        <v>8</v>
      </c>
      <c r="L69" s="541">
        <v>9</v>
      </c>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98</v>
      </c>
      <c r="E70" s="679">
        <f t="shared" si="18"/>
        <v>96</v>
      </c>
      <c r="F70" s="679">
        <f t="shared" si="18"/>
        <v>94</v>
      </c>
      <c r="G70" s="679">
        <f t="shared" si="18"/>
        <v>92</v>
      </c>
      <c r="H70" s="679">
        <f t="shared" si="18"/>
        <v>90</v>
      </c>
      <c r="I70" s="679">
        <f t="shared" si="18"/>
        <v>88</v>
      </c>
      <c r="J70" s="679">
        <f t="shared" si="18"/>
        <v>86</v>
      </c>
      <c r="K70" s="679">
        <f t="shared" si="18"/>
        <v>84</v>
      </c>
      <c r="L70" s="679">
        <f t="shared" si="18"/>
        <v>82</v>
      </c>
      <c r="M70" s="680">
        <f t="shared" si="18"/>
        <v>80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97</v>
      </c>
      <c r="E78" s="679">
        <f>D78-$K15</f>
        <v>94</v>
      </c>
      <c r="F78" s="679">
        <f>E78-$K15</f>
        <v>91</v>
      </c>
      <c r="G78" s="679">
        <f>F78-$K15</f>
        <v>88</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97</v>
      </c>
      <c r="E80" s="679">
        <f>D80-$K17</f>
        <v>94</v>
      </c>
      <c r="F80" s="679">
        <f>E80-$K17</f>
        <v>91</v>
      </c>
      <c r="G80" s="679">
        <f>F80-$K17</f>
        <v>88</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2560</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95</v>
      </c>
      <c r="E82" s="679">
        <f>D82-$K19</f>
        <v>90</v>
      </c>
      <c r="F82" s="679">
        <f>E82-$K19</f>
        <v>85</v>
      </c>
      <c r="G82" s="679">
        <f>F82-$K19</f>
        <v>80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2561</v>
      </c>
      <c r="C83" s="2599" t="s">
        <v>2562</v>
      </c>
      <c r="D83" s="2599" t="s">
        <v>2563</v>
      </c>
      <c r="E83" s="2599" t="s">
        <v>2564</v>
      </c>
      <c r="F83" s="2599" t="s">
        <v>2565</v>
      </c>
      <c r="G83" s="2599" t="s">
        <v>2566</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99</v>
      </c>
      <c r="E84" s="679">
        <f>D84-$K21</f>
        <v>98</v>
      </c>
      <c r="F84" s="679">
        <f>E84-$K21</f>
        <v>97</v>
      </c>
      <c r="G84" s="679">
        <f>F84-$K21</f>
        <v>96</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97</v>
      </c>
      <c r="E86" s="679">
        <f>D86-$K23</f>
        <v>94</v>
      </c>
      <c r="F86" s="679">
        <f>E86-$K23</f>
        <v>91</v>
      </c>
      <c r="G86" s="679">
        <f>F86-$K23</f>
        <v>88</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3238" t="s">
        <v>3164</v>
      </c>
      <c r="D87" s="3238" t="s">
        <v>3165</v>
      </c>
      <c r="E87" s="3238" t="s">
        <v>3166</v>
      </c>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99</v>
      </c>
      <c r="E88" s="679">
        <f t="shared" si="19"/>
        <v>98</v>
      </c>
      <c r="F88" s="679">
        <f t="shared" si="19"/>
        <v>97</v>
      </c>
      <c r="G88" s="679">
        <f t="shared" si="19"/>
        <v>96</v>
      </c>
      <c r="H88" s="679">
        <f t="shared" si="19"/>
        <v>95</v>
      </c>
      <c r="I88" s="679">
        <f t="shared" si="19"/>
        <v>94</v>
      </c>
      <c r="J88" s="679">
        <f t="shared" si="19"/>
        <v>93</v>
      </c>
      <c r="K88" s="679">
        <f t="shared" si="19"/>
        <v>92</v>
      </c>
      <c r="L88" s="679">
        <f t="shared" si="19"/>
        <v>91</v>
      </c>
      <c r="M88" s="679">
        <f t="shared" si="19"/>
        <v>90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3237" t="s">
        <v>3167</v>
      </c>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95</v>
      </c>
      <c r="E102" s="679">
        <f t="shared" si="22"/>
        <v>90</v>
      </c>
      <c r="F102" s="679">
        <f t="shared" si="22"/>
        <v>85</v>
      </c>
      <c r="G102" s="679">
        <f t="shared" si="22"/>
        <v>80</v>
      </c>
      <c r="H102" s="679">
        <f t="shared" si="22"/>
        <v>75</v>
      </c>
      <c r="I102" s="679">
        <f t="shared" si="22"/>
        <v>70</v>
      </c>
      <c r="J102" s="679">
        <f t="shared" si="22"/>
        <v>65</v>
      </c>
      <c r="K102" s="679">
        <f t="shared" si="22"/>
        <v>60</v>
      </c>
      <c r="L102" s="679">
        <f t="shared" si="22"/>
        <v>55</v>
      </c>
      <c r="M102" s="680">
        <f t="shared" si="22"/>
        <v>50</v>
      </c>
      <c r="N102" s="2167"/>
      <c r="O102" s="2167"/>
      <c r="P102" s="2215"/>
      <c r="Q102" s="2159"/>
      <c r="R102" s="2146"/>
      <c r="S102" s="2146"/>
      <c r="T102" s="2146"/>
      <c r="U102" s="2146"/>
      <c r="V102" s="2146"/>
      <c r="W102" s="2146"/>
      <c r="X102" s="2146"/>
      <c r="Y102" s="2146"/>
      <c r="Z102" s="2146"/>
      <c r="AA102" s="2146"/>
      <c r="AB102" s="2146"/>
      <c r="AC102" s="2146"/>
    </row>
    <row r="103" spans="1:29" ht="29.25" thickTop="1">
      <c r="A103" s="669"/>
      <c r="B103" s="673" t="s">
        <v>748</v>
      </c>
      <c r="C103" s="708" t="str">
        <f>C104&amp;"(含)"&amp;"-"&amp;D104</f>
        <v>0(含)-200000</v>
      </c>
      <c r="D103" s="708" t="str">
        <f t="shared" ref="D103:L103" si="23">D104&amp;"(含)"&amp;"-"&amp;E104</f>
        <v>200000(含)-400000</v>
      </c>
      <c r="E103" s="708" t="str">
        <f t="shared" si="23"/>
        <v>400000(含)-600000</v>
      </c>
      <c r="F103" s="708" t="str">
        <f t="shared" si="23"/>
        <v>600000(含)-800000</v>
      </c>
      <c r="G103" s="708" t="str">
        <f t="shared" si="23"/>
        <v>800000(含)-1000000</v>
      </c>
      <c r="H103" s="708" t="str">
        <f t="shared" si="23"/>
        <v>1000000(含)-1200000</v>
      </c>
      <c r="I103" s="708" t="str">
        <f t="shared" si="23"/>
        <v>1200000(含)-1400000</v>
      </c>
      <c r="J103" s="708" t="str">
        <f t="shared" si="23"/>
        <v>1400000(含)-1600000</v>
      </c>
      <c r="K103" s="708" t="str">
        <f t="shared" si="23"/>
        <v>1600000(含)-1800000</v>
      </c>
      <c r="L103" s="708" t="str">
        <f t="shared" si="23"/>
        <v>1800000(含)-2000000</v>
      </c>
      <c r="M103" s="711" t="str">
        <f>M104&amp;"(含)"&amp;"-"&amp;P104</f>
        <v>2000000(含)-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v>0</v>
      </c>
      <c r="D104" s="730">
        <v>200000</v>
      </c>
      <c r="E104" s="730">
        <v>400000</v>
      </c>
      <c r="F104" s="730">
        <v>600000</v>
      </c>
      <c r="G104" s="730">
        <v>800000</v>
      </c>
      <c r="H104" s="730">
        <v>1000000</v>
      </c>
      <c r="I104" s="730">
        <v>1200000</v>
      </c>
      <c r="J104" s="730">
        <v>1400000</v>
      </c>
      <c r="K104" s="730">
        <v>1600000</v>
      </c>
      <c r="L104" s="730">
        <v>1800000</v>
      </c>
      <c r="M104" s="730">
        <v>2000000</v>
      </c>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v>100</v>
      </c>
      <c r="D105" s="671">
        <v>101</v>
      </c>
      <c r="E105" s="692">
        <v>102</v>
      </c>
      <c r="F105" s="671">
        <v>103</v>
      </c>
      <c r="G105" s="692">
        <v>104</v>
      </c>
      <c r="H105" s="671">
        <v>105</v>
      </c>
      <c r="I105" s="692">
        <v>106</v>
      </c>
      <c r="J105" s="671">
        <v>107</v>
      </c>
      <c r="K105" s="692">
        <v>108</v>
      </c>
      <c r="L105" s="671">
        <v>109</v>
      </c>
      <c r="M105" s="692">
        <v>110</v>
      </c>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t="str">
        <f>'不动产比较法-住宅'!C105</f>
        <v>钢混</v>
      </c>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97</v>
      </c>
      <c r="E107" s="679">
        <f t="shared" si="24"/>
        <v>94</v>
      </c>
      <c r="F107" s="679">
        <f t="shared" si="24"/>
        <v>91</v>
      </c>
      <c r="G107" s="679">
        <f t="shared" si="24"/>
        <v>88</v>
      </c>
      <c r="H107" s="679">
        <f t="shared" si="24"/>
        <v>85</v>
      </c>
      <c r="I107" s="679">
        <f t="shared" si="24"/>
        <v>82</v>
      </c>
      <c r="J107" s="679">
        <f t="shared" si="24"/>
        <v>79</v>
      </c>
      <c r="K107" s="679">
        <f t="shared" si="24"/>
        <v>76</v>
      </c>
      <c r="L107" s="679">
        <f t="shared" si="24"/>
        <v>73</v>
      </c>
      <c r="M107" s="680">
        <f t="shared" si="24"/>
        <v>70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t="str">
        <f>'不动产比较法-住宅'!C109</f>
        <v>精装修</v>
      </c>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101</v>
      </c>
      <c r="E112" s="679">
        <f t="shared" ref="E112:M112" si="26">D112+$K37</f>
        <v>102</v>
      </c>
      <c r="F112" s="679">
        <f t="shared" si="26"/>
        <v>103</v>
      </c>
      <c r="G112" s="679">
        <f t="shared" si="26"/>
        <v>104</v>
      </c>
      <c r="H112" s="679">
        <f t="shared" si="26"/>
        <v>105</v>
      </c>
      <c r="I112" s="679">
        <f t="shared" si="26"/>
        <v>106</v>
      </c>
      <c r="J112" s="679">
        <f t="shared" si="26"/>
        <v>107</v>
      </c>
      <c r="K112" s="679">
        <f t="shared" si="26"/>
        <v>108</v>
      </c>
      <c r="L112" s="679">
        <f t="shared" si="26"/>
        <v>109</v>
      </c>
      <c r="M112" s="679">
        <f t="shared" si="26"/>
        <v>110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t="str">
        <f>'不动产比较法-住宅'!C114</f>
        <v>品牌</v>
      </c>
      <c r="D115" s="688" t="str">
        <f>'不动产比较法-住宅'!D114</f>
        <v>专业</v>
      </c>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95</v>
      </c>
      <c r="E116" s="679">
        <f t="shared" si="28"/>
        <v>90</v>
      </c>
      <c r="F116" s="679">
        <f t="shared" si="28"/>
        <v>85</v>
      </c>
      <c r="G116" s="679">
        <f t="shared" si="28"/>
        <v>80</v>
      </c>
      <c r="H116" s="679">
        <f t="shared" si="28"/>
        <v>75</v>
      </c>
      <c r="I116" s="679">
        <f t="shared" si="28"/>
        <v>70</v>
      </c>
      <c r="J116" s="679">
        <f t="shared" si="28"/>
        <v>65</v>
      </c>
      <c r="K116" s="679">
        <f t="shared" si="28"/>
        <v>60</v>
      </c>
      <c r="L116" s="679">
        <f t="shared" si="28"/>
        <v>55</v>
      </c>
      <c r="M116" s="680">
        <f t="shared" si="28"/>
        <v>50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2559</v>
      </c>
      <c r="C117" s="688" t="str">
        <f>'不动产比较法-住宅'!C116</f>
        <v>六通</v>
      </c>
      <c r="D117" s="3238" t="s">
        <v>3169</v>
      </c>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t="s">
        <v>3158</v>
      </c>
      <c r="D119" s="3239" t="s">
        <v>3159</v>
      </c>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80</v>
      </c>
      <c r="E120" s="679">
        <f t="shared" ref="E120:M120" si="29">D120-$K41</f>
        <v>60</v>
      </c>
      <c r="F120" s="679">
        <f t="shared" si="29"/>
        <v>40</v>
      </c>
      <c r="G120" s="679">
        <f t="shared" si="29"/>
        <v>20</v>
      </c>
      <c r="H120" s="679">
        <f t="shared" si="29"/>
        <v>0</v>
      </c>
      <c r="I120" s="679">
        <f t="shared" si="29"/>
        <v>-20</v>
      </c>
      <c r="J120" s="679">
        <f t="shared" si="29"/>
        <v>-40</v>
      </c>
      <c r="K120" s="679">
        <f t="shared" si="29"/>
        <v>-60</v>
      </c>
      <c r="L120" s="679">
        <f t="shared" si="29"/>
        <v>-80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t="s">
        <v>3170</v>
      </c>
      <c r="D121" s="688" t="s">
        <v>3171</v>
      </c>
      <c r="E121" s="688" t="s">
        <v>3172</v>
      </c>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v>100</v>
      </c>
      <c r="D122" s="692">
        <v>99</v>
      </c>
      <c r="E122" s="692">
        <v>98</v>
      </c>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3238" t="s">
        <v>3117</v>
      </c>
      <c r="D123" s="688"/>
      <c r="E123" s="688"/>
      <c r="F123" s="3239" t="s">
        <v>3126</v>
      </c>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97</v>
      </c>
      <c r="E124" s="679">
        <f t="shared" si="30"/>
        <v>94</v>
      </c>
      <c r="F124" s="679">
        <f t="shared" si="30"/>
        <v>91</v>
      </c>
      <c r="G124" s="679">
        <f t="shared" si="30"/>
        <v>88</v>
      </c>
      <c r="H124" s="679">
        <f t="shared" si="30"/>
        <v>85</v>
      </c>
      <c r="I124" s="679">
        <f t="shared" si="30"/>
        <v>82</v>
      </c>
      <c r="J124" s="679">
        <f t="shared" si="30"/>
        <v>79</v>
      </c>
      <c r="K124" s="679">
        <f t="shared" si="30"/>
        <v>76</v>
      </c>
      <c r="L124" s="679">
        <f t="shared" si="30"/>
        <v>73</v>
      </c>
      <c r="M124" s="680">
        <f t="shared" si="30"/>
        <v>70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445" t="s">
        <v>522</v>
      </c>
      <c r="D4" s="3446"/>
      <c r="E4" s="3480" t="s">
        <v>523</v>
      </c>
      <c r="F4" s="3481"/>
      <c r="G4" s="3445" t="s">
        <v>524</v>
      </c>
      <c r="H4" s="3446"/>
      <c r="I4" s="3445" t="s">
        <v>525</v>
      </c>
      <c r="J4" s="3446"/>
      <c r="K4" s="514" t="s">
        <v>526</v>
      </c>
      <c r="L4" s="2134"/>
      <c r="M4" s="2135"/>
      <c r="N4" s="2135"/>
      <c r="O4" s="2135"/>
      <c r="P4" s="3447" t="s">
        <v>527</v>
      </c>
      <c r="Q4" s="3448"/>
      <c r="R4" s="3453" t="s">
        <v>523</v>
      </c>
      <c r="S4" s="3454"/>
      <c r="T4" s="3453" t="s">
        <v>524</v>
      </c>
      <c r="U4" s="3454"/>
      <c r="V4" s="3440" t="s">
        <v>525</v>
      </c>
      <c r="W4" s="3440"/>
      <c r="X4" s="1567"/>
      <c r="Y4" s="3453" t="s">
        <v>527</v>
      </c>
      <c r="Z4" s="3454"/>
      <c r="AA4" s="3442" t="s">
        <v>523</v>
      </c>
      <c r="AB4" s="3443" t="s">
        <v>524</v>
      </c>
      <c r="AC4" s="3442" t="s">
        <v>525</v>
      </c>
    </row>
    <row r="5" spans="1:29" ht="15">
      <c r="A5" s="515"/>
      <c r="B5" s="516"/>
      <c r="C5" s="3461" t="s">
        <v>2934</v>
      </c>
      <c r="D5" s="3462"/>
      <c r="E5" s="3482" t="s">
        <v>2935</v>
      </c>
      <c r="F5" s="3483"/>
      <c r="G5" s="3461" t="s">
        <v>2936</v>
      </c>
      <c r="H5" s="3462"/>
      <c r="I5" s="3461" t="s">
        <v>2937</v>
      </c>
      <c r="J5" s="3462"/>
      <c r="K5" s="514"/>
      <c r="L5" s="2134"/>
      <c r="M5" s="2135"/>
      <c r="N5" s="2135"/>
      <c r="O5" s="2135"/>
      <c r="P5" s="3449"/>
      <c r="Q5" s="3450"/>
      <c r="R5" s="3455"/>
      <c r="S5" s="3456"/>
      <c r="T5" s="3455"/>
      <c r="U5" s="3456"/>
      <c r="V5" s="3440"/>
      <c r="W5" s="3440"/>
      <c r="X5" s="1567"/>
      <c r="Y5" s="3455"/>
      <c r="Z5" s="3456"/>
      <c r="AA5" s="3443"/>
      <c r="AB5" s="3443"/>
      <c r="AC5" s="3443"/>
    </row>
    <row r="6" spans="1:29" ht="15.75" thickBot="1">
      <c r="A6" s="517"/>
      <c r="B6" s="518"/>
      <c r="C6" s="3459" t="s">
        <v>2938</v>
      </c>
      <c r="D6" s="3460"/>
      <c r="E6" s="3478" t="s">
        <v>2938</v>
      </c>
      <c r="F6" s="3479"/>
      <c r="G6" s="3459" t="s">
        <v>2938</v>
      </c>
      <c r="H6" s="3460"/>
      <c r="I6" s="3459" t="s">
        <v>2938</v>
      </c>
      <c r="J6" s="3460"/>
      <c r="K6" s="514" t="s">
        <v>528</v>
      </c>
      <c r="L6" s="2134"/>
      <c r="M6" s="2135"/>
      <c r="N6" s="2135"/>
      <c r="O6" s="2135"/>
      <c r="P6" s="3451"/>
      <c r="Q6" s="3452"/>
      <c r="R6" s="3455"/>
      <c r="S6" s="3456"/>
      <c r="T6" s="3457"/>
      <c r="U6" s="3458"/>
      <c r="V6" s="3440"/>
      <c r="W6" s="3440"/>
      <c r="X6" s="1567"/>
      <c r="Y6" s="3457"/>
      <c r="Z6" s="3458"/>
      <c r="AA6" s="3444"/>
      <c r="AB6" s="3444"/>
      <c r="AC6" s="3444"/>
    </row>
    <row r="7" spans="1:29" s="1220" customFormat="1" ht="15.75" thickBot="1">
      <c r="A7" s="2913"/>
      <c r="B7" s="2920"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71" t="s">
        <v>530</v>
      </c>
      <c r="Q7" s="3473"/>
      <c r="R7" s="1568" t="s">
        <v>8</v>
      </c>
      <c r="S7" s="1569">
        <f t="shared" ref="S7:S15" si="0">F7</f>
        <v>0</v>
      </c>
      <c r="T7" s="1568" t="s">
        <v>8</v>
      </c>
      <c r="U7" s="1569">
        <f t="shared" ref="U7:U15" si="1">H7</f>
        <v>0</v>
      </c>
      <c r="V7" s="1568" t="s">
        <v>8</v>
      </c>
      <c r="W7" s="1569">
        <f t="shared" ref="W7:W15" si="2">J7</f>
        <v>0</v>
      </c>
      <c r="X7" s="1570"/>
      <c r="Y7" s="3471" t="s">
        <v>530</v>
      </c>
      <c r="Z7" s="3472"/>
      <c r="AA7" s="1571" t="e">
        <f>D7/F7</f>
        <v>#DIV/0!</v>
      </c>
      <c r="AB7" s="1571" t="e">
        <f>D7/H7</f>
        <v>#DIV/0!</v>
      </c>
      <c r="AC7" s="1571"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71" t="s">
        <v>533</v>
      </c>
      <c r="Q8" s="3472"/>
      <c r="R8" s="1568" t="s">
        <v>8</v>
      </c>
      <c r="S8" s="1569">
        <f t="shared" si="0"/>
        <v>0</v>
      </c>
      <c r="T8" s="1568" t="s">
        <v>8</v>
      </c>
      <c r="U8" s="1569">
        <f t="shared" si="1"/>
        <v>0</v>
      </c>
      <c r="V8" s="1568" t="s">
        <v>8</v>
      </c>
      <c r="W8" s="1569">
        <f t="shared" si="2"/>
        <v>0</v>
      </c>
      <c r="X8" s="1570"/>
      <c r="Y8" s="3471" t="s">
        <v>533</v>
      </c>
      <c r="Z8" s="3472"/>
      <c r="AA8" s="1571" t="e">
        <f t="shared" ref="AA8:AA40" si="3">D8/F8</f>
        <v>#DIV/0!</v>
      </c>
      <c r="AB8" s="1571" t="e">
        <f t="shared" ref="AB8:AB40" si="4">D8/H8</f>
        <v>#DIV/0!</v>
      </c>
      <c r="AC8" s="1571" t="e">
        <f t="shared" ref="AC8:AC40" si="5">D8/J8</f>
        <v>#DIV/0!</v>
      </c>
    </row>
    <row r="9" spans="1:29" s="1220" customFormat="1" ht="15">
      <c r="A9" s="2915"/>
      <c r="B9" s="2922" t="s">
        <v>2759</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39" t="s">
        <v>535</v>
      </c>
      <c r="Q9" s="1151" t="str">
        <f t="shared" ref="Q9:Q15" si="6">B9</f>
        <v>用途</v>
      </c>
      <c r="R9" s="1568" t="s">
        <v>8</v>
      </c>
      <c r="S9" s="1569">
        <f t="shared" si="0"/>
        <v>100</v>
      </c>
      <c r="T9" s="1568" t="s">
        <v>8</v>
      </c>
      <c r="U9" s="1569">
        <f t="shared" si="1"/>
        <v>100</v>
      </c>
      <c r="V9" s="1568" t="s">
        <v>8</v>
      </c>
      <c r="W9" s="1569">
        <f t="shared" si="2"/>
        <v>100</v>
      </c>
      <c r="X9" s="1570"/>
      <c r="Y9" s="338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2917"/>
      <c r="B11" s="2921"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39"/>
      <c r="Q11" s="1151" t="str">
        <f t="shared" si="6"/>
        <v>容积率</v>
      </c>
      <c r="R11" s="1568" t="s">
        <v>8</v>
      </c>
      <c r="S11" s="1569" t="e">
        <f t="shared" si="0"/>
        <v>#N/A</v>
      </c>
      <c r="T11" s="1568" t="s">
        <v>8</v>
      </c>
      <c r="U11" s="1569" t="e">
        <f t="shared" si="1"/>
        <v>#N/A</v>
      </c>
      <c r="V11" s="1568" t="s">
        <v>8</v>
      </c>
      <c r="W11" s="1569" t="e">
        <f t="shared" si="2"/>
        <v>#N/A</v>
      </c>
      <c r="X11" s="1570"/>
      <c r="Y11" s="338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439"/>
      <c r="Q12" s="1151">
        <f t="shared" si="6"/>
        <v>111</v>
      </c>
      <c r="R12" s="1568" t="s">
        <v>8</v>
      </c>
      <c r="S12" s="1569">
        <f t="shared" si="0"/>
        <v>100</v>
      </c>
      <c r="T12" s="1568" t="s">
        <v>8</v>
      </c>
      <c r="U12" s="1569">
        <f t="shared" si="1"/>
        <v>100</v>
      </c>
      <c r="V12" s="1568" t="s">
        <v>8</v>
      </c>
      <c r="W12" s="1569">
        <f t="shared" si="2"/>
        <v>100</v>
      </c>
      <c r="X12" s="1570"/>
      <c r="Y12" s="3385"/>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439"/>
      <c r="Q13" s="1151">
        <f t="shared" si="6"/>
        <v>111</v>
      </c>
      <c r="R13" s="1568" t="s">
        <v>8</v>
      </c>
      <c r="S13" s="1569">
        <f t="shared" si="0"/>
        <v>100</v>
      </c>
      <c r="T13" s="1568" t="s">
        <v>8</v>
      </c>
      <c r="U13" s="1569">
        <f t="shared" si="1"/>
        <v>100</v>
      </c>
      <c r="V13" s="1568" t="s">
        <v>8</v>
      </c>
      <c r="W13" s="1569">
        <f t="shared" si="2"/>
        <v>100</v>
      </c>
      <c r="X13" s="1570"/>
      <c r="Y13" s="3385"/>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439"/>
      <c r="Q14" s="1151">
        <f t="shared" si="6"/>
        <v>111</v>
      </c>
      <c r="R14" s="1568" t="s">
        <v>8</v>
      </c>
      <c r="S14" s="1569">
        <f t="shared" si="0"/>
        <v>100</v>
      </c>
      <c r="T14" s="1568" t="s">
        <v>8</v>
      </c>
      <c r="U14" s="1569">
        <f t="shared" si="1"/>
        <v>100</v>
      </c>
      <c r="V14" s="1568" t="s">
        <v>8</v>
      </c>
      <c r="W14" s="1569">
        <f t="shared" si="2"/>
        <v>100</v>
      </c>
      <c r="X14" s="1570"/>
      <c r="Y14" s="3385"/>
      <c r="Z14" s="1150">
        <f t="shared" si="7"/>
        <v>111</v>
      </c>
      <c r="AA14" s="1571">
        <f t="shared" si="3"/>
        <v>1</v>
      </c>
      <c r="AB14" s="1571">
        <f t="shared" si="4"/>
        <v>1</v>
      </c>
      <c r="AC14" s="1571">
        <f t="shared" si="5"/>
        <v>1</v>
      </c>
    </row>
    <row r="15" spans="1:29" ht="57">
      <c r="A15" s="2911" t="s">
        <v>2757</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74" t="s">
        <v>540</v>
      </c>
      <c r="Q15" s="1572" t="str">
        <f t="shared" si="6"/>
        <v>产业集聚程度</v>
      </c>
      <c r="R15" s="1573" t="s">
        <v>8</v>
      </c>
      <c r="S15" s="1574">
        <f t="shared" si="0"/>
        <v>100</v>
      </c>
      <c r="T15" s="1573" t="s">
        <v>8</v>
      </c>
      <c r="U15" s="1574">
        <f t="shared" si="1"/>
        <v>100</v>
      </c>
      <c r="V15" s="1573" t="s">
        <v>8</v>
      </c>
      <c r="W15" s="1574">
        <f t="shared" si="2"/>
        <v>100</v>
      </c>
      <c r="X15" s="1567"/>
      <c r="Y15" s="3474"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75"/>
      <c r="Q16" s="1572"/>
      <c r="R16" s="1573"/>
      <c r="S16" s="1574"/>
      <c r="T16" s="1573"/>
      <c r="U16" s="1574"/>
      <c r="V16" s="1573"/>
      <c r="W16" s="1574"/>
      <c r="X16" s="1567"/>
      <c r="Y16" s="3475"/>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75"/>
      <c r="Q17" s="1572" t="str">
        <f>B17</f>
        <v>交通便捷度</v>
      </c>
      <c r="R17" s="1573" t="s">
        <v>8</v>
      </c>
      <c r="S17" s="1574">
        <f>F17</f>
        <v>100</v>
      </c>
      <c r="T17" s="1573" t="s">
        <v>8</v>
      </c>
      <c r="U17" s="1574">
        <f>H17</f>
        <v>100</v>
      </c>
      <c r="V17" s="1573" t="s">
        <v>8</v>
      </c>
      <c r="W17" s="1574">
        <f>J17</f>
        <v>100</v>
      </c>
      <c r="X17" s="1567"/>
      <c r="Y17" s="347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75"/>
      <c r="Q18" s="1572"/>
      <c r="R18" s="1573"/>
      <c r="S18" s="1574"/>
      <c r="T18" s="1573"/>
      <c r="U18" s="1574"/>
      <c r="V18" s="1573"/>
      <c r="W18" s="1574"/>
      <c r="X18" s="1567"/>
      <c r="Y18" s="3475"/>
      <c r="Z18" s="1575"/>
      <c r="AA18" s="1576">
        <v>1</v>
      </c>
      <c r="AB18" s="1576">
        <v>1</v>
      </c>
      <c r="AC18" s="1576">
        <v>1</v>
      </c>
    </row>
    <row r="19" spans="1:29" ht="42.75">
      <c r="A19" s="532"/>
      <c r="B19" s="2604" t="s">
        <v>2549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75"/>
      <c r="Q19" s="1572" t="str">
        <f>B19</f>
        <v>公共配套设施</v>
      </c>
      <c r="R19" s="1573" t="s">
        <v>8</v>
      </c>
      <c r="S19" s="1574">
        <f>F19</f>
        <v>100</v>
      </c>
      <c r="T19" s="1573" t="s">
        <v>8</v>
      </c>
      <c r="U19" s="1574">
        <f>H19</f>
        <v>100</v>
      </c>
      <c r="V19" s="1573" t="s">
        <v>8</v>
      </c>
      <c r="W19" s="1574">
        <f>J19</f>
        <v>100</v>
      </c>
      <c r="X19" s="1567"/>
      <c r="Y19" s="347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75"/>
      <c r="Q20" s="1572"/>
      <c r="R20" s="1573"/>
      <c r="S20" s="1574"/>
      <c r="T20" s="1573"/>
      <c r="U20" s="1574"/>
      <c r="V20" s="1573"/>
      <c r="W20" s="1574"/>
      <c r="X20" s="1567"/>
      <c r="Y20" s="3475"/>
      <c r="Z20" s="1575"/>
      <c r="AA20" s="1576">
        <v>1</v>
      </c>
      <c r="AB20" s="1576">
        <v>1</v>
      </c>
      <c r="AC20" s="1576">
        <v>1</v>
      </c>
    </row>
    <row r="21" spans="1:29" ht="28.5">
      <c r="A21" s="532"/>
      <c r="B21" s="2592" t="s">
        <v>2561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75"/>
      <c r="Q21" s="2580" t="str">
        <f>B21</f>
        <v>基础设施水平</v>
      </c>
      <c r="R21" s="1573" t="s">
        <v>8</v>
      </c>
      <c r="S21" s="1574">
        <f>F21</f>
        <v>100</v>
      </c>
      <c r="T21" s="1573" t="s">
        <v>8</v>
      </c>
      <c r="U21" s="1574">
        <f>H21</f>
        <v>100</v>
      </c>
      <c r="V21" s="1573" t="s">
        <v>8</v>
      </c>
      <c r="W21" s="1574">
        <f>J21</f>
        <v>100</v>
      </c>
      <c r="X21" s="2582"/>
      <c r="Y21" s="3475"/>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75"/>
      <c r="Q22" s="2580"/>
      <c r="R22" s="1573"/>
      <c r="S22" s="1574"/>
      <c r="T22" s="1573"/>
      <c r="U22" s="1574"/>
      <c r="V22" s="1573"/>
      <c r="W22" s="1574"/>
      <c r="X22" s="2582"/>
      <c r="Y22" s="3475"/>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75"/>
      <c r="Q23" s="1572" t="str">
        <f>B23</f>
        <v>环境质量</v>
      </c>
      <c r="R23" s="1573" t="s">
        <v>8</v>
      </c>
      <c r="S23" s="1574">
        <f>F23</f>
        <v>100</v>
      </c>
      <c r="T23" s="1573" t="s">
        <v>8</v>
      </c>
      <c r="U23" s="1574">
        <f>H23</f>
        <v>100</v>
      </c>
      <c r="V23" s="1573" t="s">
        <v>8</v>
      </c>
      <c r="W23" s="1574">
        <f>J23</f>
        <v>100</v>
      </c>
      <c r="X23" s="1567"/>
      <c r="Y23" s="3475"/>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75"/>
      <c r="Q24" s="1572"/>
      <c r="R24" s="1573"/>
      <c r="S24" s="1574"/>
      <c r="T24" s="1573"/>
      <c r="U24" s="1574"/>
      <c r="V24" s="1573"/>
      <c r="W24" s="1574"/>
      <c r="X24" s="1567"/>
      <c r="Y24" s="347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75"/>
      <c r="Q25" s="1572">
        <f>B25</f>
        <v>111</v>
      </c>
      <c r="R25" s="1573" t="s">
        <v>8</v>
      </c>
      <c r="S25" s="1574">
        <f>F25</f>
        <v>100</v>
      </c>
      <c r="T25" s="1573" t="s">
        <v>8</v>
      </c>
      <c r="U25" s="1574">
        <f>H25</f>
        <v>100</v>
      </c>
      <c r="V25" s="1573" t="s">
        <v>8</v>
      </c>
      <c r="W25" s="1574">
        <f>J25</f>
        <v>100</v>
      </c>
      <c r="X25" s="1567"/>
      <c r="Y25" s="347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75"/>
      <c r="Q26" s="1572">
        <f t="shared" ref="Q26:Q40" si="11">B26</f>
        <v>111</v>
      </c>
      <c r="R26" s="1573" t="s">
        <v>8</v>
      </c>
      <c r="S26" s="1574">
        <f>F26</f>
        <v>100</v>
      </c>
      <c r="T26" s="1573" t="s">
        <v>8</v>
      </c>
      <c r="U26" s="1574">
        <f>H26</f>
        <v>100</v>
      </c>
      <c r="V26" s="1573" t="s">
        <v>8</v>
      </c>
      <c r="W26" s="1574">
        <f>J26</f>
        <v>100</v>
      </c>
      <c r="X26" s="1567"/>
      <c r="Y26" s="3475"/>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75"/>
      <c r="Q27" s="1151">
        <f t="shared" si="11"/>
        <v>111</v>
      </c>
      <c r="R27" s="1568" t="s">
        <v>8</v>
      </c>
      <c r="S27" s="1569">
        <f>F27</f>
        <v>100</v>
      </c>
      <c r="T27" s="1568" t="s">
        <v>8</v>
      </c>
      <c r="U27" s="1569">
        <f>H27</f>
        <v>100</v>
      </c>
      <c r="V27" s="1568" t="s">
        <v>8</v>
      </c>
      <c r="W27" s="1569">
        <f>J27</f>
        <v>100</v>
      </c>
      <c r="X27" s="1570"/>
      <c r="Y27" s="3475"/>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75"/>
      <c r="Q28" s="1572">
        <f t="shared" si="11"/>
        <v>111</v>
      </c>
      <c r="R28" s="1573" t="s">
        <v>8</v>
      </c>
      <c r="S28" s="1574">
        <f t="shared" ref="S28:S40" si="12">F28</f>
        <v>100</v>
      </c>
      <c r="T28" s="1573" t="s">
        <v>8</v>
      </c>
      <c r="U28" s="1574">
        <f t="shared" ref="U28:U40" si="13">H28</f>
        <v>100</v>
      </c>
      <c r="V28" s="1573" t="s">
        <v>8</v>
      </c>
      <c r="W28" s="1574">
        <f t="shared" ref="W28:W40" si="14">J28</f>
        <v>100</v>
      </c>
      <c r="X28" s="1567"/>
      <c r="Y28" s="3475"/>
      <c r="Z28" s="1575">
        <f t="shared" ref="Z28:Z40" si="15">Q28</f>
        <v>111</v>
      </c>
      <c r="AA28" s="1576">
        <f t="shared" si="3"/>
        <v>1</v>
      </c>
      <c r="AB28" s="1576">
        <f t="shared" si="4"/>
        <v>1</v>
      </c>
      <c r="AC28" s="1576">
        <f t="shared" si="5"/>
        <v>1</v>
      </c>
    </row>
    <row r="29" spans="1:29" ht="15">
      <c r="A29" s="2908" t="s">
        <v>2758</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76" t="s">
        <v>550</v>
      </c>
      <c r="Q29" s="1572" t="str">
        <f t="shared" si="11"/>
        <v>建筑类型</v>
      </c>
      <c r="R29" s="1573" t="s">
        <v>8</v>
      </c>
      <c r="S29" s="1574">
        <f t="shared" si="12"/>
        <v>100</v>
      </c>
      <c r="T29" s="1573" t="s">
        <v>8</v>
      </c>
      <c r="U29" s="1574">
        <f t="shared" si="13"/>
        <v>100</v>
      </c>
      <c r="V29" s="1573" t="s">
        <v>8</v>
      </c>
      <c r="W29" s="1574">
        <f t="shared" si="14"/>
        <v>100</v>
      </c>
      <c r="X29" s="1567"/>
      <c r="Y29" s="3477"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77"/>
      <c r="Q30" s="1605" t="str">
        <f t="shared" si="11"/>
        <v>项目建筑规模</v>
      </c>
      <c r="R30" s="1577" t="s">
        <v>8</v>
      </c>
      <c r="S30" s="1578" t="e">
        <f t="shared" si="12"/>
        <v>#N/A</v>
      </c>
      <c r="T30" s="1577" t="s">
        <v>8</v>
      </c>
      <c r="U30" s="1578" t="e">
        <f t="shared" si="13"/>
        <v>#N/A</v>
      </c>
      <c r="V30" s="1577" t="s">
        <v>8</v>
      </c>
      <c r="W30" s="1578" t="e">
        <f t="shared" si="14"/>
        <v>#N/A</v>
      </c>
      <c r="X30" s="1579"/>
      <c r="Y30" s="3477"/>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77"/>
      <c r="Q31" s="1572" t="str">
        <f t="shared" si="11"/>
        <v>建筑结构</v>
      </c>
      <c r="R31" s="1573" t="s">
        <v>8</v>
      </c>
      <c r="S31" s="1574">
        <f t="shared" si="12"/>
        <v>100</v>
      </c>
      <c r="T31" s="1573" t="s">
        <v>8</v>
      </c>
      <c r="U31" s="1574">
        <f t="shared" si="13"/>
        <v>100</v>
      </c>
      <c r="V31" s="1573" t="s">
        <v>8</v>
      </c>
      <c r="W31" s="1574">
        <f t="shared" si="14"/>
        <v>100</v>
      </c>
      <c r="X31" s="1567"/>
      <c r="Y31" s="3477"/>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77"/>
      <c r="Q32" s="1572" t="str">
        <f t="shared" si="11"/>
        <v>公共部分装修</v>
      </c>
      <c r="R32" s="1573" t="s">
        <v>8</v>
      </c>
      <c r="S32" s="1574">
        <f t="shared" si="12"/>
        <v>100</v>
      </c>
      <c r="T32" s="1573" t="s">
        <v>8</v>
      </c>
      <c r="U32" s="1574">
        <f t="shared" si="13"/>
        <v>100</v>
      </c>
      <c r="V32" s="1573" t="s">
        <v>8</v>
      </c>
      <c r="W32" s="1574">
        <f t="shared" si="14"/>
        <v>100</v>
      </c>
      <c r="X32" s="1567"/>
      <c r="Y32" s="3477"/>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77"/>
      <c r="Q33" s="1572" t="str">
        <f t="shared" si="11"/>
        <v>成新度</v>
      </c>
      <c r="R33" s="1573" t="s">
        <v>8</v>
      </c>
      <c r="S33" s="1574" t="e">
        <f t="shared" si="12"/>
        <v>#N/A</v>
      </c>
      <c r="T33" s="1573" t="s">
        <v>8</v>
      </c>
      <c r="U33" s="1574" t="e">
        <f t="shared" si="13"/>
        <v>#N/A</v>
      </c>
      <c r="V33" s="1573" t="s">
        <v>8</v>
      </c>
      <c r="W33" s="1574" t="e">
        <f t="shared" si="14"/>
        <v>#N/A</v>
      </c>
      <c r="X33" s="1567"/>
      <c r="Y33" s="3477"/>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77"/>
      <c r="Q34" s="1151" t="str">
        <f t="shared" si="11"/>
        <v>物业管理</v>
      </c>
      <c r="R34" s="1568" t="s">
        <v>8</v>
      </c>
      <c r="S34" s="1569">
        <f t="shared" si="12"/>
        <v>100</v>
      </c>
      <c r="T34" s="1568" t="s">
        <v>8</v>
      </c>
      <c r="U34" s="1569">
        <f t="shared" si="13"/>
        <v>100</v>
      </c>
      <c r="V34" s="1568" t="s">
        <v>8</v>
      </c>
      <c r="W34" s="1569">
        <f t="shared" si="14"/>
        <v>100</v>
      </c>
      <c r="X34" s="1570"/>
      <c r="Y34" s="3477"/>
      <c r="Z34" s="1150" t="str">
        <f t="shared" si="15"/>
        <v>物业管理</v>
      </c>
      <c r="AA34" s="1571">
        <f t="shared" si="3"/>
        <v>1</v>
      </c>
      <c r="AB34" s="1571">
        <f t="shared" si="4"/>
        <v>1</v>
      </c>
      <c r="AC34" s="1571">
        <f t="shared" si="5"/>
        <v>1</v>
      </c>
    </row>
    <row r="35" spans="1:29" ht="15">
      <c r="A35" s="594"/>
      <c r="B35" s="1896"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77" t="s">
        <v>550</v>
      </c>
      <c r="Q35" s="1572" t="str">
        <f t="shared" si="11"/>
        <v>市政基础设施</v>
      </c>
      <c r="R35" s="1573" t="s">
        <v>8</v>
      </c>
      <c r="S35" s="1574">
        <f t="shared" si="12"/>
        <v>100</v>
      </c>
      <c r="T35" s="1573" t="s">
        <v>8</v>
      </c>
      <c r="U35" s="1574">
        <f t="shared" si="13"/>
        <v>100</v>
      </c>
      <c r="V35" s="1573" t="s">
        <v>8</v>
      </c>
      <c r="W35" s="1574">
        <f t="shared" si="14"/>
        <v>100</v>
      </c>
      <c r="X35" s="1567"/>
      <c r="Y35" s="3477"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77"/>
      <c r="Q36" s="1572" t="str">
        <f t="shared" si="11"/>
        <v>内部装修</v>
      </c>
      <c r="R36" s="1573" t="s">
        <v>8</v>
      </c>
      <c r="S36" s="1574">
        <f t="shared" si="12"/>
        <v>100</v>
      </c>
      <c r="T36" s="1573" t="s">
        <v>8</v>
      </c>
      <c r="U36" s="1574">
        <f t="shared" si="13"/>
        <v>100</v>
      </c>
      <c r="V36" s="1573" t="s">
        <v>8</v>
      </c>
      <c r="W36" s="1574">
        <f t="shared" si="14"/>
        <v>100</v>
      </c>
      <c r="X36" s="1567"/>
      <c r="Y36" s="3477"/>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77"/>
      <c r="Q37" s="1572" t="str">
        <f t="shared" si="11"/>
        <v>内部装修状况</v>
      </c>
      <c r="R37" s="1573" t="s">
        <v>8</v>
      </c>
      <c r="S37" s="1574">
        <f t="shared" si="12"/>
        <v>100</v>
      </c>
      <c r="T37" s="1573" t="s">
        <v>8</v>
      </c>
      <c r="U37" s="1574">
        <f t="shared" si="13"/>
        <v>100</v>
      </c>
      <c r="V37" s="1573" t="s">
        <v>8</v>
      </c>
      <c r="W37" s="1574">
        <f t="shared" si="14"/>
        <v>100</v>
      </c>
      <c r="X37" s="1567"/>
      <c r="Y37" s="3477"/>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77"/>
      <c r="Q38" s="1605">
        <f t="shared" si="11"/>
        <v>111</v>
      </c>
      <c r="R38" s="1577" t="s">
        <v>8</v>
      </c>
      <c r="S38" s="1578">
        <f t="shared" si="12"/>
        <v>100</v>
      </c>
      <c r="T38" s="1577" t="s">
        <v>8</v>
      </c>
      <c r="U38" s="1578">
        <f t="shared" si="13"/>
        <v>100</v>
      </c>
      <c r="V38" s="1577" t="s">
        <v>8</v>
      </c>
      <c r="W38" s="1578">
        <f t="shared" si="14"/>
        <v>100</v>
      </c>
      <c r="X38" s="1579"/>
      <c r="Y38" s="3477"/>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77"/>
      <c r="Q39" s="1572">
        <f t="shared" si="11"/>
        <v>111</v>
      </c>
      <c r="R39" s="1573" t="s">
        <v>8</v>
      </c>
      <c r="S39" s="1574">
        <f t="shared" si="12"/>
        <v>100</v>
      </c>
      <c r="T39" s="1573" t="s">
        <v>8</v>
      </c>
      <c r="U39" s="1574">
        <f t="shared" si="13"/>
        <v>100</v>
      </c>
      <c r="V39" s="1573" t="s">
        <v>8</v>
      </c>
      <c r="W39" s="1574">
        <f t="shared" si="14"/>
        <v>100</v>
      </c>
      <c r="X39" s="1567"/>
      <c r="Y39" s="3477"/>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54"/>
      <c r="Q40" s="1572">
        <f t="shared" si="11"/>
        <v>111</v>
      </c>
      <c r="R40" s="1573" t="s">
        <v>8</v>
      </c>
      <c r="S40" s="1574">
        <f t="shared" si="12"/>
        <v>100</v>
      </c>
      <c r="T40" s="1573" t="s">
        <v>8</v>
      </c>
      <c r="U40" s="1574">
        <f t="shared" si="13"/>
        <v>100</v>
      </c>
      <c r="V40" s="1573" t="s">
        <v>8</v>
      </c>
      <c r="W40" s="1574">
        <f t="shared" si="14"/>
        <v>100</v>
      </c>
      <c r="X40" s="1567"/>
      <c r="Y40" s="3554"/>
      <c r="Z40" s="1575">
        <f t="shared" si="15"/>
        <v>111</v>
      </c>
      <c r="AA40" s="1576">
        <f t="shared" si="3"/>
        <v>1</v>
      </c>
      <c r="AB40" s="1576">
        <f t="shared" si="4"/>
        <v>1</v>
      </c>
      <c r="AC40" s="1576">
        <f t="shared" si="5"/>
        <v>1</v>
      </c>
    </row>
    <row r="41" spans="1:29" ht="15">
      <c r="A41" s="607" t="s">
        <v>736</v>
      </c>
      <c r="B41" s="887"/>
      <c r="C41" s="2628" t="s">
        <v>1</v>
      </c>
      <c r="D41" s="2629"/>
      <c r="E41" s="2630"/>
      <c r="F41" s="2631"/>
      <c r="G41" s="2632"/>
      <c r="H41" s="2633"/>
      <c r="I41" s="2630"/>
      <c r="J41" s="2633"/>
      <c r="K41" s="1611"/>
      <c r="L41" s="2145"/>
      <c r="M41" s="2146"/>
      <c r="N41" s="2135"/>
      <c r="O41" s="2146"/>
      <c r="P41" s="3439" t="str">
        <f>A41</f>
        <v>成交单价（元/平方米）</v>
      </c>
      <c r="Q41" s="3439"/>
      <c r="R41" s="3553">
        <f>E41</f>
        <v>0</v>
      </c>
      <c r="S41" s="3553"/>
      <c r="T41" s="3553">
        <f>G41</f>
        <v>0</v>
      </c>
      <c r="U41" s="3553"/>
      <c r="V41" s="3553">
        <f>I41</f>
        <v>0</v>
      </c>
      <c r="W41" s="3553"/>
      <c r="X41" s="1559"/>
      <c r="Y41" s="1581"/>
      <c r="Z41" s="1559"/>
      <c r="AA41" s="1559"/>
      <c r="AB41" s="1559"/>
      <c r="AC41" s="1559"/>
    </row>
    <row r="42" spans="1:29" ht="15.75" thickBot="1">
      <c r="A42" s="615" t="s">
        <v>2763</v>
      </c>
      <c r="B42" s="888"/>
      <c r="C42" s="2634" t="e">
        <f>R43</f>
        <v>#DIV/0!</v>
      </c>
      <c r="D42" s="2635"/>
      <c r="E42" s="2636" t="e">
        <f>R42</f>
        <v>#DIV/0!</v>
      </c>
      <c r="F42" s="2636"/>
      <c r="G42" s="2634" t="e">
        <f>T42</f>
        <v>#DIV/0!</v>
      </c>
      <c r="H42" s="2635"/>
      <c r="I42" s="2636" t="e">
        <f>V42</f>
        <v>#DIV/0!</v>
      </c>
      <c r="J42" s="2635"/>
      <c r="K42" s="1612"/>
      <c r="L42" s="2145"/>
      <c r="M42" s="2146"/>
      <c r="N42" s="2135"/>
      <c r="O42" s="2146"/>
      <c r="P42" s="3439" t="str">
        <f>A42</f>
        <v>比较价格（元/平方米）</v>
      </c>
      <c r="Q42" s="3439"/>
      <c r="R42" s="3553" t="e">
        <f>IF(F1="售价",ROUND(PRODUCT(R41,AA7:AA40),0),ROUND(PRODUCT(R41,AA7:AA40),1))</f>
        <v>#DIV/0!</v>
      </c>
      <c r="S42" s="3553"/>
      <c r="T42" s="3553" t="e">
        <f>IF(F1="售价",ROUND(PRODUCT(T41,AB7:AB40),0),ROUND(PRODUCT(T41,AB7:AB40),1))</f>
        <v>#DIV/0!</v>
      </c>
      <c r="U42" s="3553"/>
      <c r="V42" s="3553" t="e">
        <f>IF(F1="售价",ROUND(PRODUCT(V41,AC7:AC40),0),ROUND(PRODUCT(V41,AC7:AC40),1))</f>
        <v>#DIV/0!</v>
      </c>
      <c r="W42" s="3553"/>
      <c r="X42" s="1559"/>
      <c r="Y42" s="1559"/>
      <c r="Z42" s="1559"/>
      <c r="AA42" s="1559"/>
      <c r="AB42" s="1559"/>
      <c r="AC42" s="1559"/>
    </row>
    <row r="43" spans="1:29" ht="15.75" thickBot="1">
      <c r="A43" s="621" t="s">
        <v>2940</v>
      </c>
      <c r="B43" s="622"/>
      <c r="C43" s="2637" t="e">
        <f>R43</f>
        <v>#DIV/0!</v>
      </c>
      <c r="D43" s="2637"/>
      <c r="E43" s="2637"/>
      <c r="F43" s="2637"/>
      <c r="G43" s="2637"/>
      <c r="H43" s="2637"/>
      <c r="I43" s="2637"/>
      <c r="J43" s="2637"/>
      <c r="K43" s="1613"/>
      <c r="L43" s="2145"/>
      <c r="M43" s="2146"/>
      <c r="N43" s="2146"/>
      <c r="O43" s="2146"/>
      <c r="P43" s="3436" t="str">
        <f>A43</f>
        <v>估价对象XX用房的比较价格（楼面单价，元/平方米）</v>
      </c>
      <c r="Q43" s="3437"/>
      <c r="R43" s="3552" t="e">
        <f>IF(F1="售价",ROUND(AVERAGE(R42:V42),0),ROUND(AVERAGE(R42:V42),1))</f>
        <v>#DIV/0!</v>
      </c>
      <c r="S43" s="3552"/>
      <c r="T43" s="3552"/>
      <c r="U43" s="3552"/>
      <c r="V43" s="3552"/>
      <c r="W43" s="355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529</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2560</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2561</v>
      </c>
      <c r="C76" s="2599" t="s">
        <v>2562</v>
      </c>
      <c r="D76" s="2599" t="s">
        <v>2563</v>
      </c>
      <c r="E76" s="2599" t="s">
        <v>2564</v>
      </c>
      <c r="F76" s="2599" t="s">
        <v>2565</v>
      </c>
      <c r="G76" s="2599" t="s">
        <v>2566</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2559</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47" sqref="G47"/>
    </sheetView>
  </sheetViews>
  <sheetFormatPr defaultRowHeight="14.25"/>
  <cols>
    <col min="1" max="1" width="10.5" style="1337" customWidth="1"/>
    <col min="2" max="2" width="15.75" style="1337" customWidth="1"/>
    <col min="3" max="3" width="17.6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t="s">
        <v>3101</v>
      </c>
      <c r="C1" s="504" t="s">
        <v>792</v>
      </c>
      <c r="D1" s="849" t="s">
        <v>3101</v>
      </c>
      <c r="E1" s="506"/>
      <c r="F1" s="2808" t="s">
        <v>3129</v>
      </c>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f>IF(B37="元/平方米",ROUND(B3*D3/10000,0),ROUND(F3*C39/10000,0))</f>
        <v>26154</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f>IF(B37="元/平方米",C39,ROUND(B2*10000/D3,0))</f>
        <v>4838</v>
      </c>
      <c r="C3" s="852" t="s">
        <v>796</v>
      </c>
      <c r="D3" s="851">
        <f>SUMIF('数据-汇总表'!$C19:$C33,D1,'数据-汇总表'!$E19:$E33)</f>
        <v>54058</v>
      </c>
      <c r="E3" s="1849" t="s">
        <v>2079</v>
      </c>
      <c r="F3" s="851">
        <f>SUMIF('数据-取费表'!A5:A15,D1,'数据-取费表'!AH5:AH15)</f>
        <v>1300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45" t="s">
        <v>798</v>
      </c>
      <c r="D4" s="3446"/>
      <c r="E4" s="3445" t="s">
        <v>799</v>
      </c>
      <c r="F4" s="3446"/>
      <c r="G4" s="3445" t="s">
        <v>800</v>
      </c>
      <c r="H4" s="3446"/>
      <c r="I4" s="3445" t="s">
        <v>801</v>
      </c>
      <c r="J4" s="3446"/>
      <c r="K4" s="514" t="s">
        <v>802</v>
      </c>
      <c r="L4" s="2134"/>
      <c r="M4" s="2135"/>
      <c r="N4" s="2135"/>
      <c r="O4" s="2135"/>
      <c r="P4" s="3447" t="s">
        <v>803</v>
      </c>
      <c r="Q4" s="3448"/>
      <c r="R4" s="3453" t="s">
        <v>799</v>
      </c>
      <c r="S4" s="3454"/>
      <c r="T4" s="3453" t="s">
        <v>800</v>
      </c>
      <c r="U4" s="3454"/>
      <c r="V4" s="3440" t="s">
        <v>801</v>
      </c>
      <c r="W4" s="3440"/>
      <c r="X4" s="1567"/>
      <c r="Y4" s="3453" t="s">
        <v>803</v>
      </c>
      <c r="Z4" s="3454"/>
      <c r="AA4" s="3442" t="s">
        <v>799</v>
      </c>
      <c r="AB4" s="3443" t="s">
        <v>800</v>
      </c>
      <c r="AC4" s="3442" t="s">
        <v>801</v>
      </c>
    </row>
    <row r="5" spans="1:29" ht="15">
      <c r="A5" s="515"/>
      <c r="B5" s="516"/>
      <c r="C5" s="3461" t="s">
        <v>2934</v>
      </c>
      <c r="D5" s="3462"/>
      <c r="E5" s="3556" t="s">
        <v>3145</v>
      </c>
      <c r="F5" s="3483"/>
      <c r="G5" s="3555" t="s">
        <v>3148</v>
      </c>
      <c r="H5" s="3462"/>
      <c r="I5" s="3555" t="str">
        <f>'不动产比较法-住宅'!I5:J5</f>
        <v>瑞鼎城天玺</v>
      </c>
      <c r="J5" s="3462"/>
      <c r="K5" s="514"/>
      <c r="L5" s="2134"/>
      <c r="M5" s="2135"/>
      <c r="N5" s="2135"/>
      <c r="O5" s="2135"/>
      <c r="P5" s="3449"/>
      <c r="Q5" s="3450"/>
      <c r="R5" s="3455"/>
      <c r="S5" s="3456"/>
      <c r="T5" s="3455"/>
      <c r="U5" s="3456"/>
      <c r="V5" s="3440"/>
      <c r="W5" s="3440"/>
      <c r="X5" s="1567"/>
      <c r="Y5" s="3455"/>
      <c r="Z5" s="3456"/>
      <c r="AA5" s="3443"/>
      <c r="AB5" s="3443"/>
      <c r="AC5" s="3443"/>
    </row>
    <row r="6" spans="1:29" ht="15.75" thickBot="1">
      <c r="A6" s="517"/>
      <c r="B6" s="518"/>
      <c r="C6" s="3459" t="s">
        <v>2938</v>
      </c>
      <c r="D6" s="3460"/>
      <c r="E6" s="3556" t="s">
        <v>3144</v>
      </c>
      <c r="F6" s="3483"/>
      <c r="G6" s="3465" t="s">
        <v>3147</v>
      </c>
      <c r="H6" s="3460"/>
      <c r="I6" s="3465" t="str">
        <f>'不动产比较法-住宅'!I6:J6</f>
        <v>白龙路与白云路交汇处</v>
      </c>
      <c r="J6" s="3460"/>
      <c r="K6" s="514" t="s">
        <v>528</v>
      </c>
      <c r="L6" s="2134"/>
      <c r="M6" s="2135"/>
      <c r="N6" s="2135"/>
      <c r="O6" s="2135"/>
      <c r="P6" s="3451"/>
      <c r="Q6" s="3452"/>
      <c r="R6" s="3455"/>
      <c r="S6" s="3456"/>
      <c r="T6" s="3457"/>
      <c r="U6" s="3458"/>
      <c r="V6" s="3440"/>
      <c r="W6" s="3440"/>
      <c r="X6" s="1567"/>
      <c r="Y6" s="3457"/>
      <c r="Z6" s="3458"/>
      <c r="AA6" s="3444"/>
      <c r="AB6" s="3444"/>
      <c r="AC6" s="3444"/>
    </row>
    <row r="7" spans="1:29" s="1220" customFormat="1" ht="15.75" thickBot="1">
      <c r="A7" s="2913"/>
      <c r="B7" s="2920" t="s">
        <v>529</v>
      </c>
      <c r="C7" s="519">
        <f>'数据-取费表'!B2</f>
        <v>43383</v>
      </c>
      <c r="D7" s="520">
        <v>100</v>
      </c>
      <c r="E7" s="521">
        <v>43374</v>
      </c>
      <c r="F7" s="522">
        <f>SUMIF(48:48,YEAR(E7)&amp;"-"&amp;MONTH(E7),49:49)</f>
        <v>100</v>
      </c>
      <c r="G7" s="521">
        <v>43374</v>
      </c>
      <c r="H7" s="520">
        <f>SUMIF(48:48,YEAR(G7)&amp;"-"&amp;MONTH(G7),49:49)</f>
        <v>100</v>
      </c>
      <c r="I7" s="521">
        <v>43374</v>
      </c>
      <c r="J7" s="520">
        <f>SUMIF(48:48,YEAR(I7)&amp;"-"&amp;MONTH(I7),49:49)</f>
        <v>100</v>
      </c>
      <c r="K7" s="524"/>
      <c r="L7" s="2136"/>
      <c r="M7" s="2137"/>
      <c r="N7" s="2137"/>
      <c r="O7" s="2137"/>
      <c r="P7" s="3471" t="s">
        <v>530</v>
      </c>
      <c r="Q7" s="3473"/>
      <c r="R7" s="1568" t="s">
        <v>8</v>
      </c>
      <c r="S7" s="1569">
        <f t="shared" ref="S7:S14" si="0">F7</f>
        <v>100</v>
      </c>
      <c r="T7" s="1568" t="s">
        <v>8</v>
      </c>
      <c r="U7" s="1569">
        <f t="shared" ref="U7:U14" si="1">H7</f>
        <v>100</v>
      </c>
      <c r="V7" s="1568" t="s">
        <v>8</v>
      </c>
      <c r="W7" s="1569">
        <f t="shared" ref="W7:W14" si="2">J7</f>
        <v>100</v>
      </c>
      <c r="X7" s="1570"/>
      <c r="Y7" s="3471" t="s">
        <v>530</v>
      </c>
      <c r="Z7" s="3472"/>
      <c r="AA7" s="1571">
        <f>D7/F7</f>
        <v>1</v>
      </c>
      <c r="AB7" s="1571">
        <f>D7/H7</f>
        <v>1</v>
      </c>
      <c r="AC7" s="1571">
        <f>D7/J7</f>
        <v>1</v>
      </c>
    </row>
    <row r="8" spans="1:29" s="1220" customFormat="1" ht="15.75" thickBot="1">
      <c r="A8" s="2914"/>
      <c r="B8" s="2921"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6"/>
      <c r="M8" s="2137"/>
      <c r="N8" s="2137"/>
      <c r="O8" s="2137"/>
      <c r="P8" s="3471" t="s">
        <v>533</v>
      </c>
      <c r="Q8" s="3472"/>
      <c r="R8" s="1568" t="s">
        <v>8</v>
      </c>
      <c r="S8" s="1569">
        <f t="shared" si="0"/>
        <v>100</v>
      </c>
      <c r="T8" s="1568" t="s">
        <v>8</v>
      </c>
      <c r="U8" s="1569">
        <f t="shared" si="1"/>
        <v>100</v>
      </c>
      <c r="V8" s="1568" t="s">
        <v>8</v>
      </c>
      <c r="W8" s="1569">
        <f t="shared" si="2"/>
        <v>100</v>
      </c>
      <c r="X8" s="1570"/>
      <c r="Y8" s="3471" t="s">
        <v>533</v>
      </c>
      <c r="Z8" s="3472"/>
      <c r="AA8" s="1571">
        <f t="shared" ref="AA8:AA36" si="3">D8/F8</f>
        <v>1</v>
      </c>
      <c r="AB8" s="1571">
        <f t="shared" ref="AB8:AB36" si="4">D8/H8</f>
        <v>1</v>
      </c>
      <c r="AC8" s="1571">
        <f t="shared" ref="AC8:AC36" si="5">D8/J8</f>
        <v>1</v>
      </c>
    </row>
    <row r="9" spans="1:29" s="1220" customFormat="1" ht="15">
      <c r="A9" s="2915"/>
      <c r="B9" s="2922" t="s">
        <v>2759</v>
      </c>
      <c r="C9" s="3235" t="s">
        <v>3175</v>
      </c>
      <c r="D9" s="254">
        <v>100</v>
      </c>
      <c r="E9" s="3235" t="s">
        <v>3175</v>
      </c>
      <c r="F9" s="254">
        <f>SUMIF(53:53,E9,54:54)-SUMIF(53:53,C9,54:54)+100</f>
        <v>100</v>
      </c>
      <c r="G9" s="3235" t="s">
        <v>3175</v>
      </c>
      <c r="H9" s="254">
        <f>SUMIF(53:53,G9,54:54)-SUMIF(53:53,C9,54:54)+100</f>
        <v>100</v>
      </c>
      <c r="I9" s="3235" t="s">
        <v>3175</v>
      </c>
      <c r="J9" s="254">
        <f>SUMIF(53:53,I9,54:54)-SUMIF(53:53,C9,54:54)+100</f>
        <v>100</v>
      </c>
      <c r="K9" s="524"/>
      <c r="L9" s="2136"/>
      <c r="M9" s="2137"/>
      <c r="N9" s="2137"/>
      <c r="O9" s="2138"/>
      <c r="P9" s="3439" t="s">
        <v>535</v>
      </c>
      <c r="Q9" s="1151" t="str">
        <f t="shared" ref="Q9:Q14" si="6">B9</f>
        <v>用途</v>
      </c>
      <c r="R9" s="1568" t="s">
        <v>8</v>
      </c>
      <c r="S9" s="1569">
        <f t="shared" si="0"/>
        <v>100</v>
      </c>
      <c r="T9" s="1568" t="s">
        <v>8</v>
      </c>
      <c r="U9" s="1569">
        <f t="shared" si="1"/>
        <v>100</v>
      </c>
      <c r="V9" s="1568" t="s">
        <v>8</v>
      </c>
      <c r="W9" s="1569">
        <f t="shared" si="2"/>
        <v>100</v>
      </c>
      <c r="X9" s="1570"/>
      <c r="Y9" s="3385" t="s">
        <v>536</v>
      </c>
      <c r="Z9" s="1150" t="str">
        <f t="shared" ref="Z9:Z14" si="7">Q9</f>
        <v>用途</v>
      </c>
      <c r="AA9" s="1571">
        <f t="shared" si="3"/>
        <v>1</v>
      </c>
      <c r="AB9" s="1571">
        <f t="shared" si="4"/>
        <v>1</v>
      </c>
      <c r="AC9" s="1571">
        <f t="shared" si="5"/>
        <v>1</v>
      </c>
    </row>
    <row r="10" spans="1:29" s="1338" customFormat="1" ht="27">
      <c r="A10" s="2916"/>
      <c r="B10" s="2921" t="s">
        <v>2760</v>
      </c>
      <c r="C10" s="861" t="s">
        <v>3156</v>
      </c>
      <c r="D10" s="255">
        <v>100</v>
      </c>
      <c r="E10" s="861" t="s">
        <v>3156</v>
      </c>
      <c r="F10" s="255">
        <f>SUMIF(55:55,E10,56:56)-SUMIF(55:55,C10,56:56)+100</f>
        <v>100</v>
      </c>
      <c r="G10" s="861" t="s">
        <v>3156</v>
      </c>
      <c r="H10" s="255">
        <f>SUMIF(55:55,G10,56:56)-SUMIF(55:55,C10,56:56)+100</f>
        <v>100</v>
      </c>
      <c r="I10" s="861" t="s">
        <v>3156</v>
      </c>
      <c r="J10" s="255">
        <f>SUMIF(55:55,I10,56:56)-SUMIF(55:55,C10,56:56)+100</f>
        <v>100</v>
      </c>
      <c r="K10" s="584">
        <v>1</v>
      </c>
      <c r="L10" s="2139"/>
      <c r="M10" s="2179"/>
      <c r="N10" s="2179"/>
      <c r="O10" s="2140"/>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39"/>
      <c r="Q11" s="1151">
        <f t="shared" si="6"/>
        <v>111</v>
      </c>
      <c r="R11" s="1568" t="s">
        <v>8</v>
      </c>
      <c r="S11" s="1569">
        <f t="shared" si="0"/>
        <v>100</v>
      </c>
      <c r="T11" s="1568" t="s">
        <v>8</v>
      </c>
      <c r="U11" s="1569">
        <f t="shared" si="1"/>
        <v>100</v>
      </c>
      <c r="V11" s="1568" t="s">
        <v>8</v>
      </c>
      <c r="W11" s="1569">
        <f t="shared" si="2"/>
        <v>100</v>
      </c>
      <c r="X11" s="1570"/>
      <c r="Y11" s="3385"/>
      <c r="Z11" s="1150">
        <f t="shared" si="7"/>
        <v>111</v>
      </c>
      <c r="AA11" s="1571">
        <f t="shared" si="3"/>
        <v>1</v>
      </c>
      <c r="AB11" s="1571">
        <f t="shared" si="4"/>
        <v>1</v>
      </c>
      <c r="AC11" s="1571">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39"/>
      <c r="Q12" s="1151">
        <f t="shared" si="6"/>
        <v>111</v>
      </c>
      <c r="R12" s="1568" t="s">
        <v>8</v>
      </c>
      <c r="S12" s="1569">
        <f t="shared" si="0"/>
        <v>100</v>
      </c>
      <c r="T12" s="1568" t="s">
        <v>8</v>
      </c>
      <c r="U12" s="1569">
        <f t="shared" si="1"/>
        <v>100</v>
      </c>
      <c r="V12" s="1568" t="s">
        <v>8</v>
      </c>
      <c r="W12" s="1569">
        <f t="shared" si="2"/>
        <v>100</v>
      </c>
      <c r="X12" s="1570"/>
      <c r="Y12" s="3385"/>
      <c r="Z12" s="1150">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39"/>
      <c r="Q13" s="1151">
        <f t="shared" si="6"/>
        <v>111</v>
      </c>
      <c r="R13" s="1568" t="s">
        <v>8</v>
      </c>
      <c r="S13" s="1569">
        <f t="shared" si="0"/>
        <v>100</v>
      </c>
      <c r="T13" s="1568" t="s">
        <v>8</v>
      </c>
      <c r="U13" s="1569">
        <f t="shared" si="1"/>
        <v>100</v>
      </c>
      <c r="V13" s="1568" t="s">
        <v>8</v>
      </c>
      <c r="W13" s="1569">
        <f t="shared" si="2"/>
        <v>100</v>
      </c>
      <c r="X13" s="1570"/>
      <c r="Y13" s="3385"/>
      <c r="Z13" s="1150">
        <f t="shared" si="7"/>
        <v>111</v>
      </c>
      <c r="AA13" s="1571">
        <f t="shared" si="3"/>
        <v>1</v>
      </c>
      <c r="AB13" s="1571">
        <f t="shared" si="4"/>
        <v>1</v>
      </c>
      <c r="AC13" s="1571">
        <f t="shared" si="5"/>
        <v>1</v>
      </c>
    </row>
    <row r="14" spans="1:29" ht="71.25">
      <c r="A14" s="2911" t="s">
        <v>2757</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102</v>
      </c>
      <c r="G14" s="550"/>
      <c r="H14" s="549">
        <f>SUMIF(63:63,G15,64:64)-SUMIF(63:63,C15,64:64)+100</f>
        <v>100</v>
      </c>
      <c r="I14" s="550"/>
      <c r="J14" s="549">
        <f>SUMIF(63:63,I15,64:64)-SUMIF(63:63,C15,64:64)+100</f>
        <v>98</v>
      </c>
      <c r="K14" s="898">
        <v>2</v>
      </c>
      <c r="L14" s="2143"/>
      <c r="M14" s="2135"/>
      <c r="N14" s="2135"/>
      <c r="O14" s="2142"/>
      <c r="P14" s="3474" t="s">
        <v>540</v>
      </c>
      <c r="Q14" s="1572" t="str">
        <f t="shared" si="6"/>
        <v>交通便捷度</v>
      </c>
      <c r="R14" s="1573" t="s">
        <v>8</v>
      </c>
      <c r="S14" s="1574">
        <f t="shared" si="0"/>
        <v>102</v>
      </c>
      <c r="T14" s="1573" t="s">
        <v>8</v>
      </c>
      <c r="U14" s="1574">
        <f t="shared" si="1"/>
        <v>100</v>
      </c>
      <c r="V14" s="1573" t="s">
        <v>8</v>
      </c>
      <c r="W14" s="1574">
        <f t="shared" si="2"/>
        <v>98</v>
      </c>
      <c r="X14" s="1567"/>
      <c r="Y14" s="3474" t="s">
        <v>540</v>
      </c>
      <c r="Z14" s="1575" t="str">
        <f t="shared" si="7"/>
        <v>交通便捷度</v>
      </c>
      <c r="AA14" s="1576">
        <f t="shared" si="3"/>
        <v>0.98039215686274506</v>
      </c>
      <c r="AB14" s="1576">
        <f t="shared" si="4"/>
        <v>1</v>
      </c>
      <c r="AC14" s="1576">
        <f t="shared" si="5"/>
        <v>1.0204081632653061</v>
      </c>
    </row>
    <row r="15" spans="1:29" ht="15">
      <c r="A15" s="515"/>
      <c r="B15" s="924"/>
      <c r="C15" s="576" t="str">
        <f>'不动产比较法-住宅'!C18</f>
        <v>较好</v>
      </c>
      <c r="D15" s="555"/>
      <c r="E15" s="558" t="str">
        <f>'不动产比较法-住宅'!E18</f>
        <v>好</v>
      </c>
      <c r="F15" s="557"/>
      <c r="G15" s="558" t="s">
        <v>3107</v>
      </c>
      <c r="H15" s="559"/>
      <c r="I15" s="558" t="s">
        <v>3128</v>
      </c>
      <c r="J15" s="555"/>
      <c r="K15" s="899"/>
      <c r="L15" s="2143"/>
      <c r="M15" s="2135"/>
      <c r="N15" s="2135"/>
      <c r="O15" s="2142"/>
      <c r="P15" s="3475"/>
      <c r="Q15" s="1572"/>
      <c r="R15" s="1573"/>
      <c r="S15" s="1574"/>
      <c r="T15" s="1573"/>
      <c r="U15" s="1574"/>
      <c r="V15" s="1573"/>
      <c r="W15" s="1574"/>
      <c r="X15" s="1567"/>
      <c r="Y15" s="3475"/>
      <c r="Z15" s="1575"/>
      <c r="AA15" s="1576">
        <v>1</v>
      </c>
      <c r="AB15" s="1576">
        <v>1</v>
      </c>
      <c r="AC15" s="1576">
        <v>1</v>
      </c>
    </row>
    <row r="16" spans="1:29" ht="28.5">
      <c r="A16" s="515"/>
      <c r="B16" s="2604" t="s">
        <v>2549</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98</v>
      </c>
      <c r="I16" s="572"/>
      <c r="J16" s="565">
        <f>SUMIF(65:65,I17,66:66)-SUMIF(65:65,C17,66:66)+100</f>
        <v>96</v>
      </c>
      <c r="K16" s="898">
        <v>2</v>
      </c>
      <c r="L16" s="2143"/>
      <c r="M16" s="2135"/>
      <c r="N16" s="2135"/>
      <c r="O16" s="2142"/>
      <c r="P16" s="3475"/>
      <c r="Q16" s="1572" t="str">
        <f>B16</f>
        <v>公共配套设施</v>
      </c>
      <c r="R16" s="1573" t="s">
        <v>8</v>
      </c>
      <c r="S16" s="1574">
        <f>F16</f>
        <v>100</v>
      </c>
      <c r="T16" s="1573" t="s">
        <v>8</v>
      </c>
      <c r="U16" s="1574">
        <f>H16</f>
        <v>98</v>
      </c>
      <c r="V16" s="1573" t="s">
        <v>8</v>
      </c>
      <c r="W16" s="1574">
        <f>J16</f>
        <v>96</v>
      </c>
      <c r="X16" s="1567"/>
      <c r="Y16" s="3475"/>
      <c r="Z16" s="1575" t="str">
        <f>Q16</f>
        <v>公共配套设施</v>
      </c>
      <c r="AA16" s="1576">
        <f t="shared" si="3"/>
        <v>1</v>
      </c>
      <c r="AB16" s="1576">
        <f t="shared" si="4"/>
        <v>1.0204081632653061</v>
      </c>
      <c r="AC16" s="1576">
        <f t="shared" si="5"/>
        <v>1.0416666666666667</v>
      </c>
    </row>
    <row r="17" spans="1:29" ht="15">
      <c r="A17" s="515"/>
      <c r="B17" s="566"/>
      <c r="C17" s="873" t="str">
        <f>'不动产比较法-住宅'!C20</f>
        <v>好</v>
      </c>
      <c r="D17" s="555"/>
      <c r="E17" s="558" t="s">
        <v>3127</v>
      </c>
      <c r="F17" s="557"/>
      <c r="G17" s="558" t="s">
        <v>3107</v>
      </c>
      <c r="H17" s="555"/>
      <c r="I17" s="558" t="s">
        <v>3128</v>
      </c>
      <c r="J17" s="555"/>
      <c r="K17" s="899"/>
      <c r="L17" s="2143"/>
      <c r="M17" s="2135"/>
      <c r="N17" s="2135"/>
      <c r="O17" s="2142"/>
      <c r="P17" s="3475"/>
      <c r="Q17" s="1572"/>
      <c r="R17" s="1573"/>
      <c r="S17" s="1574"/>
      <c r="T17" s="1573"/>
      <c r="U17" s="1574"/>
      <c r="V17" s="1573"/>
      <c r="W17" s="1574"/>
      <c r="X17" s="1567"/>
      <c r="Y17" s="3475"/>
      <c r="Z17" s="1575"/>
      <c r="AA17" s="1576">
        <v>1</v>
      </c>
      <c r="AB17" s="1576">
        <v>1</v>
      </c>
      <c r="AC17" s="1576">
        <v>1</v>
      </c>
    </row>
    <row r="18" spans="1:29" ht="28.5">
      <c r="A18" s="515"/>
      <c r="B18" s="2592" t="s">
        <v>2561</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8">
        <v>1</v>
      </c>
      <c r="L18" s="2143"/>
      <c r="M18" s="2135"/>
      <c r="N18" s="2135"/>
      <c r="O18" s="2142"/>
      <c r="P18" s="3475"/>
      <c r="Q18" s="2580" t="str">
        <f>B18</f>
        <v>基础设施水平</v>
      </c>
      <c r="R18" s="1573" t="s">
        <v>8</v>
      </c>
      <c r="S18" s="1574">
        <f>F18</f>
        <v>100</v>
      </c>
      <c r="T18" s="1573" t="s">
        <v>8</v>
      </c>
      <c r="U18" s="1574">
        <f>H18</f>
        <v>100</v>
      </c>
      <c r="V18" s="1573" t="s">
        <v>8</v>
      </c>
      <c r="W18" s="1574">
        <f>J18</f>
        <v>100</v>
      </c>
      <c r="X18" s="2582"/>
      <c r="Y18" s="3475"/>
      <c r="Z18" s="2581" t="str">
        <f>Q18</f>
        <v>基础设施水平</v>
      </c>
      <c r="AA18" s="1576">
        <f t="shared" ref="AA18" si="8">D18/F18</f>
        <v>1</v>
      </c>
      <c r="AB18" s="1576">
        <f t="shared" ref="AB18" si="9">D18/H18</f>
        <v>1</v>
      </c>
      <c r="AC18" s="1576">
        <f t="shared" ref="AC18" si="10">D18/J18</f>
        <v>1</v>
      </c>
    </row>
    <row r="19" spans="1:29" ht="15">
      <c r="A19" s="515"/>
      <c r="B19" s="578"/>
      <c r="C19" s="873" t="str">
        <f>'不动产比较法-住宅'!C22</f>
        <v>六通</v>
      </c>
      <c r="D19" s="559"/>
      <c r="E19" s="576" t="s">
        <v>3108</v>
      </c>
      <c r="F19" s="557"/>
      <c r="G19" s="576" t="s">
        <v>3108</v>
      </c>
      <c r="H19" s="555"/>
      <c r="I19" s="576" t="s">
        <v>3108</v>
      </c>
      <c r="J19" s="555"/>
      <c r="K19" s="2603"/>
      <c r="L19" s="2143"/>
      <c r="M19" s="2135"/>
      <c r="N19" s="2135"/>
      <c r="O19" s="2142"/>
      <c r="P19" s="3475"/>
      <c r="Q19" s="2580"/>
      <c r="R19" s="1573"/>
      <c r="S19" s="1574"/>
      <c r="T19" s="1573"/>
      <c r="U19" s="1574"/>
      <c r="V19" s="1573"/>
      <c r="W19" s="1574"/>
      <c r="X19" s="2582"/>
      <c r="Y19" s="3475"/>
      <c r="Z19" s="2581"/>
      <c r="AA19" s="1576">
        <v>1</v>
      </c>
      <c r="AB19" s="1576">
        <v>1</v>
      </c>
      <c r="AC19" s="1576">
        <v>1</v>
      </c>
    </row>
    <row r="20" spans="1:29" ht="42.75">
      <c r="A20" s="515"/>
      <c r="B20" s="560" t="s">
        <v>804</v>
      </c>
      <c r="C20" s="872" t="str">
        <f>IF(B1="工业",估价对象房地状况!G7,估价对象房地状况!C9)</f>
        <v>区域自然环境：；人文环境；综合评价环境状况一般</v>
      </c>
      <c r="D20" s="565">
        <v>100</v>
      </c>
      <c r="E20" s="562"/>
      <c r="F20" s="563">
        <f>SUMIF(69:69,E21,70:70)-SUMIF(69:69,C21,70:70)+100</f>
        <v>98</v>
      </c>
      <c r="G20" s="562"/>
      <c r="H20" s="559">
        <f>SUMIF(69:69,G21,70:70)-SUMIF(69:69,C21,70:70)+100</f>
        <v>98</v>
      </c>
      <c r="I20" s="562"/>
      <c r="J20" s="559">
        <f>SUMIF(69:69,I21,70:70)-SUMIF(69:69,C21,70:70)+100</f>
        <v>98</v>
      </c>
      <c r="K20" s="898">
        <v>2</v>
      </c>
      <c r="L20" s="2143"/>
      <c r="M20" s="2135"/>
      <c r="N20" s="2135"/>
      <c r="O20" s="2142"/>
      <c r="P20" s="3475"/>
      <c r="Q20" s="1572" t="str">
        <f>B20</f>
        <v>自然及人文环境</v>
      </c>
      <c r="R20" s="1573" t="s">
        <v>8</v>
      </c>
      <c r="S20" s="1574">
        <f>F20</f>
        <v>98</v>
      </c>
      <c r="T20" s="1573" t="s">
        <v>8</v>
      </c>
      <c r="U20" s="1574">
        <f>H20</f>
        <v>98</v>
      </c>
      <c r="V20" s="1573" t="s">
        <v>8</v>
      </c>
      <c r="W20" s="1574">
        <f>J20</f>
        <v>98</v>
      </c>
      <c r="X20" s="1567"/>
      <c r="Y20" s="3475"/>
      <c r="Z20" s="1575" t="str">
        <f>Q20</f>
        <v>自然及人文环境</v>
      </c>
      <c r="AA20" s="1576">
        <f t="shared" si="3"/>
        <v>1.0204081632653061</v>
      </c>
      <c r="AB20" s="1576">
        <f t="shared" si="4"/>
        <v>1.0204081632653061</v>
      </c>
      <c r="AC20" s="1576">
        <f t="shared" si="5"/>
        <v>1.0204081632653061</v>
      </c>
    </row>
    <row r="21" spans="1:29" ht="15">
      <c r="A21" s="515"/>
      <c r="B21" s="566"/>
      <c r="C21" s="576" t="str">
        <f>'不动产比较法-住宅'!C24</f>
        <v>一般</v>
      </c>
      <c r="D21" s="555"/>
      <c r="E21" s="576" t="s">
        <v>3311</v>
      </c>
      <c r="F21" s="557"/>
      <c r="G21" s="576" t="s">
        <v>3311</v>
      </c>
      <c r="H21" s="555"/>
      <c r="I21" s="576" t="s">
        <v>3311</v>
      </c>
      <c r="J21" s="555"/>
      <c r="K21" s="899"/>
      <c r="L21" s="2143"/>
      <c r="M21" s="2135"/>
      <c r="N21" s="2135"/>
      <c r="O21" s="2142"/>
      <c r="P21" s="3475"/>
      <c r="Q21" s="1572"/>
      <c r="R21" s="1573"/>
      <c r="S21" s="1574"/>
      <c r="T21" s="1573"/>
      <c r="U21" s="1574"/>
      <c r="V21" s="1573"/>
      <c r="W21" s="1574"/>
      <c r="X21" s="1567"/>
      <c r="Y21" s="3475"/>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75"/>
      <c r="Q22" s="1572" t="str">
        <f>B22</f>
        <v>楼层</v>
      </c>
      <c r="R22" s="1573" t="s">
        <v>8</v>
      </c>
      <c r="S22" s="1574">
        <f>F22</f>
        <v>100</v>
      </c>
      <c r="T22" s="1573" t="s">
        <v>8</v>
      </c>
      <c r="U22" s="1574">
        <f>H22</f>
        <v>100</v>
      </c>
      <c r="V22" s="1573" t="s">
        <v>8</v>
      </c>
      <c r="W22" s="1574">
        <f>J22</f>
        <v>100</v>
      </c>
      <c r="X22" s="1567"/>
      <c r="Y22" s="3475"/>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75"/>
      <c r="Q23" s="1572">
        <f>B23</f>
        <v>111</v>
      </c>
      <c r="R23" s="1573" t="s">
        <v>8</v>
      </c>
      <c r="S23" s="1574">
        <f>F23</f>
        <v>100</v>
      </c>
      <c r="T23" s="1573" t="s">
        <v>8</v>
      </c>
      <c r="U23" s="1574">
        <f>H23</f>
        <v>100</v>
      </c>
      <c r="V23" s="1573" t="s">
        <v>8</v>
      </c>
      <c r="W23" s="1574">
        <f>J23</f>
        <v>100</v>
      </c>
      <c r="X23" s="1567"/>
      <c r="Y23" s="3475"/>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75"/>
      <c r="Q24" s="1572">
        <f t="shared" ref="Q24:Q36" si="11">B24</f>
        <v>111</v>
      </c>
      <c r="R24" s="1573" t="s">
        <v>8</v>
      </c>
      <c r="S24" s="1574">
        <f>F24</f>
        <v>100</v>
      </c>
      <c r="T24" s="1573" t="s">
        <v>8</v>
      </c>
      <c r="U24" s="1574">
        <f>H24</f>
        <v>100</v>
      </c>
      <c r="V24" s="1573" t="s">
        <v>8</v>
      </c>
      <c r="W24" s="1574">
        <f>J24</f>
        <v>100</v>
      </c>
      <c r="X24" s="1567"/>
      <c r="Y24" s="3475"/>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75"/>
      <c r="Q25" s="1151">
        <f t="shared" si="11"/>
        <v>111</v>
      </c>
      <c r="R25" s="1568" t="s">
        <v>8</v>
      </c>
      <c r="S25" s="1569">
        <f>F25</f>
        <v>100</v>
      </c>
      <c r="T25" s="1568" t="s">
        <v>8</v>
      </c>
      <c r="U25" s="1569">
        <f>H25</f>
        <v>100</v>
      </c>
      <c r="V25" s="1568" t="s">
        <v>8</v>
      </c>
      <c r="W25" s="1569">
        <f>J25</f>
        <v>100</v>
      </c>
      <c r="X25" s="1570"/>
      <c r="Y25" s="3475"/>
      <c r="Z25" s="1150">
        <f>Q25</f>
        <v>111</v>
      </c>
      <c r="AA25" s="1576">
        <f>D25/F25</f>
        <v>1</v>
      </c>
      <c r="AB25" s="1576">
        <f>D25/H25</f>
        <v>1</v>
      </c>
      <c r="AC25" s="1576">
        <f>D25/J25</f>
        <v>1</v>
      </c>
    </row>
    <row r="26" spans="1:29" ht="15">
      <c r="A26" s="2908" t="s">
        <v>2758</v>
      </c>
      <c r="B26" s="170" t="s">
        <v>806</v>
      </c>
      <c r="C26" s="928" t="str">
        <f>B1</f>
        <v>车库</v>
      </c>
      <c r="D26" s="555">
        <v>100</v>
      </c>
      <c r="E26" s="576" t="s">
        <v>3101</v>
      </c>
      <c r="F26" s="557">
        <f>SUMIF(79:79,E26,80:80)-SUMIF(79:79,C26,80:80)+100</f>
        <v>100</v>
      </c>
      <c r="G26" s="576" t="s">
        <v>3101</v>
      </c>
      <c r="H26" s="555">
        <f>SUMIF(79:79,G26,80:80)-SUMIF(79:79,C26,80:80)+100</f>
        <v>100</v>
      </c>
      <c r="I26" s="576" t="s">
        <v>3101</v>
      </c>
      <c r="J26" s="555">
        <f>SUMIF(79:79,I26,80:80)-SUMIF(79:79,C26,80:80)+100</f>
        <v>100</v>
      </c>
      <c r="K26" s="584">
        <v>3</v>
      </c>
      <c r="L26" s="2143"/>
      <c r="M26" s="2135"/>
      <c r="N26" s="2135"/>
      <c r="O26" s="2142"/>
      <c r="P26" s="3476"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77"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77"/>
      <c r="Q27" s="1605" t="str">
        <f t="shared" si="11"/>
        <v>项目停车位配比</v>
      </c>
      <c r="R27" s="1577" t="s">
        <v>8</v>
      </c>
      <c r="S27" s="1578">
        <f t="shared" si="12"/>
        <v>100</v>
      </c>
      <c r="T27" s="1577" t="s">
        <v>8</v>
      </c>
      <c r="U27" s="1578">
        <f t="shared" si="13"/>
        <v>100</v>
      </c>
      <c r="V27" s="1577" t="s">
        <v>8</v>
      </c>
      <c r="W27" s="1578">
        <f t="shared" si="14"/>
        <v>100</v>
      </c>
      <c r="X27" s="1579"/>
      <c r="Y27" s="3477"/>
      <c r="Z27" s="1580" t="str">
        <f t="shared" si="15"/>
        <v>项目停车位配比</v>
      </c>
      <c r="AA27" s="1576">
        <f t="shared" si="3"/>
        <v>1</v>
      </c>
      <c r="AB27" s="1576">
        <f t="shared" si="4"/>
        <v>1</v>
      </c>
      <c r="AC27" s="1576">
        <f t="shared" si="5"/>
        <v>1</v>
      </c>
    </row>
    <row r="28" spans="1:29" ht="15">
      <c r="A28" s="931"/>
      <c r="B28" s="582" t="s">
        <v>808</v>
      </c>
      <c r="C28" s="3243" t="s">
        <v>3176</v>
      </c>
      <c r="D28" s="540">
        <v>100</v>
      </c>
      <c r="E28" s="3243" t="s">
        <v>3176</v>
      </c>
      <c r="F28" s="575">
        <f>SUMIF(83:83,E28,84:84)-SUMIF(83:83,C28,84:84)+100</f>
        <v>100</v>
      </c>
      <c r="G28" s="3243" t="s">
        <v>3176</v>
      </c>
      <c r="H28" s="540">
        <f>SUMIF(83:83,G28,84:84)-SUMIF(83:83,C28,84:84)+100</f>
        <v>100</v>
      </c>
      <c r="I28" s="3243" t="s">
        <v>3176</v>
      </c>
      <c r="J28" s="540">
        <f>SUMIF(83:83,I28,84:84)-SUMIF(83:83,C28,84:84)+100</f>
        <v>100</v>
      </c>
      <c r="K28" s="584">
        <v>2</v>
      </c>
      <c r="L28" s="2143"/>
      <c r="M28" s="2135"/>
      <c r="N28" s="2135"/>
      <c r="O28" s="2142"/>
      <c r="P28" s="3477"/>
      <c r="Q28" s="1572" t="str">
        <f t="shared" si="11"/>
        <v>公共部分装修</v>
      </c>
      <c r="R28" s="1573" t="s">
        <v>8</v>
      </c>
      <c r="S28" s="1574">
        <f t="shared" si="12"/>
        <v>100</v>
      </c>
      <c r="T28" s="1573" t="s">
        <v>8</v>
      </c>
      <c r="U28" s="1574">
        <f t="shared" si="13"/>
        <v>100</v>
      </c>
      <c r="V28" s="1573" t="s">
        <v>8</v>
      </c>
      <c r="W28" s="1574">
        <f t="shared" si="14"/>
        <v>100</v>
      </c>
      <c r="X28" s="1567"/>
      <c r="Y28" s="3477"/>
      <c r="Z28" s="1575" t="str">
        <f t="shared" si="15"/>
        <v>公共部分装修</v>
      </c>
      <c r="AA28" s="1576">
        <f t="shared" si="3"/>
        <v>1</v>
      </c>
      <c r="AB28" s="1576">
        <f t="shared" si="4"/>
        <v>1</v>
      </c>
      <c r="AC28" s="1576">
        <f t="shared" si="5"/>
        <v>1</v>
      </c>
    </row>
    <row r="29" spans="1:29" ht="15">
      <c r="A29" s="931"/>
      <c r="B29" s="582" t="s">
        <v>809</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1</v>
      </c>
      <c r="L29" s="2143"/>
      <c r="M29" s="2135"/>
      <c r="N29" s="2135"/>
      <c r="O29" s="2142"/>
      <c r="P29" s="3477"/>
      <c r="Q29" s="1572" t="str">
        <f t="shared" si="11"/>
        <v>成新率</v>
      </c>
      <c r="R29" s="1573" t="s">
        <v>8</v>
      </c>
      <c r="S29" s="1574">
        <f t="shared" si="12"/>
        <v>100</v>
      </c>
      <c r="T29" s="1573" t="s">
        <v>8</v>
      </c>
      <c r="U29" s="1574">
        <f t="shared" si="13"/>
        <v>100</v>
      </c>
      <c r="V29" s="1573" t="s">
        <v>8</v>
      </c>
      <c r="W29" s="1574">
        <f t="shared" si="14"/>
        <v>100</v>
      </c>
      <c r="X29" s="1567"/>
      <c r="Y29" s="3477"/>
      <c r="Z29" s="1575" t="str">
        <f t="shared" si="15"/>
        <v>成新率</v>
      </c>
      <c r="AA29" s="1576">
        <f t="shared" si="3"/>
        <v>1</v>
      </c>
      <c r="AB29" s="1576">
        <f t="shared" si="4"/>
        <v>1</v>
      </c>
      <c r="AC29" s="1576">
        <f t="shared" si="5"/>
        <v>1</v>
      </c>
    </row>
    <row r="30" spans="1:29" ht="15">
      <c r="A30" s="931"/>
      <c r="B30" s="3569" t="s">
        <v>810</v>
      </c>
      <c r="C30" s="932" t="s">
        <v>3119</v>
      </c>
      <c r="D30" s="540">
        <v>100</v>
      </c>
      <c r="E30" s="932" t="s">
        <v>3119</v>
      </c>
      <c r="F30" s="575">
        <f>SUMIF(88:88,E30,89:89)-SUMIF(88:88,C30,89:89)+100</f>
        <v>100</v>
      </c>
      <c r="G30" s="932" t="s">
        <v>3119</v>
      </c>
      <c r="H30" s="540">
        <f>SUMIF(88:88,E30,89:89)-SUMIF(88:88,C30,89:89)+100</f>
        <v>100</v>
      </c>
      <c r="I30" s="932" t="s">
        <v>3163</v>
      </c>
      <c r="J30" s="540">
        <f>SUMIF(88:88,E30,89:89)-SUMIF(88:88,C30,89:89)+100</f>
        <v>100</v>
      </c>
      <c r="K30" s="584">
        <v>5</v>
      </c>
      <c r="L30" s="2143"/>
      <c r="M30" s="2135"/>
      <c r="N30" s="2135"/>
      <c r="O30" s="2142"/>
      <c r="P30" s="3477"/>
      <c r="Q30" s="1572" t="str">
        <f t="shared" si="11"/>
        <v>物业等级</v>
      </c>
      <c r="R30" s="1573" t="s">
        <v>8</v>
      </c>
      <c r="S30" s="1574">
        <f t="shared" si="12"/>
        <v>100</v>
      </c>
      <c r="T30" s="1573" t="s">
        <v>8</v>
      </c>
      <c r="U30" s="1574">
        <f t="shared" si="13"/>
        <v>100</v>
      </c>
      <c r="V30" s="1573" t="s">
        <v>8</v>
      </c>
      <c r="W30" s="1574">
        <f t="shared" si="14"/>
        <v>100</v>
      </c>
      <c r="X30" s="1567"/>
      <c r="Y30" s="3477"/>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f>LOOKUP(E31,91:91,92:92)-LOOKUP(C31,91:91,92:92)+100</f>
        <v>100</v>
      </c>
      <c r="G31" s="880"/>
      <c r="H31" s="540">
        <f>LOOKUP(G31,91:91,92:92)-LOOKUP(C31,91:91,92:92)+100</f>
        <v>100</v>
      </c>
      <c r="I31" s="880"/>
      <c r="J31" s="540">
        <f>LOOKUP(I31,91:91,92:92)-LOOKUP(C31,91:91,92:92)+100</f>
        <v>100</v>
      </c>
      <c r="K31" s="584"/>
      <c r="L31" s="2136"/>
      <c r="M31" s="2137"/>
      <c r="N31" s="2137"/>
      <c r="O31" s="2138"/>
      <c r="P31" s="3477"/>
      <c r="Q31" s="1151" t="str">
        <f t="shared" si="11"/>
        <v>停车位面积</v>
      </c>
      <c r="R31" s="1568" t="s">
        <v>8</v>
      </c>
      <c r="S31" s="1569">
        <f t="shared" si="12"/>
        <v>100</v>
      </c>
      <c r="T31" s="1568" t="s">
        <v>8</v>
      </c>
      <c r="U31" s="1569">
        <f t="shared" si="13"/>
        <v>100</v>
      </c>
      <c r="V31" s="1568" t="s">
        <v>8</v>
      </c>
      <c r="W31" s="1569">
        <f t="shared" si="14"/>
        <v>100</v>
      </c>
      <c r="X31" s="1570"/>
      <c r="Y31" s="3477"/>
      <c r="Z31" s="1150" t="str">
        <f t="shared" si="15"/>
        <v>停车位面积</v>
      </c>
      <c r="AA31" s="1571">
        <f t="shared" si="3"/>
        <v>1</v>
      </c>
      <c r="AB31" s="1571">
        <f t="shared" si="4"/>
        <v>1</v>
      </c>
      <c r="AC31" s="1571">
        <f t="shared" si="5"/>
        <v>1</v>
      </c>
    </row>
    <row r="32" spans="1:29" ht="15">
      <c r="A32" s="931"/>
      <c r="B32" s="582" t="s">
        <v>812</v>
      </c>
      <c r="C32" s="574" t="s">
        <v>3180</v>
      </c>
      <c r="D32" s="540">
        <v>100</v>
      </c>
      <c r="E32" s="574" t="s">
        <v>3180</v>
      </c>
      <c r="F32" s="575">
        <f>SUMIF(93:93,E32,94:94)-SUMIF(93:93,C32,94:94)+100</f>
        <v>100</v>
      </c>
      <c r="G32" s="574" t="s">
        <v>3180</v>
      </c>
      <c r="H32" s="540">
        <f>SUMIF(93:93,G32,94:94)-SUMIF(93:93,C32,94:94)+100</f>
        <v>100</v>
      </c>
      <c r="I32" s="574" t="s">
        <v>3180</v>
      </c>
      <c r="J32" s="540">
        <f>SUMIF(93:93,I32,94:94)-SUMIF(93:93,C32,94:94)+100</f>
        <v>100</v>
      </c>
      <c r="K32" s="584">
        <v>5</v>
      </c>
      <c r="L32" s="2143"/>
      <c r="M32" s="2135"/>
      <c r="N32" s="2135"/>
      <c r="O32" s="2142"/>
      <c r="P32" s="3477" t="s">
        <v>550</v>
      </c>
      <c r="Q32" s="1572" t="str">
        <f t="shared" si="11"/>
        <v>车位类型</v>
      </c>
      <c r="R32" s="1573" t="s">
        <v>8</v>
      </c>
      <c r="S32" s="1574">
        <f t="shared" si="12"/>
        <v>100</v>
      </c>
      <c r="T32" s="1573" t="s">
        <v>8</v>
      </c>
      <c r="U32" s="1574">
        <f t="shared" si="13"/>
        <v>100</v>
      </c>
      <c r="V32" s="1573" t="s">
        <v>8</v>
      </c>
      <c r="W32" s="1574">
        <f t="shared" si="14"/>
        <v>100</v>
      </c>
      <c r="X32" s="1567"/>
      <c r="Y32" s="3477" t="s">
        <v>550</v>
      </c>
      <c r="Z32" s="1575" t="str">
        <f t="shared" si="15"/>
        <v>车位类型</v>
      </c>
      <c r="AA32" s="1576">
        <f t="shared" si="3"/>
        <v>1</v>
      </c>
      <c r="AB32" s="1576">
        <f t="shared" si="4"/>
        <v>1</v>
      </c>
      <c r="AC32" s="1576">
        <f t="shared" si="5"/>
        <v>1</v>
      </c>
    </row>
    <row r="33" spans="1:29" ht="15">
      <c r="A33" s="931"/>
      <c r="B33" s="582" t="s">
        <v>813</v>
      </c>
      <c r="C33" s="574" t="s">
        <v>3001</v>
      </c>
      <c r="D33" s="540">
        <v>100</v>
      </c>
      <c r="E33" s="574" t="s">
        <v>3001</v>
      </c>
      <c r="F33" s="575">
        <f>SUMIF(95:95,E33,96:96)-SUMIF(95:95,C33,96:96)+100</f>
        <v>100</v>
      </c>
      <c r="G33" s="574" t="s">
        <v>3001</v>
      </c>
      <c r="H33" s="540">
        <f>SUMIF(95:95,G33,96:96)-SUMIF(95:95,C33,96:96)+100</f>
        <v>100</v>
      </c>
      <c r="I33" s="574" t="s">
        <v>3001</v>
      </c>
      <c r="J33" s="540">
        <f>SUMIF(95:95,I33,96:96)-SUMIF(95:95,C33,96:96)+100</f>
        <v>100</v>
      </c>
      <c r="K33" s="584">
        <v>3</v>
      </c>
      <c r="L33" s="2143"/>
      <c r="M33" s="2135"/>
      <c r="N33" s="2135"/>
      <c r="O33" s="2142"/>
      <c r="P33" s="3477"/>
      <c r="Q33" s="1572" t="str">
        <f t="shared" si="11"/>
        <v>是否直接入户</v>
      </c>
      <c r="R33" s="1573" t="s">
        <v>8</v>
      </c>
      <c r="S33" s="1574">
        <f t="shared" si="12"/>
        <v>100</v>
      </c>
      <c r="T33" s="1573" t="s">
        <v>8</v>
      </c>
      <c r="U33" s="1574">
        <f t="shared" si="13"/>
        <v>100</v>
      </c>
      <c r="V33" s="1573" t="s">
        <v>8</v>
      </c>
      <c r="W33" s="1574">
        <f t="shared" si="14"/>
        <v>100</v>
      </c>
      <c r="X33" s="1567"/>
      <c r="Y33" s="3477"/>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77"/>
      <c r="Q34" s="1572">
        <f t="shared" si="11"/>
        <v>111</v>
      </c>
      <c r="R34" s="1573" t="s">
        <v>8</v>
      </c>
      <c r="S34" s="1574">
        <f t="shared" si="12"/>
        <v>100</v>
      </c>
      <c r="T34" s="1573" t="s">
        <v>8</v>
      </c>
      <c r="U34" s="1574">
        <f t="shared" si="13"/>
        <v>100</v>
      </c>
      <c r="V34" s="1573" t="s">
        <v>8</v>
      </c>
      <c r="W34" s="1574">
        <f t="shared" si="14"/>
        <v>100</v>
      </c>
      <c r="X34" s="1567"/>
      <c r="Y34" s="3477"/>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77"/>
      <c r="Q35" s="1605">
        <f t="shared" si="11"/>
        <v>111</v>
      </c>
      <c r="R35" s="1577" t="s">
        <v>8</v>
      </c>
      <c r="S35" s="1578">
        <f t="shared" si="12"/>
        <v>100</v>
      </c>
      <c r="T35" s="1577" t="s">
        <v>8</v>
      </c>
      <c r="U35" s="1578">
        <f t="shared" si="13"/>
        <v>100</v>
      </c>
      <c r="V35" s="1577" t="s">
        <v>8</v>
      </c>
      <c r="W35" s="1578">
        <f t="shared" si="14"/>
        <v>100</v>
      </c>
      <c r="X35" s="1579"/>
      <c r="Y35" s="3477"/>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77"/>
      <c r="Q36" s="1572">
        <f t="shared" si="11"/>
        <v>111</v>
      </c>
      <c r="R36" s="1573" t="s">
        <v>8</v>
      </c>
      <c r="S36" s="1574">
        <f t="shared" si="12"/>
        <v>100</v>
      </c>
      <c r="T36" s="1573" t="s">
        <v>8</v>
      </c>
      <c r="U36" s="1574">
        <f t="shared" si="13"/>
        <v>100</v>
      </c>
      <c r="V36" s="1573" t="s">
        <v>8</v>
      </c>
      <c r="W36" s="1574">
        <f t="shared" si="14"/>
        <v>100</v>
      </c>
      <c r="X36" s="1567"/>
      <c r="Y36" s="3477"/>
      <c r="Z36" s="1575">
        <f t="shared" si="15"/>
        <v>111</v>
      </c>
      <c r="AA36" s="1576">
        <f t="shared" si="3"/>
        <v>1</v>
      </c>
      <c r="AB36" s="1576">
        <f t="shared" si="4"/>
        <v>1</v>
      </c>
      <c r="AC36" s="1576">
        <f t="shared" si="5"/>
        <v>1</v>
      </c>
    </row>
    <row r="37" spans="1:29" ht="15">
      <c r="A37" s="1847" t="s">
        <v>2080</v>
      </c>
      <c r="B37" s="1848" t="s">
        <v>3183</v>
      </c>
      <c r="C37" s="2628" t="s">
        <v>1</v>
      </c>
      <c r="D37" s="2629"/>
      <c r="E37" s="2630">
        <v>200000</v>
      </c>
      <c r="F37" s="2631"/>
      <c r="G37" s="2632">
        <v>200000</v>
      </c>
      <c r="H37" s="2633"/>
      <c r="I37" s="2630">
        <v>180000</v>
      </c>
      <c r="J37" s="2633"/>
      <c r="K37" s="1611"/>
      <c r="L37" s="2145"/>
      <c r="M37" s="2146"/>
      <c r="N37" s="2135"/>
      <c r="O37" s="2146"/>
      <c r="P37" s="3439" t="str">
        <f>A37</f>
        <v>成交单价</v>
      </c>
      <c r="Q37" s="3439"/>
      <c r="R37" s="3553">
        <f>E37</f>
        <v>200000</v>
      </c>
      <c r="S37" s="3553"/>
      <c r="T37" s="3553">
        <f>G37</f>
        <v>200000</v>
      </c>
      <c r="U37" s="3553"/>
      <c r="V37" s="3553">
        <f>I37</f>
        <v>180000</v>
      </c>
      <c r="W37" s="3553"/>
      <c r="X37" s="1559"/>
      <c r="Y37" s="1581"/>
      <c r="Z37" s="1559"/>
      <c r="AA37" s="1559"/>
      <c r="AB37" s="1559"/>
      <c r="AC37" s="1559"/>
    </row>
    <row r="38" spans="1:29" ht="15.75" thickBot="1">
      <c r="A38" s="615" t="s">
        <v>2763</v>
      </c>
      <c r="B38" s="888"/>
      <c r="C38" s="2634">
        <f>R39</f>
        <v>201186</v>
      </c>
      <c r="D38" s="2635"/>
      <c r="E38" s="2636">
        <f>R38</f>
        <v>200080</v>
      </c>
      <c r="F38" s="2636"/>
      <c r="G38" s="2634">
        <f>T38</f>
        <v>208247</v>
      </c>
      <c r="H38" s="2635"/>
      <c r="I38" s="2636">
        <f>V38</f>
        <v>195231</v>
      </c>
      <c r="J38" s="2635"/>
      <c r="K38" s="1612"/>
      <c r="L38" s="2145"/>
      <c r="M38" s="2146"/>
      <c r="N38" s="2146"/>
      <c r="O38" s="2146"/>
      <c r="P38" s="3439" t="str">
        <f>A38</f>
        <v>比较价格（元/平方米）</v>
      </c>
      <c r="Q38" s="3439"/>
      <c r="R38" s="3553">
        <f>IF(F1="售价",ROUND(PRODUCT(R37,AA7:AA36),0),ROUND(PRODUCT(R37,AA7:AA36),1))</f>
        <v>200080</v>
      </c>
      <c r="S38" s="3553"/>
      <c r="T38" s="3553">
        <f>IF(F1="售价",ROUND(PRODUCT(T37,AB7:AB36),0),ROUND(PRODUCT(T37,AB7:AB36),1))</f>
        <v>208247</v>
      </c>
      <c r="U38" s="3553"/>
      <c r="V38" s="3553">
        <f>IF(F1="售价",ROUND(PRODUCT(V37,AC7:AC36),0),ROUND(PRODUCT(V37,AC7:AC36),1))</f>
        <v>195231</v>
      </c>
      <c r="W38" s="3553"/>
      <c r="X38" s="1559"/>
      <c r="Y38" s="1559"/>
      <c r="Z38" s="1559"/>
      <c r="AA38" s="1559"/>
      <c r="AB38" s="1559"/>
      <c r="AC38" s="1559"/>
    </row>
    <row r="39" spans="1:29" ht="15.75" thickBot="1">
      <c r="A39" s="621" t="s">
        <v>2940</v>
      </c>
      <c r="B39" s="622"/>
      <c r="C39" s="2637">
        <f>R39</f>
        <v>201186</v>
      </c>
      <c r="D39" s="2637"/>
      <c r="E39" s="2637"/>
      <c r="F39" s="2637"/>
      <c r="G39" s="2637"/>
      <c r="H39" s="2637"/>
      <c r="I39" s="2637"/>
      <c r="J39" s="2637"/>
      <c r="K39" s="1613"/>
      <c r="L39" s="2145"/>
      <c r="M39" s="2146"/>
      <c r="N39" s="2146"/>
      <c r="O39" s="2146"/>
      <c r="P39" s="3436" t="str">
        <f>A39</f>
        <v>估价对象XX用房的比较价格（楼面单价，元/平方米）</v>
      </c>
      <c r="Q39" s="3437"/>
      <c r="R39" s="3552">
        <f>IF(F1="售价",ROUND(AVERAGE(R38:V38),0),ROUND(AVERAGE(R38:V38),1))</f>
        <v>201186</v>
      </c>
      <c r="S39" s="3552"/>
      <c r="T39" s="3552"/>
      <c r="U39" s="3552"/>
      <c r="V39" s="3552"/>
      <c r="W39" s="355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f>IF(E37&lt;E38,E38/E37-1,E37/E38-1)</f>
        <v>3.9999999999995595E-4</v>
      </c>
      <c r="F42" s="627" t="str">
        <f>IF(OR(E42&gt;=0.3,E42&lt;=-0.3),"超过30%","")</f>
        <v/>
      </c>
      <c r="G42" s="626">
        <f>IF(G37&lt;G38,G38/G37-1,G37/G38-1)</f>
        <v>4.1234999999999911E-2</v>
      </c>
      <c r="H42" s="627" t="str">
        <f>IF(OR(G42&gt;=0.3,G42&lt;=-0.3),"超过30%","")</f>
        <v/>
      </c>
      <c r="I42" s="626">
        <f>IF(I37&lt;I38,I38/I37-1,I37/I38-1)</f>
        <v>8.4616666666666562E-2</v>
      </c>
      <c r="J42" s="627" t="str">
        <f>IF(OR(I42&gt;=0.3,I42&lt;=-0.3),"超过30%","")</f>
        <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f>IF(E38&lt;G38,G38/E38-1,E38/G38-1)</f>
        <v>4.0818672530987588E-2</v>
      </c>
      <c r="F43" s="627" t="str">
        <f>IF(OR(E43&gt;=0.2,E43&lt;=-0.2),"超过20%","")</f>
        <v/>
      </c>
      <c r="G43" s="626">
        <f>IF(G38&lt;I38,I38/G38-1,G38/I38-1)</f>
        <v>6.6669739949085871E-2</v>
      </c>
      <c r="H43" s="627" t="str">
        <f>IF(OR(G43&gt;=0.2,G43&lt;=-0.2),"超过20%","")</f>
        <v/>
      </c>
      <c r="I43" s="626">
        <f>IF(I38&lt;E38,E38/I38-1,I38/E38-1)</f>
        <v>2.4837244085211818E-2</v>
      </c>
      <c r="J43" s="627" t="str">
        <f>IF(OR(I43&gt;=0.2,I43&lt;=-0.2),"超过20%","")</f>
        <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f>IF(E37&lt;G37,G37/E37-1,E37/G37-1)</f>
        <v>0</v>
      </c>
      <c r="F44" s="627" t="str">
        <f>IF(OR(E44&gt;=0.3,E44&lt;=-0.3),"超过30%","")</f>
        <v/>
      </c>
      <c r="G44" s="626">
        <f>IF(G37&lt;I37,I37/G37-1,G37/I37-1)</f>
        <v>0.11111111111111116</v>
      </c>
      <c r="H44" s="627" t="str">
        <f>IF(OR(G44&gt;=0.3,G44&lt;=-0.3),"超过30%","")</f>
        <v/>
      </c>
      <c r="I44" s="626">
        <f>IF(I37&lt;E37,E37/I37-1,I37/E37-1)</f>
        <v>0.11111111111111116</v>
      </c>
      <c r="J44" s="627" t="str">
        <f>IF(OR(I44&gt;=0.3,I44&lt;=-0.3),"超过30%","")</f>
        <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t="str">
        <f>C9</f>
        <v>车库</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v>100</v>
      </c>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98</v>
      </c>
      <c r="E64" s="679">
        <f>D64-$K14</f>
        <v>96</v>
      </c>
      <c r="F64" s="679">
        <f>E64-$K14</f>
        <v>94</v>
      </c>
      <c r="G64" s="679">
        <f>F64-$K14</f>
        <v>92</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2560</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98</v>
      </c>
      <c r="E66" s="679">
        <f>D66-$K16</f>
        <v>96</v>
      </c>
      <c r="F66" s="679">
        <f>E66-$K16</f>
        <v>94</v>
      </c>
      <c r="G66" s="679">
        <f>F66-$K16</f>
        <v>92</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2561</v>
      </c>
      <c r="C67" s="2599" t="s">
        <v>2562</v>
      </c>
      <c r="D67" s="2599" t="s">
        <v>2563</v>
      </c>
      <c r="E67" s="2599" t="s">
        <v>2564</v>
      </c>
      <c r="F67" s="2599" t="s">
        <v>2565</v>
      </c>
      <c r="G67" s="2599" t="s">
        <v>2566</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99</v>
      </c>
      <c r="E68" s="679">
        <f>D68-$K18</f>
        <v>98</v>
      </c>
      <c r="F68" s="679">
        <f>E68-$K18</f>
        <v>97</v>
      </c>
      <c r="G68" s="679">
        <f>F68-$K18</f>
        <v>96</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98</v>
      </c>
      <c r="E70" s="679">
        <f>D70-$K20</f>
        <v>96</v>
      </c>
      <c r="F70" s="679">
        <f>E70-$K20</f>
        <v>94</v>
      </c>
      <c r="G70" s="679">
        <f>F70-$K20</f>
        <v>92</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t="str">
        <f>C26</f>
        <v>车库</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3238" t="s">
        <v>3177</v>
      </c>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3237" t="s">
        <v>3178</v>
      </c>
      <c r="D88" s="3237" t="s">
        <v>3179</v>
      </c>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105</v>
      </c>
      <c r="E89" s="679">
        <f t="shared" si="20"/>
        <v>110</v>
      </c>
      <c r="F89" s="679">
        <f t="shared" si="20"/>
        <v>115</v>
      </c>
      <c r="G89" s="679">
        <f t="shared" si="20"/>
        <v>120</v>
      </c>
      <c r="H89" s="679">
        <f t="shared" si="20"/>
        <v>125</v>
      </c>
      <c r="I89" s="679">
        <f t="shared" si="20"/>
        <v>130</v>
      </c>
      <c r="J89" s="679">
        <f t="shared" si="20"/>
        <v>135</v>
      </c>
      <c r="K89" s="679">
        <f t="shared" si="20"/>
        <v>140</v>
      </c>
      <c r="L89" s="679">
        <f t="shared" si="20"/>
        <v>145</v>
      </c>
      <c r="M89" s="679">
        <f t="shared" si="20"/>
        <v>150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0(含)-30</v>
      </c>
      <c r="D90" s="708" t="str">
        <f t="shared" ref="D90:L90" si="21">D91&amp;"(含)"&amp;"-"&amp;E91</f>
        <v>30(含)-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v>0</v>
      </c>
      <c r="D91" s="730">
        <v>30</v>
      </c>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v>100</v>
      </c>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3238" t="s">
        <v>3181</v>
      </c>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3237" t="s">
        <v>3182</v>
      </c>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97</v>
      </c>
      <c r="E96" s="679">
        <f>D96-$K33</f>
        <v>94</v>
      </c>
      <c r="F96" s="679">
        <f>E96-$K33</f>
        <v>91</v>
      </c>
      <c r="G96" s="679">
        <f>F96-$K33</f>
        <v>88</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45" t="s">
        <v>798</v>
      </c>
      <c r="D4" s="3446"/>
      <c r="E4" s="3480" t="s">
        <v>799</v>
      </c>
      <c r="F4" s="3481"/>
      <c r="G4" s="3445" t="s">
        <v>800</v>
      </c>
      <c r="H4" s="3446"/>
      <c r="I4" s="3445" t="s">
        <v>801</v>
      </c>
      <c r="J4" s="3446"/>
      <c r="K4" s="514" t="s">
        <v>802</v>
      </c>
      <c r="L4" s="2134"/>
      <c r="M4" s="2135"/>
      <c r="N4" s="2135"/>
      <c r="O4" s="2135"/>
      <c r="P4" s="3447" t="s">
        <v>803</v>
      </c>
      <c r="Q4" s="3448"/>
      <c r="R4" s="3453" t="s">
        <v>799</v>
      </c>
      <c r="S4" s="3454"/>
      <c r="T4" s="3453" t="s">
        <v>800</v>
      </c>
      <c r="U4" s="3454"/>
      <c r="V4" s="3440" t="s">
        <v>801</v>
      </c>
      <c r="W4" s="3440"/>
      <c r="X4" s="1567"/>
      <c r="Y4" s="3453" t="s">
        <v>803</v>
      </c>
      <c r="Z4" s="3454"/>
      <c r="AA4" s="3442" t="s">
        <v>799</v>
      </c>
      <c r="AB4" s="3443" t="s">
        <v>800</v>
      </c>
      <c r="AC4" s="3442" t="s">
        <v>801</v>
      </c>
    </row>
    <row r="5" spans="1:29" ht="15">
      <c r="A5" s="515"/>
      <c r="B5" s="516"/>
      <c r="C5" s="3461" t="s">
        <v>2934</v>
      </c>
      <c r="D5" s="3462"/>
      <c r="E5" s="3482" t="s">
        <v>2935</v>
      </c>
      <c r="F5" s="3483"/>
      <c r="G5" s="3461" t="s">
        <v>2936</v>
      </c>
      <c r="H5" s="3462"/>
      <c r="I5" s="3461" t="s">
        <v>2937</v>
      </c>
      <c r="J5" s="3462"/>
      <c r="K5" s="514"/>
      <c r="L5" s="2134"/>
      <c r="M5" s="2135"/>
      <c r="N5" s="2135"/>
      <c r="O5" s="2135"/>
      <c r="P5" s="3449"/>
      <c r="Q5" s="3450"/>
      <c r="R5" s="3455"/>
      <c r="S5" s="3456"/>
      <c r="T5" s="3455"/>
      <c r="U5" s="3456"/>
      <c r="V5" s="3440"/>
      <c r="W5" s="3440"/>
      <c r="X5" s="1567"/>
      <c r="Y5" s="3455"/>
      <c r="Z5" s="3456"/>
      <c r="AA5" s="3443"/>
      <c r="AB5" s="3443"/>
      <c r="AC5" s="3443"/>
    </row>
    <row r="6" spans="1:29" ht="15.75" thickBot="1">
      <c r="A6" s="517"/>
      <c r="B6" s="518"/>
      <c r="C6" s="3459" t="s">
        <v>2938</v>
      </c>
      <c r="D6" s="3460"/>
      <c r="E6" s="3478" t="s">
        <v>2938</v>
      </c>
      <c r="F6" s="3479"/>
      <c r="G6" s="3459" t="s">
        <v>2938</v>
      </c>
      <c r="H6" s="3460"/>
      <c r="I6" s="3459" t="s">
        <v>2938</v>
      </c>
      <c r="J6" s="3460"/>
      <c r="K6" s="514" t="s">
        <v>528</v>
      </c>
      <c r="L6" s="2134"/>
      <c r="M6" s="2135"/>
      <c r="N6" s="2135"/>
      <c r="O6" s="2135"/>
      <c r="P6" s="3451"/>
      <c r="Q6" s="3452"/>
      <c r="R6" s="3455"/>
      <c r="S6" s="3456"/>
      <c r="T6" s="3457"/>
      <c r="U6" s="3458"/>
      <c r="V6" s="3440"/>
      <c r="W6" s="3440"/>
      <c r="X6" s="1567"/>
      <c r="Y6" s="3457"/>
      <c r="Z6" s="3458"/>
      <c r="AA6" s="3444"/>
      <c r="AB6" s="3444"/>
      <c r="AC6" s="3444"/>
    </row>
    <row r="7" spans="1:29" s="1220" customFormat="1" ht="15.75" thickBot="1">
      <c r="A7" s="2913"/>
      <c r="B7" s="2920"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71" t="s">
        <v>530</v>
      </c>
      <c r="Q7" s="3473"/>
      <c r="R7" s="1568" t="s">
        <v>8</v>
      </c>
      <c r="S7" s="1569">
        <f t="shared" ref="S7:S14" si="0">F7</f>
        <v>0</v>
      </c>
      <c r="T7" s="1568" t="s">
        <v>8</v>
      </c>
      <c r="U7" s="1569">
        <f t="shared" ref="U7:U14" si="1">H7</f>
        <v>0</v>
      </c>
      <c r="V7" s="1568" t="s">
        <v>8</v>
      </c>
      <c r="W7" s="1569">
        <f t="shared" ref="W7:W14" si="2">J7</f>
        <v>0</v>
      </c>
      <c r="X7" s="1570"/>
      <c r="Y7" s="3471" t="s">
        <v>530</v>
      </c>
      <c r="Z7" s="3472"/>
      <c r="AA7" s="1571" t="e">
        <f>D7/F7</f>
        <v>#DIV/0!</v>
      </c>
      <c r="AB7" s="1571" t="e">
        <f>D7/H7</f>
        <v>#DIV/0!</v>
      </c>
      <c r="AC7" s="1571"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71" t="s">
        <v>533</v>
      </c>
      <c r="Q8" s="3472"/>
      <c r="R8" s="1568" t="s">
        <v>8</v>
      </c>
      <c r="S8" s="1569">
        <f t="shared" si="0"/>
        <v>0</v>
      </c>
      <c r="T8" s="1568" t="s">
        <v>8</v>
      </c>
      <c r="U8" s="1569">
        <f t="shared" si="1"/>
        <v>0</v>
      </c>
      <c r="V8" s="1568" t="s">
        <v>8</v>
      </c>
      <c r="W8" s="1569">
        <f t="shared" si="2"/>
        <v>0</v>
      </c>
      <c r="X8" s="1570"/>
      <c r="Y8" s="3471" t="s">
        <v>533</v>
      </c>
      <c r="Z8" s="3472"/>
      <c r="AA8" s="1571" t="e">
        <f t="shared" ref="AA8:AA34" si="3">D8/F8</f>
        <v>#DIV/0!</v>
      </c>
      <c r="AB8" s="1571" t="e">
        <f t="shared" ref="AB8:AB34" si="4">D8/H8</f>
        <v>#DIV/0!</v>
      </c>
      <c r="AC8" s="1571" t="e">
        <f t="shared" ref="AC8:AC34" si="5">D8/J8</f>
        <v>#DIV/0!</v>
      </c>
    </row>
    <row r="9" spans="1:29" s="1220" customFormat="1" ht="15">
      <c r="A9" s="2915"/>
      <c r="B9" s="2922" t="s">
        <v>2759</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39" t="s">
        <v>535</v>
      </c>
      <c r="Q9" s="1151" t="str">
        <f t="shared" ref="Q9:Q14" si="6">B9</f>
        <v>用途</v>
      </c>
      <c r="R9" s="1568" t="s">
        <v>8</v>
      </c>
      <c r="S9" s="1569">
        <f t="shared" si="0"/>
        <v>100</v>
      </c>
      <c r="T9" s="1568" t="s">
        <v>8</v>
      </c>
      <c r="U9" s="1569">
        <f t="shared" si="1"/>
        <v>100</v>
      </c>
      <c r="V9" s="1568" t="s">
        <v>8</v>
      </c>
      <c r="W9" s="1569">
        <f t="shared" si="2"/>
        <v>100</v>
      </c>
      <c r="X9" s="1570"/>
      <c r="Y9" s="3385" t="s">
        <v>536</v>
      </c>
      <c r="Z9" s="1150" t="str">
        <f t="shared" ref="Z9:Z14" si="7">Q9</f>
        <v>用途</v>
      </c>
      <c r="AA9" s="1571">
        <f t="shared" si="3"/>
        <v>1</v>
      </c>
      <c r="AB9" s="1571">
        <f t="shared" si="4"/>
        <v>1</v>
      </c>
      <c r="AC9" s="1571">
        <f t="shared" si="5"/>
        <v>1</v>
      </c>
    </row>
    <row r="10" spans="1:29" s="1338" customFormat="1" ht="27">
      <c r="A10" s="2916"/>
      <c r="B10" s="2921" t="s">
        <v>2760</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39"/>
      <c r="Q10" s="1151" t="str">
        <f t="shared" si="6"/>
        <v>土地使用年限（年）</v>
      </c>
      <c r="R10" s="1568" t="s">
        <v>8</v>
      </c>
      <c r="S10" s="1569">
        <f t="shared" si="0"/>
        <v>100</v>
      </c>
      <c r="T10" s="1568" t="s">
        <v>8</v>
      </c>
      <c r="U10" s="1569">
        <f t="shared" si="1"/>
        <v>100</v>
      </c>
      <c r="V10" s="1568" t="s">
        <v>8</v>
      </c>
      <c r="W10" s="1569">
        <f t="shared" si="2"/>
        <v>100</v>
      </c>
      <c r="X10" s="1570"/>
      <c r="Y10" s="3385"/>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439"/>
      <c r="Q11" s="1151">
        <f t="shared" si="6"/>
        <v>111</v>
      </c>
      <c r="R11" s="1568" t="s">
        <v>8</v>
      </c>
      <c r="S11" s="1569">
        <f t="shared" si="0"/>
        <v>100</v>
      </c>
      <c r="T11" s="1568" t="s">
        <v>8</v>
      </c>
      <c r="U11" s="1569">
        <f t="shared" si="1"/>
        <v>100</v>
      </c>
      <c r="V11" s="1568" t="s">
        <v>8</v>
      </c>
      <c r="W11" s="1569">
        <f t="shared" si="2"/>
        <v>100</v>
      </c>
      <c r="X11" s="1570"/>
      <c r="Y11" s="3385"/>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439"/>
      <c r="Q12" s="1151">
        <f t="shared" si="6"/>
        <v>111</v>
      </c>
      <c r="R12" s="1568" t="s">
        <v>8</v>
      </c>
      <c r="S12" s="1569">
        <f t="shared" si="0"/>
        <v>100</v>
      </c>
      <c r="T12" s="1568" t="s">
        <v>8</v>
      </c>
      <c r="U12" s="1569">
        <f t="shared" si="1"/>
        <v>100</v>
      </c>
      <c r="V12" s="1568" t="s">
        <v>8</v>
      </c>
      <c r="W12" s="1569">
        <f t="shared" si="2"/>
        <v>100</v>
      </c>
      <c r="X12" s="1570"/>
      <c r="Y12" s="3385"/>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439"/>
      <c r="Q13" s="1151">
        <f t="shared" si="6"/>
        <v>111</v>
      </c>
      <c r="R13" s="1568" t="s">
        <v>8</v>
      </c>
      <c r="S13" s="1569">
        <f t="shared" si="0"/>
        <v>100</v>
      </c>
      <c r="T13" s="1568" t="s">
        <v>8</v>
      </c>
      <c r="U13" s="1569">
        <f t="shared" si="1"/>
        <v>100</v>
      </c>
      <c r="V13" s="1568" t="s">
        <v>8</v>
      </c>
      <c r="W13" s="1569">
        <f t="shared" si="2"/>
        <v>100</v>
      </c>
      <c r="X13" s="1570"/>
      <c r="Y13" s="3385"/>
      <c r="Z13" s="1150">
        <f t="shared" si="7"/>
        <v>111</v>
      </c>
      <c r="AA13" s="1571">
        <f t="shared" si="3"/>
        <v>1</v>
      </c>
      <c r="AB13" s="1571">
        <f t="shared" si="4"/>
        <v>1</v>
      </c>
      <c r="AC13" s="1571">
        <f t="shared" si="5"/>
        <v>1</v>
      </c>
    </row>
    <row r="14" spans="1:29" ht="85.5">
      <c r="A14" s="2911" t="s">
        <v>2757</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74" t="s">
        <v>540</v>
      </c>
      <c r="Q14" s="1572" t="str">
        <f t="shared" si="6"/>
        <v>交通便捷度</v>
      </c>
      <c r="R14" s="1573" t="s">
        <v>8</v>
      </c>
      <c r="S14" s="1574">
        <f t="shared" si="0"/>
        <v>100</v>
      </c>
      <c r="T14" s="1573" t="s">
        <v>8</v>
      </c>
      <c r="U14" s="1574">
        <f t="shared" si="1"/>
        <v>100</v>
      </c>
      <c r="V14" s="1573" t="s">
        <v>8</v>
      </c>
      <c r="W14" s="1574">
        <f t="shared" si="2"/>
        <v>100</v>
      </c>
      <c r="X14" s="1567"/>
      <c r="Y14" s="3474"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75"/>
      <c r="Q15" s="1572"/>
      <c r="R15" s="1573"/>
      <c r="S15" s="1574"/>
      <c r="T15" s="1573"/>
      <c r="U15" s="1574"/>
      <c r="V15" s="1573"/>
      <c r="W15" s="1574"/>
      <c r="X15" s="1567"/>
      <c r="Y15" s="3475"/>
      <c r="Z15" s="1575"/>
      <c r="AA15" s="1576">
        <v>1</v>
      </c>
      <c r="AB15" s="1576">
        <v>1</v>
      </c>
      <c r="AC15" s="1576">
        <v>1</v>
      </c>
    </row>
    <row r="16" spans="1:29" ht="42.75">
      <c r="A16" s="532"/>
      <c r="B16" s="2604" t="s">
        <v>2549</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75"/>
      <c r="Q16" s="1572" t="str">
        <f>B16</f>
        <v>公共配套设施</v>
      </c>
      <c r="R16" s="1573" t="s">
        <v>8</v>
      </c>
      <c r="S16" s="1574">
        <f>F16</f>
        <v>100</v>
      </c>
      <c r="T16" s="1573" t="s">
        <v>8</v>
      </c>
      <c r="U16" s="1574">
        <f>H16</f>
        <v>100</v>
      </c>
      <c r="V16" s="1573" t="s">
        <v>8</v>
      </c>
      <c r="W16" s="1574">
        <f>J16</f>
        <v>100</v>
      </c>
      <c r="X16" s="1567"/>
      <c r="Y16" s="347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75"/>
      <c r="Q17" s="1572"/>
      <c r="R17" s="1573"/>
      <c r="S17" s="1574"/>
      <c r="T17" s="1573"/>
      <c r="U17" s="1574"/>
      <c r="V17" s="1573"/>
      <c r="W17" s="1574"/>
      <c r="X17" s="1567"/>
      <c r="Y17" s="3475"/>
      <c r="Z17" s="1575"/>
      <c r="AA17" s="1576">
        <v>1</v>
      </c>
      <c r="AB17" s="1576">
        <v>1</v>
      </c>
      <c r="AC17" s="1576">
        <v>1</v>
      </c>
    </row>
    <row r="18" spans="1:29" ht="28.5">
      <c r="A18" s="532"/>
      <c r="B18" s="2592" t="s">
        <v>2561</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75"/>
      <c r="Q18" s="2580" t="str">
        <f>B18</f>
        <v>基础设施水平</v>
      </c>
      <c r="R18" s="1573" t="s">
        <v>8</v>
      </c>
      <c r="S18" s="1574">
        <f>F18</f>
        <v>100</v>
      </c>
      <c r="T18" s="1573" t="s">
        <v>8</v>
      </c>
      <c r="U18" s="1574">
        <f>H18</f>
        <v>100</v>
      </c>
      <c r="V18" s="1573" t="s">
        <v>8</v>
      </c>
      <c r="W18" s="1574">
        <f>J18</f>
        <v>100</v>
      </c>
      <c r="X18" s="2582"/>
      <c r="Y18" s="3475"/>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75"/>
      <c r="Q19" s="2580"/>
      <c r="R19" s="1573"/>
      <c r="S19" s="1574"/>
      <c r="T19" s="1573"/>
      <c r="U19" s="1574"/>
      <c r="V19" s="1573"/>
      <c r="W19" s="1574"/>
      <c r="X19" s="2582"/>
      <c r="Y19" s="3475"/>
      <c r="Z19" s="2581"/>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75"/>
      <c r="Q20" s="1572" t="str">
        <f>B20</f>
        <v>自然及人文环境</v>
      </c>
      <c r="R20" s="1573" t="s">
        <v>8</v>
      </c>
      <c r="S20" s="1574">
        <f>F20</f>
        <v>100</v>
      </c>
      <c r="T20" s="1573" t="s">
        <v>8</v>
      </c>
      <c r="U20" s="1574">
        <f>H20</f>
        <v>100</v>
      </c>
      <c r="V20" s="1573" t="s">
        <v>8</v>
      </c>
      <c r="W20" s="1574">
        <f>J20</f>
        <v>100</v>
      </c>
      <c r="X20" s="1567"/>
      <c r="Y20" s="347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75"/>
      <c r="Q21" s="1572"/>
      <c r="R21" s="1573"/>
      <c r="S21" s="1574"/>
      <c r="T21" s="1573"/>
      <c r="U21" s="1574"/>
      <c r="V21" s="1573"/>
      <c r="W21" s="1574"/>
      <c r="X21" s="1567"/>
      <c r="Y21" s="3475"/>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75"/>
      <c r="Q22" s="1572" t="str">
        <f>B22</f>
        <v>楼层</v>
      </c>
      <c r="R22" s="1573" t="s">
        <v>8</v>
      </c>
      <c r="S22" s="1574">
        <f>F22</f>
        <v>100</v>
      </c>
      <c r="T22" s="1573" t="s">
        <v>8</v>
      </c>
      <c r="U22" s="1574">
        <f>H22</f>
        <v>100</v>
      </c>
      <c r="V22" s="1573" t="s">
        <v>8</v>
      </c>
      <c r="W22" s="1574">
        <f>J22</f>
        <v>100</v>
      </c>
      <c r="X22" s="1567"/>
      <c r="Y22" s="347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75"/>
      <c r="Q23" s="1572">
        <f>B23</f>
        <v>111</v>
      </c>
      <c r="R23" s="1573" t="s">
        <v>8</v>
      </c>
      <c r="S23" s="1574">
        <f>F23</f>
        <v>100</v>
      </c>
      <c r="T23" s="1573" t="s">
        <v>8</v>
      </c>
      <c r="U23" s="1574">
        <f>H23</f>
        <v>100</v>
      </c>
      <c r="V23" s="1573" t="s">
        <v>8</v>
      </c>
      <c r="W23" s="1574">
        <f>J23</f>
        <v>100</v>
      </c>
      <c r="X23" s="1567"/>
      <c r="Y23" s="347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75"/>
      <c r="Q24" s="1572">
        <f t="shared" ref="Q24:Q34" si="11">B24</f>
        <v>111</v>
      </c>
      <c r="R24" s="1573" t="s">
        <v>8</v>
      </c>
      <c r="S24" s="1574">
        <f>F24</f>
        <v>100</v>
      </c>
      <c r="T24" s="1573" t="s">
        <v>8</v>
      </c>
      <c r="U24" s="1574">
        <f>H24</f>
        <v>100</v>
      </c>
      <c r="V24" s="1573" t="s">
        <v>8</v>
      </c>
      <c r="W24" s="1574">
        <f>J24</f>
        <v>100</v>
      </c>
      <c r="X24" s="1567"/>
      <c r="Y24" s="3475"/>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75"/>
      <c r="Q25" s="1151">
        <f t="shared" si="11"/>
        <v>111</v>
      </c>
      <c r="R25" s="1568" t="s">
        <v>8</v>
      </c>
      <c r="S25" s="1569">
        <f>F25</f>
        <v>100</v>
      </c>
      <c r="T25" s="1568" t="s">
        <v>8</v>
      </c>
      <c r="U25" s="1569">
        <f>H25</f>
        <v>100</v>
      </c>
      <c r="V25" s="1568" t="s">
        <v>8</v>
      </c>
      <c r="W25" s="1569">
        <f>J25</f>
        <v>100</v>
      </c>
      <c r="X25" s="1570"/>
      <c r="Y25" s="3475"/>
      <c r="Z25" s="1150">
        <f>Q25</f>
        <v>111</v>
      </c>
      <c r="AA25" s="1576">
        <f>D25/F25</f>
        <v>1</v>
      </c>
      <c r="AB25" s="1576">
        <f>D25/H25</f>
        <v>1</v>
      </c>
      <c r="AC25" s="1576">
        <f>D25/J25</f>
        <v>1</v>
      </c>
    </row>
    <row r="26" spans="1:29" ht="15">
      <c r="A26" s="2908" t="s">
        <v>2758</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76"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77"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77"/>
      <c r="Q27" s="1605" t="str">
        <f t="shared" si="11"/>
        <v>成新率</v>
      </c>
      <c r="R27" s="1577" t="s">
        <v>8</v>
      </c>
      <c r="S27" s="1578" t="e">
        <f t="shared" si="12"/>
        <v>#N/A</v>
      </c>
      <c r="T27" s="1577" t="s">
        <v>8</v>
      </c>
      <c r="U27" s="1578" t="e">
        <f t="shared" si="13"/>
        <v>#N/A</v>
      </c>
      <c r="V27" s="1577" t="s">
        <v>8</v>
      </c>
      <c r="W27" s="1578" t="e">
        <f t="shared" si="14"/>
        <v>#N/A</v>
      </c>
      <c r="X27" s="1579"/>
      <c r="Y27" s="3477"/>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77"/>
      <c r="Q28" s="1572" t="str">
        <f t="shared" si="11"/>
        <v>物业等级</v>
      </c>
      <c r="R28" s="1573" t="s">
        <v>8</v>
      </c>
      <c r="S28" s="1574">
        <f t="shared" si="12"/>
        <v>100</v>
      </c>
      <c r="T28" s="1573" t="s">
        <v>8</v>
      </c>
      <c r="U28" s="1574">
        <f t="shared" si="13"/>
        <v>100</v>
      </c>
      <c r="V28" s="1573" t="s">
        <v>8</v>
      </c>
      <c r="W28" s="1574">
        <f t="shared" si="14"/>
        <v>100</v>
      </c>
      <c r="X28" s="1567"/>
      <c r="Y28" s="3477"/>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77"/>
      <c r="Q29" s="1572" t="str">
        <f t="shared" si="11"/>
        <v>有无电梯</v>
      </c>
      <c r="R29" s="1573" t="s">
        <v>8</v>
      </c>
      <c r="S29" s="1574">
        <f t="shared" si="12"/>
        <v>100</v>
      </c>
      <c r="T29" s="1573" t="s">
        <v>8</v>
      </c>
      <c r="U29" s="1574">
        <f t="shared" si="13"/>
        <v>100</v>
      </c>
      <c r="V29" s="1573" t="s">
        <v>8</v>
      </c>
      <c r="W29" s="1574">
        <f t="shared" si="14"/>
        <v>100</v>
      </c>
      <c r="X29" s="1567"/>
      <c r="Y29" s="3477"/>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77"/>
      <c r="Q30" s="1572" t="str">
        <f t="shared" si="11"/>
        <v>建筑面积</v>
      </c>
      <c r="R30" s="1573" t="s">
        <v>8</v>
      </c>
      <c r="S30" s="1574" t="e">
        <f t="shared" si="12"/>
        <v>#N/A</v>
      </c>
      <c r="T30" s="1573" t="s">
        <v>8</v>
      </c>
      <c r="U30" s="1574" t="e">
        <f t="shared" si="13"/>
        <v>#N/A</v>
      </c>
      <c r="V30" s="1573" t="s">
        <v>8</v>
      </c>
      <c r="W30" s="1574" t="e">
        <f t="shared" si="14"/>
        <v>#N/A</v>
      </c>
      <c r="X30" s="1567"/>
      <c r="Y30" s="3477"/>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77"/>
      <c r="Q31" s="1151" t="str">
        <f t="shared" si="11"/>
        <v>是否封闭</v>
      </c>
      <c r="R31" s="1568" t="s">
        <v>8</v>
      </c>
      <c r="S31" s="1569">
        <f t="shared" si="12"/>
        <v>100</v>
      </c>
      <c r="T31" s="1568" t="s">
        <v>8</v>
      </c>
      <c r="U31" s="1569">
        <f t="shared" si="13"/>
        <v>100</v>
      </c>
      <c r="V31" s="1568" t="s">
        <v>8</v>
      </c>
      <c r="W31" s="1569">
        <f t="shared" si="14"/>
        <v>100</v>
      </c>
      <c r="X31" s="1570"/>
      <c r="Y31" s="3477"/>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77" t="s">
        <v>550</v>
      </c>
      <c r="Q32" s="1572">
        <f t="shared" si="11"/>
        <v>111</v>
      </c>
      <c r="R32" s="1573" t="s">
        <v>8</v>
      </c>
      <c r="S32" s="1574">
        <f t="shared" si="12"/>
        <v>100</v>
      </c>
      <c r="T32" s="1573" t="s">
        <v>8</v>
      </c>
      <c r="U32" s="1574">
        <f t="shared" si="13"/>
        <v>100</v>
      </c>
      <c r="V32" s="1573" t="s">
        <v>8</v>
      </c>
      <c r="W32" s="1574">
        <f t="shared" si="14"/>
        <v>100</v>
      </c>
      <c r="X32" s="1567"/>
      <c r="Y32" s="3477"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77"/>
      <c r="Q33" s="1572">
        <f t="shared" si="11"/>
        <v>111</v>
      </c>
      <c r="R33" s="1573" t="s">
        <v>8</v>
      </c>
      <c r="S33" s="1574">
        <f t="shared" si="12"/>
        <v>100</v>
      </c>
      <c r="T33" s="1573" t="s">
        <v>8</v>
      </c>
      <c r="U33" s="1574">
        <f t="shared" si="13"/>
        <v>100</v>
      </c>
      <c r="V33" s="1573" t="s">
        <v>8</v>
      </c>
      <c r="W33" s="1574">
        <f t="shared" si="14"/>
        <v>100</v>
      </c>
      <c r="X33" s="1567"/>
      <c r="Y33" s="3477"/>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77"/>
      <c r="Q34" s="1572">
        <f t="shared" si="11"/>
        <v>111</v>
      </c>
      <c r="R34" s="1573" t="s">
        <v>8</v>
      </c>
      <c r="S34" s="1574">
        <f t="shared" si="12"/>
        <v>100</v>
      </c>
      <c r="T34" s="1573" t="s">
        <v>8</v>
      </c>
      <c r="U34" s="1574">
        <f t="shared" si="13"/>
        <v>100</v>
      </c>
      <c r="V34" s="1573" t="s">
        <v>8</v>
      </c>
      <c r="W34" s="1574">
        <f t="shared" si="14"/>
        <v>100</v>
      </c>
      <c r="X34" s="1567"/>
      <c r="Y34" s="3477"/>
      <c r="Z34" s="1575">
        <f t="shared" si="15"/>
        <v>111</v>
      </c>
      <c r="AA34" s="1576">
        <f t="shared" si="3"/>
        <v>1</v>
      </c>
      <c r="AB34" s="1576">
        <f t="shared" si="4"/>
        <v>1</v>
      </c>
      <c r="AC34" s="1576">
        <f t="shared" si="5"/>
        <v>1</v>
      </c>
    </row>
    <row r="35" spans="1:29" ht="15">
      <c r="A35" s="607" t="s">
        <v>736</v>
      </c>
      <c r="B35" s="887"/>
      <c r="C35" s="2628" t="s">
        <v>1</v>
      </c>
      <c r="D35" s="2629"/>
      <c r="E35" s="2630"/>
      <c r="F35" s="2631"/>
      <c r="G35" s="2632"/>
      <c r="H35" s="2633"/>
      <c r="I35" s="2630"/>
      <c r="J35" s="2633"/>
      <c r="K35" s="1611"/>
      <c r="L35" s="2145"/>
      <c r="M35" s="2146"/>
      <c r="N35" s="2135"/>
      <c r="O35" s="2146"/>
      <c r="P35" s="3439" t="str">
        <f>A35</f>
        <v>成交单价（元/平方米）</v>
      </c>
      <c r="Q35" s="3439"/>
      <c r="R35" s="3553">
        <f>E35</f>
        <v>0</v>
      </c>
      <c r="S35" s="3553"/>
      <c r="T35" s="3553">
        <f>G35</f>
        <v>0</v>
      </c>
      <c r="U35" s="3553"/>
      <c r="V35" s="3553">
        <f>I35</f>
        <v>0</v>
      </c>
      <c r="W35" s="3553"/>
      <c r="X35" s="1559"/>
      <c r="Y35" s="1581"/>
      <c r="Z35" s="1559"/>
      <c r="AA35" s="1559"/>
      <c r="AB35" s="1559"/>
      <c r="AC35" s="1559"/>
    </row>
    <row r="36" spans="1:29" ht="15.75" thickBot="1">
      <c r="A36" s="615" t="s">
        <v>2763</v>
      </c>
      <c r="B36" s="888"/>
      <c r="C36" s="2634" t="e">
        <f>R37</f>
        <v>#DIV/0!</v>
      </c>
      <c r="D36" s="2635"/>
      <c r="E36" s="2636" t="e">
        <f>R36</f>
        <v>#DIV/0!</v>
      </c>
      <c r="F36" s="2636"/>
      <c r="G36" s="2634" t="e">
        <f>T36</f>
        <v>#DIV/0!</v>
      </c>
      <c r="H36" s="2635"/>
      <c r="I36" s="2636" t="e">
        <f>V36</f>
        <v>#DIV/0!</v>
      </c>
      <c r="J36" s="2635"/>
      <c r="K36" s="1612"/>
      <c r="L36" s="2145"/>
      <c r="M36" s="2146"/>
      <c r="N36" s="2135"/>
      <c r="O36" s="2146"/>
      <c r="P36" s="3439" t="str">
        <f>A36</f>
        <v>比较价格（元/平方米）</v>
      </c>
      <c r="Q36" s="3439"/>
      <c r="R36" s="3553" t="e">
        <f>IF(F1="售价",ROUND(PRODUCT(R35,AA7:AA34),0),ROUND(PRODUCT(R35,AA7:AA34),1))</f>
        <v>#DIV/0!</v>
      </c>
      <c r="S36" s="3553"/>
      <c r="T36" s="3553" t="e">
        <f>IF(F1="售价",ROUND(PRODUCT(T35,AB7:AB34),0),ROUND(PRODUCT(T35,AB7:AB34),1))</f>
        <v>#DIV/0!</v>
      </c>
      <c r="U36" s="3553"/>
      <c r="V36" s="3553" t="e">
        <f>IF(F1="售价",ROUND(PRODUCT(V35,AC7:AC34),0),ROUND(PRODUCT(V35,AC7:AC34),1))</f>
        <v>#DIV/0!</v>
      </c>
      <c r="W36" s="3553"/>
      <c r="X36" s="1559"/>
      <c r="Y36" s="1559"/>
      <c r="Z36" s="1559"/>
      <c r="AA36" s="1559"/>
      <c r="AB36" s="1559"/>
      <c r="AC36" s="1559"/>
    </row>
    <row r="37" spans="1:29" ht="15.75" thickBot="1">
      <c r="A37" s="621" t="s">
        <v>2940</v>
      </c>
      <c r="B37" s="622"/>
      <c r="C37" s="2637" t="e">
        <f>R37</f>
        <v>#DIV/0!</v>
      </c>
      <c r="D37" s="2637"/>
      <c r="E37" s="2637"/>
      <c r="F37" s="2637"/>
      <c r="G37" s="2637"/>
      <c r="H37" s="2637"/>
      <c r="I37" s="2637"/>
      <c r="J37" s="2637"/>
      <c r="K37" s="1613"/>
      <c r="L37" s="2145"/>
      <c r="M37" s="2146"/>
      <c r="N37" s="2146"/>
      <c r="O37" s="2146"/>
      <c r="P37" s="3436" t="str">
        <f>A37</f>
        <v>估价对象XX用房的比较价格（楼面单价，元/平方米）</v>
      </c>
      <c r="Q37" s="3437"/>
      <c r="R37" s="3552" t="e">
        <f>IF(F1="售价",ROUND(AVERAGE(R36:V36),0),ROUND(AVERAGE(R36:V36),1))</f>
        <v>#DIV/0!</v>
      </c>
      <c r="S37" s="3552"/>
      <c r="T37" s="3552"/>
      <c r="U37" s="3552"/>
      <c r="V37" s="3552"/>
      <c r="W37" s="355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529</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2560</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2561</v>
      </c>
      <c r="C65" s="2599" t="s">
        <v>2562</v>
      </c>
      <c r="D65" s="2599" t="s">
        <v>2563</v>
      </c>
      <c r="E65" s="2599" t="s">
        <v>2564</v>
      </c>
      <c r="F65" s="2599" t="s">
        <v>2565</v>
      </c>
      <c r="G65" s="2599" t="s">
        <v>2566</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32" sqref="G32"/>
      <selection pane="bottomLeft" activeCell="G32" sqref="G32"/>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2306</v>
      </c>
      <c r="C1" s="3564" t="s">
        <v>2307</v>
      </c>
      <c r="D1" s="3565"/>
      <c r="E1" s="3565"/>
      <c r="F1" s="3565"/>
      <c r="G1" s="3565"/>
      <c r="H1" s="3565"/>
      <c r="I1" s="3565"/>
      <c r="J1" s="3565"/>
      <c r="K1" s="3565"/>
      <c r="L1" s="3565"/>
      <c r="M1" s="3565"/>
      <c r="N1" s="3565"/>
      <c r="O1" s="3565"/>
      <c r="P1" s="3565"/>
      <c r="Q1" s="3565"/>
      <c r="R1" s="3565"/>
      <c r="S1" s="3566"/>
      <c r="T1" s="2235" t="s">
        <v>2308</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1" t="s">
        <v>2933</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3" t="s">
        <v>2932</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3" t="s">
        <v>2931</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2"/>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1" t="s">
        <v>2946</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1" t="s">
        <v>2930</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1" t="s">
        <v>2929</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2310</v>
      </c>
      <c r="B17" s="2279" t="s">
        <v>2311</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61" t="s">
        <v>20</v>
      </c>
      <c r="D22" s="3562"/>
      <c r="E22" s="3562"/>
      <c r="F22" s="3562"/>
      <c r="G22" s="3562"/>
      <c r="H22" s="3562"/>
      <c r="I22" s="3562"/>
      <c r="J22" s="3562"/>
      <c r="K22" s="3562"/>
      <c r="L22" s="3562"/>
      <c r="M22" s="3562"/>
      <c r="N22" s="3562"/>
      <c r="O22" s="3562"/>
      <c r="P22" s="3562"/>
      <c r="Q22" s="3563"/>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L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customWidth="1"/>
    <col min="1538" max="1538" width="13.25"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480" width="9" style="2940"/>
    <col min="2483"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2791</v>
      </c>
      <c r="C1" s="3005">
        <f>项目基本情况!D3</f>
        <v>43383</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2822</v>
      </c>
      <c r="C2" s="3006">
        <f>'数据-取费表'!B22</f>
        <v>2</v>
      </c>
      <c r="D2" s="3001" t="s">
        <v>2792</v>
      </c>
      <c r="E2" s="3004">
        <f ca="1">INDIRECT("I"&amp;$I$1)/100</f>
        <v>4.7500000000000001E-2</v>
      </c>
      <c r="G2" s="2941"/>
      <c r="H2" s="2941"/>
      <c r="I2" s="2941" t="s">
        <v>2793</v>
      </c>
      <c r="K2" s="2941"/>
      <c r="L2" s="2941"/>
      <c r="M2" s="2941"/>
      <c r="N2" s="2941" t="s">
        <v>2794</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2824</v>
      </c>
      <c r="C3" s="3003">
        <f>'数据-取费表'!B19</f>
        <v>0</v>
      </c>
      <c r="D3" s="3001" t="s">
        <v>2792</v>
      </c>
      <c r="E3" s="3004">
        <f ca="1">INDIRECT("J"&amp;$J$1)/100</f>
        <v>0</v>
      </c>
      <c r="G3" s="2943" t="s">
        <v>2795</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2823</v>
      </c>
      <c r="C4" s="3004">
        <f ca="1">N4/100</f>
        <v>1.4999999999999999E-2</v>
      </c>
      <c r="G4" s="2949" t="s">
        <v>2796</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2797</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2798</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2799</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2800</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2801</v>
      </c>
      <c r="C10" s="2968"/>
      <c r="D10" s="2968"/>
      <c r="E10" s="2968"/>
      <c r="F10" s="2968"/>
      <c r="G10" s="2968"/>
      <c r="H10" s="2968"/>
      <c r="I10" s="2942"/>
      <c r="J10" s="2942"/>
      <c r="K10" s="2968"/>
      <c r="L10" s="2969" t="s">
        <v>2802</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2803</v>
      </c>
      <c r="C11" s="2973" t="s">
        <v>2804</v>
      </c>
      <c r="D11" s="2974" t="s">
        <v>2805</v>
      </c>
      <c r="E11" s="2975"/>
      <c r="F11" s="2974" t="s">
        <v>2806</v>
      </c>
      <c r="G11" s="2976"/>
      <c r="H11" s="2975"/>
      <c r="I11" s="2974" t="s">
        <v>2807</v>
      </c>
      <c r="J11" s="2975"/>
      <c r="K11" s="2971"/>
      <c r="L11" s="2972" t="s">
        <v>2803</v>
      </c>
      <c r="M11" s="2973" t="s">
        <v>2804</v>
      </c>
      <c r="N11" s="2972" t="s">
        <v>2808</v>
      </c>
      <c r="O11" s="2974" t="s">
        <v>2809</v>
      </c>
      <c r="P11" s="2976"/>
      <c r="Q11" s="2976"/>
      <c r="R11" s="2976"/>
      <c r="S11" s="2976"/>
      <c r="T11" s="2975"/>
      <c r="U11" s="2974" t="s">
        <v>2810</v>
      </c>
      <c r="V11" s="2976"/>
      <c r="W11" s="2975"/>
      <c r="X11" s="2972" t="s">
        <v>2811</v>
      </c>
      <c r="Y11" s="2972" t="s">
        <v>2812</v>
      </c>
      <c r="Z11" s="2972" t="s">
        <v>2813</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2814</v>
      </c>
      <c r="E12" s="2981" t="s">
        <v>2815</v>
      </c>
      <c r="F12" s="2981" t="s">
        <v>2816</v>
      </c>
      <c r="G12" s="2981" t="s">
        <v>2817</v>
      </c>
      <c r="H12" s="2981" t="s">
        <v>2799</v>
      </c>
      <c r="I12" s="2982" t="s">
        <v>2818</v>
      </c>
      <c r="J12" s="2982" t="s">
        <v>2818</v>
      </c>
      <c r="K12" s="2978"/>
      <c r="L12" s="2979"/>
      <c r="M12" s="2980"/>
      <c r="N12" s="2979"/>
      <c r="O12" s="2982" t="s">
        <v>2819</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2820</v>
      </c>
      <c r="C13" s="2986">
        <v>42301</v>
      </c>
      <c r="D13" s="2987">
        <v>4.3499999999999996</v>
      </c>
      <c r="E13" s="2987">
        <v>4.3499999999999996</v>
      </c>
      <c r="F13" s="2987">
        <v>4.75</v>
      </c>
      <c r="G13" s="2987">
        <v>4.75</v>
      </c>
      <c r="H13" s="2987">
        <v>4.9000000000000004</v>
      </c>
      <c r="I13" s="2987">
        <v>2.75</v>
      </c>
      <c r="J13" s="2987">
        <v>3.25</v>
      </c>
      <c r="K13" s="2984"/>
      <c r="L13" s="2985" t="s">
        <v>2820</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2821</v>
      </c>
      <c r="Y42" s="2991" t="s">
        <v>2821</v>
      </c>
      <c r="Z42" s="2991" t="s">
        <v>2821</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2821</v>
      </c>
      <c r="Y43" s="2991" t="s">
        <v>2821</v>
      </c>
      <c r="Z43" s="2991" t="s">
        <v>2821</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2821</v>
      </c>
      <c r="Y44" s="2991" t="s">
        <v>2821</v>
      </c>
      <c r="Z44" s="2991" t="s">
        <v>2821</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2821</v>
      </c>
      <c r="Y45" s="2991" t="s">
        <v>2821</v>
      </c>
      <c r="Z45" s="2991" t="s">
        <v>2821</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2821</v>
      </c>
      <c r="Y46" s="2991" t="s">
        <v>2821</v>
      </c>
      <c r="Z46" s="2991" t="s">
        <v>2821</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2821</v>
      </c>
      <c r="Y47" s="2991" t="s">
        <v>2821</v>
      </c>
      <c r="Z47" s="2991" t="s">
        <v>2821</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2821</v>
      </c>
      <c r="Y48" s="2991" t="s">
        <v>2821</v>
      </c>
      <c r="Z48" s="2991" t="s">
        <v>2821</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2821</v>
      </c>
      <c r="Y49" s="2991" t="s">
        <v>2821</v>
      </c>
      <c r="Z49" s="2991" t="s">
        <v>2821</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2821</v>
      </c>
      <c r="Y50" s="2991" t="s">
        <v>2821</v>
      </c>
      <c r="Z50" s="2991" t="s">
        <v>2821</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2821</v>
      </c>
      <c r="V51" s="2991" t="s">
        <v>2821</v>
      </c>
      <c r="W51" s="2991" t="s">
        <v>2821</v>
      </c>
      <c r="X51" s="2991" t="s">
        <v>2821</v>
      </c>
      <c r="Y51" s="2991" t="s">
        <v>2821</v>
      </c>
      <c r="Z51" s="2991" t="s">
        <v>2821</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2821</v>
      </c>
      <c r="J55" s="2991" t="s">
        <v>2821</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8" sqref="P18"/>
    </sheetView>
  </sheetViews>
  <sheetFormatPr defaultRowHeight="13.5"/>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6" sqref="B6:B8"/>
    </sheetView>
  </sheetViews>
  <sheetFormatPr defaultRowHeight="13.5"/>
  <cols>
    <col min="1" max="1" width="11" customWidth="1"/>
    <col min="2" max="4" width="16" customWidth="1"/>
  </cols>
  <sheetData>
    <row r="1" spans="1:5">
      <c r="A1" s="3240" t="s">
        <v>3138</v>
      </c>
      <c r="B1" s="3240" t="s">
        <v>3139</v>
      </c>
      <c r="C1" s="3240" t="s">
        <v>3140</v>
      </c>
      <c r="D1" s="3240" t="s">
        <v>3141</v>
      </c>
      <c r="E1" s="3240" t="s">
        <v>3134</v>
      </c>
    </row>
    <row r="2" spans="1:5">
      <c r="A2" s="3240" t="s">
        <v>3132</v>
      </c>
      <c r="B2">
        <v>10340145.49</v>
      </c>
      <c r="C2">
        <v>10340145.49</v>
      </c>
      <c r="D2">
        <v>0</v>
      </c>
      <c r="E2" s="3240" t="s">
        <v>3135</v>
      </c>
    </row>
    <row r="3" spans="1:5">
      <c r="A3" s="3240" t="s">
        <v>3133</v>
      </c>
      <c r="B3">
        <v>129542391</v>
      </c>
      <c r="C3">
        <v>129542391</v>
      </c>
      <c r="D3">
        <v>0</v>
      </c>
      <c r="E3" s="3240" t="s">
        <v>3316</v>
      </c>
    </row>
    <row r="4" spans="1:5">
      <c r="A4" s="3240" t="s">
        <v>3136</v>
      </c>
      <c r="B4">
        <v>25326000</v>
      </c>
      <c r="C4">
        <v>25326000</v>
      </c>
      <c r="D4">
        <v>0</v>
      </c>
    </row>
    <row r="5" spans="1:5">
      <c r="A5" s="3240" t="s">
        <v>3137</v>
      </c>
      <c r="B5">
        <v>30111639.399999999</v>
      </c>
      <c r="C5">
        <v>30111639.399999999</v>
      </c>
      <c r="D5">
        <v>0</v>
      </c>
    </row>
    <row r="6" spans="1:5" s="3245" customFormat="1">
      <c r="A6" s="3245" t="s">
        <v>3313</v>
      </c>
      <c r="B6" s="3245">
        <f>SUM(B2:B5)</f>
        <v>195320175.89000002</v>
      </c>
      <c r="C6" s="3245">
        <f t="shared" ref="C6:D6" si="0">SUM(C2:C5)</f>
        <v>195320175.89000002</v>
      </c>
      <c r="D6" s="3245">
        <f t="shared" si="0"/>
        <v>0</v>
      </c>
    </row>
    <row r="7" spans="1:5">
      <c r="A7" s="3240" t="s">
        <v>3314</v>
      </c>
      <c r="B7">
        <f>160000000+94472656</f>
        <v>254472656</v>
      </c>
      <c r="C7">
        <f>160000000+94472656</f>
        <v>254472656</v>
      </c>
      <c r="D7">
        <v>0</v>
      </c>
    </row>
    <row r="8" spans="1:5">
      <c r="A8" s="3240" t="s">
        <v>3315</v>
      </c>
      <c r="B8">
        <v>80452432</v>
      </c>
      <c r="C8">
        <v>80452432</v>
      </c>
      <c r="D8">
        <v>0</v>
      </c>
    </row>
    <row r="9" spans="1:5">
      <c r="B9">
        <f>B8*0.0305</f>
        <v>2453799.176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面积指标</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vt:lpstr>
      <vt:lpstr>剩余法-待开发</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外挂费</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2018-10-23T07:33:00Z</dcterms:modified>
</cp:coreProperties>
</file>