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28" yWindow="7320" windowWidth="22992" windowHeight="3552"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state="hidden" r:id="rId48"/>
    <sheet name="租赁情况表" sheetId="81" r:id="rId49"/>
    <sheet name="Sheet3" sheetId="84" r:id="rId50"/>
    <sheet name="Sheet1" sheetId="85" r:id="rId51"/>
    <sheet name="2020大宗案例" sheetId="86"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144" i="81" l="1"/>
  <c r="V143" i="81"/>
  <c r="V142" i="81"/>
  <c r="V141" i="81"/>
  <c r="V140" i="81"/>
  <c r="V135" i="81"/>
  <c r="V136" i="81"/>
  <c r="V137" i="81"/>
  <c r="V138" i="81"/>
  <c r="V134" i="81"/>
  <c r="AD6" i="1" l="1"/>
  <c r="E59" i="83"/>
  <c r="F59" i="83" s="1"/>
  <c r="G59" i="83" s="1"/>
  <c r="H59" i="83" s="1"/>
  <c r="I59" i="83" s="1"/>
  <c r="J59" i="83" s="1"/>
  <c r="K59" i="83" s="1"/>
  <c r="L59" i="83" s="1"/>
  <c r="M59" i="83" s="1"/>
  <c r="N59" i="83" s="1"/>
  <c r="O59" i="83" s="1"/>
  <c r="P59" i="83" s="1"/>
  <c r="Q59" i="83" s="1"/>
  <c r="R59" i="83" s="1"/>
  <c r="S59" i="83" s="1"/>
  <c r="T59" i="83" s="1"/>
  <c r="U59" i="83" s="1"/>
  <c r="V59" i="83" s="1"/>
  <c r="W59" i="83" s="1"/>
  <c r="X59" i="83" s="1"/>
  <c r="Y59" i="83" s="1"/>
  <c r="Z59" i="83" s="1"/>
  <c r="AA59" i="83" s="1"/>
  <c r="AB59" i="83" s="1"/>
  <c r="D59" i="83"/>
  <c r="Q79" i="81"/>
  <c r="Q74" i="81"/>
  <c r="Q137" i="81" s="1"/>
  <c r="Q51" i="81"/>
  <c r="S51" i="81" s="1"/>
  <c r="Q45" i="81"/>
  <c r="S45" i="81" s="1"/>
  <c r="Q44" i="81"/>
  <c r="S44" i="81" s="1"/>
  <c r="Q43" i="81"/>
  <c r="Q27" i="81"/>
  <c r="Q16" i="81"/>
  <c r="J132" i="81"/>
  <c r="I132" i="81"/>
  <c r="H132" i="81"/>
  <c r="U138" i="81"/>
  <c r="U142" i="81"/>
  <c r="H142" i="81"/>
  <c r="U141" i="81"/>
  <c r="U140" i="81"/>
  <c r="U136" i="81"/>
  <c r="H146" i="81"/>
  <c r="H145" i="81"/>
  <c r="R136" i="81"/>
  <c r="R138" i="81"/>
  <c r="R139" i="81"/>
  <c r="R140" i="81"/>
  <c r="R141" i="81"/>
  <c r="S136" i="81"/>
  <c r="S138" i="81"/>
  <c r="S139" i="81"/>
  <c r="S140" i="81"/>
  <c r="S141" i="81"/>
  <c r="Q141" i="81"/>
  <c r="Q140" i="81"/>
  <c r="Q139" i="81"/>
  <c r="Q138" i="81"/>
  <c r="Q136" i="81"/>
  <c r="J135" i="81"/>
  <c r="J136" i="81"/>
  <c r="J137" i="81"/>
  <c r="J138" i="81"/>
  <c r="J139" i="81"/>
  <c r="J140" i="81"/>
  <c r="J141" i="81"/>
  <c r="J134" i="81"/>
  <c r="I139" i="81"/>
  <c r="I137" i="81"/>
  <c r="I135" i="81"/>
  <c r="I134" i="81"/>
  <c r="H141" i="81"/>
  <c r="H140" i="81"/>
  <c r="H139" i="81"/>
  <c r="H138" i="81"/>
  <c r="H137" i="81"/>
  <c r="H136" i="81"/>
  <c r="H135" i="81"/>
  <c r="H134" i="81"/>
  <c r="S6" i="81"/>
  <c r="S7" i="81"/>
  <c r="S8" i="81"/>
  <c r="S9" i="81"/>
  <c r="S10" i="81"/>
  <c r="S11" i="81"/>
  <c r="S12" i="81"/>
  <c r="S13" i="81"/>
  <c r="S14" i="81"/>
  <c r="S15" i="81"/>
  <c r="S16" i="81"/>
  <c r="S17" i="81"/>
  <c r="S18" i="81"/>
  <c r="S19" i="81"/>
  <c r="S20" i="81"/>
  <c r="S21" i="81"/>
  <c r="S22" i="81"/>
  <c r="S23" i="81"/>
  <c r="S24" i="81"/>
  <c r="S25" i="81"/>
  <c r="S26" i="81"/>
  <c r="S27" i="81"/>
  <c r="S28" i="81"/>
  <c r="S29" i="81"/>
  <c r="S30" i="81"/>
  <c r="S31" i="81"/>
  <c r="S32" i="81"/>
  <c r="S33" i="81"/>
  <c r="S34" i="81"/>
  <c r="S35" i="81"/>
  <c r="S36" i="81"/>
  <c r="S37" i="81"/>
  <c r="S38" i="81"/>
  <c r="S39" i="81"/>
  <c r="S40" i="81"/>
  <c r="S41" i="81"/>
  <c r="S42" i="81"/>
  <c r="S43" i="81"/>
  <c r="S46" i="81"/>
  <c r="S47" i="81"/>
  <c r="S48" i="81"/>
  <c r="S49" i="81"/>
  <c r="S50" i="81"/>
  <c r="S52" i="81"/>
  <c r="S53" i="81"/>
  <c r="S54" i="81"/>
  <c r="S55" i="81"/>
  <c r="S56" i="81"/>
  <c r="S57" i="81"/>
  <c r="S58" i="81"/>
  <c r="S59" i="81"/>
  <c r="S60" i="81"/>
  <c r="S61" i="81"/>
  <c r="S62" i="81"/>
  <c r="S63" i="81"/>
  <c r="S64" i="81"/>
  <c r="S65" i="81"/>
  <c r="S66" i="81"/>
  <c r="S67" i="81"/>
  <c r="S68" i="81"/>
  <c r="S69" i="81"/>
  <c r="S70" i="81"/>
  <c r="S71" i="81"/>
  <c r="S72" i="81"/>
  <c r="S73" i="81"/>
  <c r="S74" i="81"/>
  <c r="S75" i="81"/>
  <c r="S76" i="81"/>
  <c r="S77" i="81"/>
  <c r="S78" i="81"/>
  <c r="S79" i="81"/>
  <c r="S80" i="81"/>
  <c r="S81" i="81"/>
  <c r="S82" i="81"/>
  <c r="S83" i="81"/>
  <c r="S84" i="81"/>
  <c r="S85" i="81"/>
  <c r="S86" i="81"/>
  <c r="S87" i="81"/>
  <c r="S88" i="81"/>
  <c r="S89" i="81"/>
  <c r="S90" i="81"/>
  <c r="S91" i="81"/>
  <c r="S92" i="81"/>
  <c r="S93" i="81"/>
  <c r="S94" i="81"/>
  <c r="S95" i="81"/>
  <c r="S96" i="81"/>
  <c r="S97" i="81"/>
  <c r="S98" i="81"/>
  <c r="S99" i="81"/>
  <c r="S100" i="81"/>
  <c r="S101" i="81"/>
  <c r="S102" i="81"/>
  <c r="S103" i="81"/>
  <c r="S104" i="81"/>
  <c r="S105" i="81"/>
  <c r="S106" i="81"/>
  <c r="S107" i="81"/>
  <c r="S108" i="81"/>
  <c r="S109" i="81"/>
  <c r="S110" i="81"/>
  <c r="S111" i="81"/>
  <c r="S112" i="81"/>
  <c r="S113" i="81"/>
  <c r="S114" i="81"/>
  <c r="S115" i="81"/>
  <c r="S116" i="81"/>
  <c r="S117" i="81"/>
  <c r="S118" i="81"/>
  <c r="S119" i="81"/>
  <c r="S120" i="81"/>
  <c r="S121" i="81"/>
  <c r="S122" i="81"/>
  <c r="S123" i="81"/>
  <c r="S124" i="81"/>
  <c r="S125" i="81"/>
  <c r="S126" i="81"/>
  <c r="S5" i="81"/>
  <c r="S137" i="81" l="1"/>
  <c r="R137" i="81"/>
  <c r="U137" i="81" s="1"/>
  <c r="Q135" i="81"/>
  <c r="S135" i="81" s="1"/>
  <c r="Q134" i="81"/>
  <c r="R134" i="81" s="1"/>
  <c r="U134" i="81" s="1"/>
  <c r="S134" i="81"/>
  <c r="R135" i="81" l="1"/>
  <c r="U135" i="81" s="1"/>
  <c r="U143" i="81" s="1"/>
  <c r="U144" i="81" s="1"/>
  <c r="V129" i="84" l="1"/>
  <c r="I128" i="84"/>
  <c r="I127" i="84"/>
  <c r="Q129" i="81"/>
  <c r="Q130" i="81" s="1"/>
  <c r="W127" i="84"/>
  <c r="W128" i="84" s="1"/>
  <c r="I126" i="84"/>
  <c r="V128" i="84"/>
  <c r="U20" i="1"/>
  <c r="U19" i="1"/>
  <c r="U18" i="1"/>
  <c r="N22" i="1" l="1"/>
  <c r="I5" i="83"/>
  <c r="G5" i="83"/>
  <c r="E5" i="83"/>
  <c r="C94" i="9" l="1"/>
  <c r="AQ125" i="84" l="1"/>
  <c r="AP125" i="84"/>
  <c r="AO125" i="84"/>
  <c r="AN125" i="84"/>
  <c r="AM125" i="84"/>
  <c r="AL125" i="84"/>
  <c r="AR125" i="84" s="1"/>
  <c r="AJ125" i="84"/>
  <c r="AI125" i="84"/>
  <c r="AH125" i="84"/>
  <c r="AW125" i="84" s="1"/>
  <c r="AG125" i="84"/>
  <c r="AC125" i="84"/>
  <c r="Q125" i="84"/>
  <c r="AF125" i="84" s="1"/>
  <c r="AU125" i="84" s="1"/>
  <c r="P125" i="84"/>
  <c r="AE125" i="84" s="1"/>
  <c r="AT125" i="84" s="1"/>
  <c r="O125" i="84"/>
  <c r="AD125" i="84" s="1"/>
  <c r="M125" i="84"/>
  <c r="G125" i="84"/>
  <c r="AQ124" i="84"/>
  <c r="AP124" i="84"/>
  <c r="AO124" i="84"/>
  <c r="AN124" i="84"/>
  <c r="AM124" i="84"/>
  <c r="AL124" i="84"/>
  <c r="AR124" i="84" s="1"/>
  <c r="AJ124" i="84"/>
  <c r="AI124" i="84"/>
  <c r="AH124" i="84"/>
  <c r="AG124" i="84"/>
  <c r="AC124" i="84"/>
  <c r="Q124" i="84"/>
  <c r="AF124" i="84" s="1"/>
  <c r="AU124" i="84" s="1"/>
  <c r="P124" i="84"/>
  <c r="AE124" i="84" s="1"/>
  <c r="AT124" i="84" s="1"/>
  <c r="O124" i="84"/>
  <c r="AD124" i="84" s="1"/>
  <c r="M124" i="84"/>
  <c r="G124" i="84"/>
  <c r="AQ123" i="84"/>
  <c r="AP123" i="84"/>
  <c r="AO123" i="84"/>
  <c r="AN123" i="84"/>
  <c r="AM123" i="84"/>
  <c r="AL123" i="84"/>
  <c r="AR123" i="84" s="1"/>
  <c r="AJ123" i="84"/>
  <c r="AI123" i="84"/>
  <c r="AH123" i="84"/>
  <c r="AG123" i="84"/>
  <c r="AC123" i="84"/>
  <c r="Q123" i="84"/>
  <c r="AF123" i="84" s="1"/>
  <c r="AU123" i="84" s="1"/>
  <c r="P123" i="84"/>
  <c r="AE123" i="84" s="1"/>
  <c r="AT123" i="84" s="1"/>
  <c r="O123" i="84"/>
  <c r="AD123" i="84" s="1"/>
  <c r="M123" i="84"/>
  <c r="G123" i="84"/>
  <c r="AQ122" i="84"/>
  <c r="AP122" i="84"/>
  <c r="AO122" i="84"/>
  <c r="AN122" i="84"/>
  <c r="AM122" i="84"/>
  <c r="AL122" i="84"/>
  <c r="AR122" i="84" s="1"/>
  <c r="AJ122" i="84"/>
  <c r="AI122" i="84"/>
  <c r="AH122" i="84"/>
  <c r="AG122" i="84"/>
  <c r="AC122" i="84"/>
  <c r="Q122" i="84"/>
  <c r="AF122" i="84" s="1"/>
  <c r="AU122" i="84" s="1"/>
  <c r="P122" i="84"/>
  <c r="AE122" i="84" s="1"/>
  <c r="AT122" i="84" s="1"/>
  <c r="O122" i="84"/>
  <c r="AD122" i="84" s="1"/>
  <c r="M122" i="84"/>
  <c r="G122" i="84"/>
  <c r="AQ121" i="84"/>
  <c r="AP121" i="84"/>
  <c r="AO121" i="84"/>
  <c r="AN121" i="84"/>
  <c r="AM121" i="84"/>
  <c r="AL121" i="84"/>
  <c r="AR121" i="84" s="1"/>
  <c r="AJ121" i="84"/>
  <c r="AI121" i="84"/>
  <c r="AH121" i="84"/>
  <c r="AG121" i="84"/>
  <c r="AC121" i="84"/>
  <c r="Q121" i="84"/>
  <c r="AF121" i="84" s="1"/>
  <c r="AU121" i="84" s="1"/>
  <c r="P121" i="84"/>
  <c r="AE121" i="84" s="1"/>
  <c r="AT121" i="84" s="1"/>
  <c r="O121" i="84"/>
  <c r="AD121" i="84" s="1"/>
  <c r="M121" i="84"/>
  <c r="G121" i="84"/>
  <c r="AQ120" i="84"/>
  <c r="AP120" i="84"/>
  <c r="AO120" i="84"/>
  <c r="AN120" i="84"/>
  <c r="AM120" i="84"/>
  <c r="AL120" i="84"/>
  <c r="AR120" i="84" s="1"/>
  <c r="AJ120" i="84"/>
  <c r="AI120" i="84"/>
  <c r="AH120" i="84"/>
  <c r="AG120" i="84"/>
  <c r="AC120" i="84"/>
  <c r="Q120" i="84"/>
  <c r="AF120" i="84" s="1"/>
  <c r="AU120" i="84" s="1"/>
  <c r="P120" i="84"/>
  <c r="O120" i="84"/>
  <c r="AD120" i="84" s="1"/>
  <c r="AS120" i="84" s="1"/>
  <c r="AY120" i="84" s="1"/>
  <c r="M120" i="84"/>
  <c r="G120" i="84"/>
  <c r="AQ119" i="84"/>
  <c r="AP119" i="84"/>
  <c r="AO119" i="84"/>
  <c r="AN119" i="84"/>
  <c r="AM119" i="84"/>
  <c r="AL119" i="84"/>
  <c r="AR119" i="84" s="1"/>
  <c r="AJ119" i="84"/>
  <c r="AI119" i="84"/>
  <c r="AH119" i="84"/>
  <c r="AG119" i="84"/>
  <c r="AC119" i="84"/>
  <c r="Q119" i="84"/>
  <c r="AF119" i="84" s="1"/>
  <c r="P119" i="84"/>
  <c r="AE119" i="84" s="1"/>
  <c r="AT119" i="84" s="1"/>
  <c r="O119" i="84"/>
  <c r="AD119" i="84" s="1"/>
  <c r="M119" i="84"/>
  <c r="G119" i="84"/>
  <c r="AQ118" i="84"/>
  <c r="AP118" i="84"/>
  <c r="AO118" i="84"/>
  <c r="AN118" i="84"/>
  <c r="AM118" i="84"/>
  <c r="AL118" i="84"/>
  <c r="AR118" i="84" s="1"/>
  <c r="AJ118" i="84"/>
  <c r="AI118" i="84"/>
  <c r="AH118" i="84"/>
  <c r="AG118" i="84"/>
  <c r="AF118" i="84"/>
  <c r="AC118" i="84"/>
  <c r="Q118" i="84"/>
  <c r="P118" i="84"/>
  <c r="V118" i="84" s="1"/>
  <c r="O118" i="84"/>
  <c r="AD118" i="84" s="1"/>
  <c r="M118" i="84"/>
  <c r="G118" i="84"/>
  <c r="AQ117" i="84"/>
  <c r="AP117" i="84"/>
  <c r="AO117" i="84"/>
  <c r="AN117" i="84"/>
  <c r="AM117" i="84"/>
  <c r="AL117" i="84"/>
  <c r="AR117" i="84" s="1"/>
  <c r="AJ117" i="84"/>
  <c r="AI117" i="84"/>
  <c r="AH117" i="84"/>
  <c r="AG117" i="84"/>
  <c r="AE117" i="84"/>
  <c r="AT117" i="84" s="1"/>
  <c r="AC117" i="84"/>
  <c r="Q117" i="84"/>
  <c r="AF117" i="84" s="1"/>
  <c r="P117" i="84"/>
  <c r="O117" i="84"/>
  <c r="AD117" i="84" s="1"/>
  <c r="M117" i="84"/>
  <c r="G117" i="84"/>
  <c r="AQ116" i="84"/>
  <c r="AP116" i="84"/>
  <c r="AO116" i="84"/>
  <c r="AN116" i="84"/>
  <c r="AM116" i="84"/>
  <c r="AL116" i="84"/>
  <c r="AR116" i="84" s="1"/>
  <c r="AJ116" i="84"/>
  <c r="AI116" i="84"/>
  <c r="AH116" i="84"/>
  <c r="AG116" i="84"/>
  <c r="AC116" i="84"/>
  <c r="Q116" i="84"/>
  <c r="AF116" i="84" s="1"/>
  <c r="AU116" i="84" s="1"/>
  <c r="P116" i="84"/>
  <c r="O116" i="84"/>
  <c r="AD116" i="84" s="1"/>
  <c r="AS116" i="84" s="1"/>
  <c r="AY116" i="84" s="1"/>
  <c r="M116" i="84"/>
  <c r="G116" i="84"/>
  <c r="AQ115" i="84"/>
  <c r="AP115" i="84"/>
  <c r="AO115" i="84"/>
  <c r="AN115" i="84"/>
  <c r="AM115" i="84"/>
  <c r="AL115" i="84"/>
  <c r="AR115" i="84" s="1"/>
  <c r="AJ115" i="84"/>
  <c r="AI115" i="84"/>
  <c r="AH115" i="84"/>
  <c r="AG115" i="84"/>
  <c r="AC115" i="84"/>
  <c r="Q115" i="84"/>
  <c r="AF115" i="84" s="1"/>
  <c r="P115" i="84"/>
  <c r="AE115" i="84" s="1"/>
  <c r="AT115" i="84" s="1"/>
  <c r="O115" i="84"/>
  <c r="AD115" i="84" s="1"/>
  <c r="M115" i="84"/>
  <c r="G115" i="84"/>
  <c r="AQ114" i="84"/>
  <c r="AP114" i="84"/>
  <c r="AO114" i="84"/>
  <c r="AN114" i="84"/>
  <c r="AM114" i="84"/>
  <c r="AL114" i="84"/>
  <c r="AR114" i="84" s="1"/>
  <c r="AJ114" i="84"/>
  <c r="AI114" i="84"/>
  <c r="AH114" i="84"/>
  <c r="AG114" i="84"/>
  <c r="AF114" i="84"/>
  <c r="AC114" i="84"/>
  <c r="Q114" i="84"/>
  <c r="P114" i="84"/>
  <c r="V114" i="84" s="1"/>
  <c r="O114" i="84"/>
  <c r="AD114" i="84" s="1"/>
  <c r="M114" i="84"/>
  <c r="G114" i="84"/>
  <c r="AQ113" i="84"/>
  <c r="AP113" i="84"/>
  <c r="AW113" i="84" s="1"/>
  <c r="AO113" i="84"/>
  <c r="AN113" i="84"/>
  <c r="AM113" i="84"/>
  <c r="AL113" i="84"/>
  <c r="AR113" i="84" s="1"/>
  <c r="AJ113" i="84"/>
  <c r="AI113" i="84"/>
  <c r="AH113" i="84"/>
  <c r="AG113" i="84"/>
  <c r="AC113" i="84"/>
  <c r="Q113" i="84"/>
  <c r="AF113" i="84" s="1"/>
  <c r="AU113" i="84" s="1"/>
  <c r="P113" i="84"/>
  <c r="AE113" i="84" s="1"/>
  <c r="AT113" i="84" s="1"/>
  <c r="O113" i="84"/>
  <c r="AD113" i="84" s="1"/>
  <c r="M113" i="84"/>
  <c r="G113" i="84"/>
  <c r="AQ112" i="84"/>
  <c r="AP112" i="84"/>
  <c r="AO112" i="84"/>
  <c r="AN112" i="84"/>
  <c r="AM112" i="84"/>
  <c r="AL112" i="84"/>
  <c r="AR112" i="84" s="1"/>
  <c r="AJ112" i="84"/>
  <c r="AI112" i="84"/>
  <c r="AH112" i="84"/>
  <c r="AG112" i="84"/>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H111" i="84"/>
  <c r="AG111" i="84"/>
  <c r="AC111" i="84"/>
  <c r="Q111" i="84"/>
  <c r="AF111" i="84" s="1"/>
  <c r="P111" i="84"/>
  <c r="AE111" i="84" s="1"/>
  <c r="AT111" i="84" s="1"/>
  <c r="O111" i="84"/>
  <c r="AD111" i="84" s="1"/>
  <c r="M111" i="84"/>
  <c r="G111" i="84"/>
  <c r="AQ110" i="84"/>
  <c r="AP110" i="84"/>
  <c r="AO110" i="84"/>
  <c r="AN110" i="84"/>
  <c r="AM110" i="84"/>
  <c r="AL110" i="84"/>
  <c r="AR110" i="84" s="1"/>
  <c r="AJ110" i="84"/>
  <c r="AI110" i="84"/>
  <c r="AH110" i="84"/>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H108" i="84"/>
  <c r="AG108" i="84"/>
  <c r="AC108" i="84"/>
  <c r="Q108" i="84"/>
  <c r="AF108" i="84" s="1"/>
  <c r="AU108" i="84" s="1"/>
  <c r="P108" i="84"/>
  <c r="AE108" i="84" s="1"/>
  <c r="AT108" i="84" s="1"/>
  <c r="O108" i="84"/>
  <c r="AD108" i="84" s="1"/>
  <c r="M108" i="84"/>
  <c r="G108" i="84"/>
  <c r="AQ107" i="84"/>
  <c r="AP107" i="84"/>
  <c r="AO107" i="84"/>
  <c r="AN107" i="84"/>
  <c r="AM107" i="84"/>
  <c r="AL107" i="84"/>
  <c r="AR107" i="84" s="1"/>
  <c r="AJ107" i="84"/>
  <c r="AI107" i="84"/>
  <c r="AH107" i="84"/>
  <c r="AG107" i="84"/>
  <c r="AC107" i="84"/>
  <c r="Q107" i="84"/>
  <c r="AF107" i="84" s="1"/>
  <c r="AU107" i="84" s="1"/>
  <c r="P107" i="84"/>
  <c r="O107" i="84"/>
  <c r="AD107" i="84" s="1"/>
  <c r="M107" i="84"/>
  <c r="G107" i="84"/>
  <c r="AQ106" i="84"/>
  <c r="AP106" i="84"/>
  <c r="AO106" i="84"/>
  <c r="AN106" i="84"/>
  <c r="AM106" i="84"/>
  <c r="AL106" i="84"/>
  <c r="AR106" i="84" s="1"/>
  <c r="AJ106" i="84"/>
  <c r="AI106" i="84"/>
  <c r="AH106" i="84"/>
  <c r="AG106" i="84"/>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G105" i="84"/>
  <c r="AC105" i="84"/>
  <c r="Q105" i="84"/>
  <c r="AF105" i="84" s="1"/>
  <c r="AU105" i="84" s="1"/>
  <c r="P105" i="84"/>
  <c r="O105" i="84"/>
  <c r="AD105" i="84" s="1"/>
  <c r="M105" i="84"/>
  <c r="G105" i="84"/>
  <c r="AQ104" i="84"/>
  <c r="AP104" i="84"/>
  <c r="AO104" i="84"/>
  <c r="AN104" i="84"/>
  <c r="AM104" i="84"/>
  <c r="AL104" i="84"/>
  <c r="AR104" i="84" s="1"/>
  <c r="AJ104" i="84"/>
  <c r="AI104" i="84"/>
  <c r="AX104" i="84" s="1"/>
  <c r="AH104" i="84"/>
  <c r="AG104" i="84"/>
  <c r="AV104" i="84" s="1"/>
  <c r="AC104" i="84"/>
  <c r="Q104" i="84"/>
  <c r="AF104" i="84" s="1"/>
  <c r="P104" i="84"/>
  <c r="AE104" i="84" s="1"/>
  <c r="AT104" i="84" s="1"/>
  <c r="O104" i="84"/>
  <c r="AD104" i="84" s="1"/>
  <c r="M104" i="84"/>
  <c r="G104" i="84"/>
  <c r="AQ103" i="84"/>
  <c r="AP103" i="84"/>
  <c r="AO103" i="84"/>
  <c r="AN103" i="84"/>
  <c r="AM103" i="84"/>
  <c r="AL103" i="84"/>
  <c r="AR103" i="84" s="1"/>
  <c r="AJ103" i="84"/>
  <c r="AI103" i="84"/>
  <c r="AH103" i="84"/>
  <c r="AG103" i="84"/>
  <c r="AF103" i="84"/>
  <c r="AC103" i="84"/>
  <c r="Q103" i="84"/>
  <c r="P103" i="84"/>
  <c r="V103" i="84" s="1"/>
  <c r="O103" i="84"/>
  <c r="AD103" i="84" s="1"/>
  <c r="M103" i="84"/>
  <c r="G103" i="84"/>
  <c r="AQ102" i="84"/>
  <c r="AP102" i="84"/>
  <c r="AO102" i="84"/>
  <c r="AN102" i="84"/>
  <c r="AM102" i="84"/>
  <c r="AL102" i="84"/>
  <c r="AR102" i="84" s="1"/>
  <c r="AJ102" i="84"/>
  <c r="AI102" i="84"/>
  <c r="AH102" i="84"/>
  <c r="AW102" i="84" s="1"/>
  <c r="AG102" i="84"/>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P100" i="84"/>
  <c r="AE100" i="84" s="1"/>
  <c r="AT100" i="84" s="1"/>
  <c r="O100" i="84"/>
  <c r="AD100" i="84" s="1"/>
  <c r="M100" i="84"/>
  <c r="G100" i="84"/>
  <c r="AQ99" i="84"/>
  <c r="AP99" i="84"/>
  <c r="AO99" i="84"/>
  <c r="AN99" i="84"/>
  <c r="AM99" i="84"/>
  <c r="AL99" i="84"/>
  <c r="AR99" i="84" s="1"/>
  <c r="AJ99" i="84"/>
  <c r="AI99" i="84"/>
  <c r="AX99" i="84" s="1"/>
  <c r="AH99" i="84"/>
  <c r="AG99" i="84"/>
  <c r="AV99" i="84" s="1"/>
  <c r="AC99" i="84"/>
  <c r="Q99" i="84"/>
  <c r="AF99" i="84" s="1"/>
  <c r="AU99" i="84" s="1"/>
  <c r="P99" i="84"/>
  <c r="O99" i="84"/>
  <c r="AD99" i="84" s="1"/>
  <c r="AS99" i="84" s="1"/>
  <c r="AY99" i="84" s="1"/>
  <c r="M99" i="84"/>
  <c r="G99" i="84"/>
  <c r="AQ98" i="84"/>
  <c r="AP98" i="84"/>
  <c r="AO98" i="84"/>
  <c r="AN98" i="84"/>
  <c r="AM98" i="84"/>
  <c r="AL98" i="84"/>
  <c r="AR98" i="84" s="1"/>
  <c r="AJ98" i="84"/>
  <c r="AI98" i="84"/>
  <c r="AH98" i="84"/>
  <c r="AG98" i="84"/>
  <c r="AE98" i="84"/>
  <c r="AT98" i="84" s="1"/>
  <c r="AC98" i="84"/>
  <c r="Q98" i="84"/>
  <c r="AF98" i="84" s="1"/>
  <c r="P98" i="84"/>
  <c r="O98" i="84"/>
  <c r="AD98" i="84" s="1"/>
  <c r="M98" i="84"/>
  <c r="G98" i="84"/>
  <c r="AQ97" i="84"/>
  <c r="AP97" i="84"/>
  <c r="AO97" i="84"/>
  <c r="AN97" i="84"/>
  <c r="AM97" i="84"/>
  <c r="AL97" i="84"/>
  <c r="AR97" i="84" s="1"/>
  <c r="AJ97" i="84"/>
  <c r="AI97" i="84"/>
  <c r="AH97" i="84"/>
  <c r="AG97" i="84"/>
  <c r="AC97" i="84"/>
  <c r="Q97" i="84"/>
  <c r="AF97" i="84" s="1"/>
  <c r="AU97" i="84" s="1"/>
  <c r="P97" i="84"/>
  <c r="O97" i="84"/>
  <c r="AD97" i="84" s="1"/>
  <c r="AS97" i="84" s="1"/>
  <c r="AY97" i="84" s="1"/>
  <c r="M97" i="84"/>
  <c r="G97" i="84"/>
  <c r="AQ96" i="84"/>
  <c r="AP96" i="84"/>
  <c r="AO96" i="84"/>
  <c r="AN96" i="84"/>
  <c r="AM96" i="84"/>
  <c r="AL96" i="84"/>
  <c r="AR96" i="84" s="1"/>
  <c r="AJ96" i="84"/>
  <c r="AI96" i="84"/>
  <c r="AH96" i="84"/>
  <c r="AW96" i="84" s="1"/>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C95" i="84"/>
  <c r="Q95" i="84"/>
  <c r="AF95" i="84" s="1"/>
  <c r="AU95" i="84" s="1"/>
  <c r="P95" i="84"/>
  <c r="O95" i="84"/>
  <c r="AD95" i="84" s="1"/>
  <c r="AS95" i="84" s="1"/>
  <c r="AY95" i="84" s="1"/>
  <c r="M95" i="84"/>
  <c r="G95" i="84"/>
  <c r="AQ94" i="84"/>
  <c r="AP94" i="84"/>
  <c r="AO94" i="84"/>
  <c r="AN94" i="84"/>
  <c r="AM94" i="84"/>
  <c r="AL94" i="84"/>
  <c r="AR94" i="84" s="1"/>
  <c r="AJ94" i="84"/>
  <c r="AI94" i="84"/>
  <c r="AH94" i="84"/>
  <c r="AG94" i="84"/>
  <c r="AE94" i="84"/>
  <c r="AT94" i="84" s="1"/>
  <c r="AC94" i="84"/>
  <c r="Q94" i="84"/>
  <c r="AF94" i="84" s="1"/>
  <c r="P94" i="84"/>
  <c r="O94" i="84"/>
  <c r="AD94" i="84" s="1"/>
  <c r="M94" i="84"/>
  <c r="G94" i="84"/>
  <c r="AQ93" i="84"/>
  <c r="AP93" i="84"/>
  <c r="AO93" i="84"/>
  <c r="AN93" i="84"/>
  <c r="AM93" i="84"/>
  <c r="AL93" i="84"/>
  <c r="AR93" i="84" s="1"/>
  <c r="AJ93" i="84"/>
  <c r="AI93" i="84"/>
  <c r="AH93" i="84"/>
  <c r="AG93" i="84"/>
  <c r="AC93" i="84"/>
  <c r="Q93" i="84"/>
  <c r="AF93" i="84" s="1"/>
  <c r="AU93" i="84" s="1"/>
  <c r="P93" i="84"/>
  <c r="O93" i="84"/>
  <c r="AD93" i="84" s="1"/>
  <c r="AS93" i="84" s="1"/>
  <c r="AY93" i="84" s="1"/>
  <c r="M93" i="84"/>
  <c r="G93" i="84"/>
  <c r="AQ92" i="84"/>
  <c r="AP92" i="84"/>
  <c r="AO92" i="84"/>
  <c r="AN92" i="84"/>
  <c r="AM92" i="84"/>
  <c r="AL92" i="84"/>
  <c r="AR92" i="84" s="1"/>
  <c r="AJ92" i="84"/>
  <c r="AI92" i="84"/>
  <c r="AH92" i="84"/>
  <c r="AG92" i="84"/>
  <c r="AE92" i="84"/>
  <c r="AT92" i="84" s="1"/>
  <c r="AC92" i="84"/>
  <c r="Q92" i="84"/>
  <c r="AF92" i="84" s="1"/>
  <c r="P92" i="84"/>
  <c r="O92" i="84"/>
  <c r="AD92" i="84" s="1"/>
  <c r="M92" i="84"/>
  <c r="G92" i="84"/>
  <c r="AQ91" i="84"/>
  <c r="AP91" i="84"/>
  <c r="AO91" i="84"/>
  <c r="AN91" i="84"/>
  <c r="AM91" i="84"/>
  <c r="AL91" i="84"/>
  <c r="AR91" i="84" s="1"/>
  <c r="AJ91" i="84"/>
  <c r="AI91" i="84"/>
  <c r="AX91" i="84" s="1"/>
  <c r="AH91" i="84"/>
  <c r="AG91" i="84"/>
  <c r="AV91" i="84" s="1"/>
  <c r="AC91" i="84"/>
  <c r="Q91" i="84"/>
  <c r="AF91" i="84" s="1"/>
  <c r="AU91" i="84" s="1"/>
  <c r="P91" i="84"/>
  <c r="O91" i="84"/>
  <c r="AD91" i="84" s="1"/>
  <c r="AS91" i="84" s="1"/>
  <c r="AY91" i="84" s="1"/>
  <c r="M91" i="84"/>
  <c r="G91" i="84"/>
  <c r="AQ90" i="84"/>
  <c r="AP90" i="84"/>
  <c r="AO90" i="84"/>
  <c r="AN90" i="84"/>
  <c r="AM90" i="84"/>
  <c r="AL90" i="84"/>
  <c r="AR90" i="84" s="1"/>
  <c r="AJ90" i="84"/>
  <c r="AI90" i="84"/>
  <c r="AH90" i="84"/>
  <c r="AG90" i="84"/>
  <c r="AE90" i="84"/>
  <c r="AT90" i="84" s="1"/>
  <c r="AC90" i="84"/>
  <c r="Q90" i="84"/>
  <c r="AF90" i="84" s="1"/>
  <c r="P90" i="84"/>
  <c r="O90" i="84"/>
  <c r="AD90" i="84" s="1"/>
  <c r="M90" i="84"/>
  <c r="G90" i="84"/>
  <c r="AQ89" i="84"/>
  <c r="AP89" i="84"/>
  <c r="AO89" i="84"/>
  <c r="AN89" i="84"/>
  <c r="AM89" i="84"/>
  <c r="AL89" i="84"/>
  <c r="AR89" i="84" s="1"/>
  <c r="AJ89" i="84"/>
  <c r="AI89" i="84"/>
  <c r="AH89" i="84"/>
  <c r="AG89" i="84"/>
  <c r="AC89" i="84"/>
  <c r="Q89" i="84"/>
  <c r="AF89" i="84" s="1"/>
  <c r="AU89" i="84" s="1"/>
  <c r="P89" i="84"/>
  <c r="O89" i="84"/>
  <c r="AD89" i="84" s="1"/>
  <c r="AS89" i="84" s="1"/>
  <c r="AY89" i="84" s="1"/>
  <c r="M89" i="84"/>
  <c r="G89" i="84"/>
  <c r="AQ88" i="84"/>
  <c r="AP88" i="84"/>
  <c r="AO88" i="84"/>
  <c r="AN88" i="84"/>
  <c r="AM88" i="84"/>
  <c r="AL88" i="84"/>
  <c r="AR88" i="84" s="1"/>
  <c r="AJ88" i="84"/>
  <c r="AI88" i="84"/>
  <c r="AH88" i="84"/>
  <c r="AG88" i="84"/>
  <c r="AC88" i="84"/>
  <c r="Q88" i="84"/>
  <c r="AF88" i="84" s="1"/>
  <c r="AU88" i="84" s="1"/>
  <c r="P88" i="84"/>
  <c r="AE88" i="84" s="1"/>
  <c r="AT88" i="84" s="1"/>
  <c r="O88" i="84"/>
  <c r="AD88" i="84" s="1"/>
  <c r="M88" i="84"/>
  <c r="G88" i="84"/>
  <c r="AQ87" i="84"/>
  <c r="AP87" i="84"/>
  <c r="AO87" i="84"/>
  <c r="AN87" i="84"/>
  <c r="AM87" i="84"/>
  <c r="AL87" i="84"/>
  <c r="AR87" i="84" s="1"/>
  <c r="AJ87" i="84"/>
  <c r="AI87" i="84"/>
  <c r="AH87" i="84"/>
  <c r="AG87" i="84"/>
  <c r="AC87" i="84"/>
  <c r="Q87" i="84"/>
  <c r="AF87" i="84" s="1"/>
  <c r="AU87" i="84" s="1"/>
  <c r="P87" i="84"/>
  <c r="O87" i="84"/>
  <c r="AD87" i="84" s="1"/>
  <c r="AS87" i="84" s="1"/>
  <c r="AY87" i="84" s="1"/>
  <c r="M87" i="84"/>
  <c r="G87" i="84"/>
  <c r="AQ86" i="84"/>
  <c r="AP86" i="84"/>
  <c r="AO86" i="84"/>
  <c r="AN86" i="84"/>
  <c r="AM86" i="84"/>
  <c r="AL86" i="84"/>
  <c r="AR86" i="84" s="1"/>
  <c r="AJ86" i="84"/>
  <c r="AI86" i="84"/>
  <c r="AH86" i="84"/>
  <c r="AG86" i="84"/>
  <c r="AC86" i="84"/>
  <c r="Q86" i="84"/>
  <c r="AF86" i="84" s="1"/>
  <c r="AU86" i="84" s="1"/>
  <c r="P86" i="84"/>
  <c r="AE86" i="84" s="1"/>
  <c r="AT86" i="84" s="1"/>
  <c r="O86" i="84"/>
  <c r="AD86" i="84" s="1"/>
  <c r="M86" i="84"/>
  <c r="G86" i="84"/>
  <c r="AQ85" i="84"/>
  <c r="AP85" i="84"/>
  <c r="AO85" i="84"/>
  <c r="AN85" i="84"/>
  <c r="AM85" i="84"/>
  <c r="AL85" i="84"/>
  <c r="AR85" i="84" s="1"/>
  <c r="AJ85" i="84"/>
  <c r="AI85" i="84"/>
  <c r="AH85" i="84"/>
  <c r="AG85" i="84"/>
  <c r="AC85" i="84"/>
  <c r="Q85" i="84"/>
  <c r="AF85" i="84" s="1"/>
  <c r="AU85" i="84" s="1"/>
  <c r="P85" i="84"/>
  <c r="O85" i="84"/>
  <c r="AD85" i="84" s="1"/>
  <c r="AS85" i="84" s="1"/>
  <c r="AY85" i="84" s="1"/>
  <c r="M85" i="84"/>
  <c r="G85" i="84"/>
  <c r="AQ84" i="84"/>
  <c r="AP84" i="84"/>
  <c r="AO84" i="84"/>
  <c r="AN84" i="84"/>
  <c r="AM84" i="84"/>
  <c r="AL84" i="84"/>
  <c r="AR84" i="84" s="1"/>
  <c r="AJ84" i="84"/>
  <c r="AI84" i="84"/>
  <c r="AH84" i="84"/>
  <c r="AG84" i="84"/>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G83" i="84"/>
  <c r="AV83" i="84" s="1"/>
  <c r="AC83" i="84"/>
  <c r="Q83" i="84"/>
  <c r="AF83" i="84" s="1"/>
  <c r="AU83" i="84" s="1"/>
  <c r="P83" i="84"/>
  <c r="V83" i="84" s="1"/>
  <c r="O83" i="84"/>
  <c r="AD83" i="84" s="1"/>
  <c r="AS83" i="84" s="1"/>
  <c r="AY83" i="84" s="1"/>
  <c r="M83" i="84"/>
  <c r="G83" i="84"/>
  <c r="AQ82" i="84"/>
  <c r="AP82" i="84"/>
  <c r="AO82" i="84"/>
  <c r="AN82" i="84"/>
  <c r="AM82" i="84"/>
  <c r="AL82" i="84"/>
  <c r="AR82" i="84" s="1"/>
  <c r="AJ82" i="84"/>
  <c r="AI82" i="84"/>
  <c r="AX82" i="84" s="1"/>
  <c r="AH82" i="84"/>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G81" i="84"/>
  <c r="AV81" i="84" s="1"/>
  <c r="AC81" i="84"/>
  <c r="Q81" i="84"/>
  <c r="AF81" i="84" s="1"/>
  <c r="AU81" i="84" s="1"/>
  <c r="P81" i="84"/>
  <c r="V81" i="84" s="1"/>
  <c r="O81" i="84"/>
  <c r="AD81" i="84" s="1"/>
  <c r="AS81" i="84" s="1"/>
  <c r="AY81" i="84" s="1"/>
  <c r="M81" i="84"/>
  <c r="G81" i="84"/>
  <c r="AQ80" i="84"/>
  <c r="AP80" i="84"/>
  <c r="AO80" i="84"/>
  <c r="AN80" i="84"/>
  <c r="AM80" i="84"/>
  <c r="AL80" i="84"/>
  <c r="AR80" i="84" s="1"/>
  <c r="AJ80" i="84"/>
  <c r="AI80" i="84"/>
  <c r="AX80" i="84" s="1"/>
  <c r="AH80" i="84"/>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G72" i="84"/>
  <c r="AE72" i="84"/>
  <c r="AT72" i="84" s="1"/>
  <c r="AC72" i="84"/>
  <c r="Q72" i="84"/>
  <c r="AF72" i="84" s="1"/>
  <c r="P72" i="84"/>
  <c r="O72" i="84"/>
  <c r="AD72" i="84" s="1"/>
  <c r="M72" i="84"/>
  <c r="G72" i="84"/>
  <c r="AQ71" i="84"/>
  <c r="AP71" i="84"/>
  <c r="AO71" i="84"/>
  <c r="AN71" i="84"/>
  <c r="AM71" i="84"/>
  <c r="AL71" i="84"/>
  <c r="AR71" i="84" s="1"/>
  <c r="AJ71" i="84"/>
  <c r="AI71" i="84"/>
  <c r="AH71" i="84"/>
  <c r="AG71" i="84"/>
  <c r="AC71" i="84"/>
  <c r="Q71" i="84"/>
  <c r="AF71" i="84" s="1"/>
  <c r="AU71" i="84" s="1"/>
  <c r="P71" i="84"/>
  <c r="O71" i="84"/>
  <c r="AD71" i="84" s="1"/>
  <c r="AS71" i="84" s="1"/>
  <c r="AY71" i="84" s="1"/>
  <c r="M71" i="84"/>
  <c r="G71" i="84"/>
  <c r="AQ70" i="84"/>
  <c r="AP70" i="84"/>
  <c r="AO70" i="84"/>
  <c r="AN70" i="84"/>
  <c r="AM70" i="84"/>
  <c r="AL70" i="84"/>
  <c r="AR70" i="84" s="1"/>
  <c r="AJ70" i="84"/>
  <c r="AI70" i="84"/>
  <c r="AH70" i="84"/>
  <c r="AW70" i="84" s="1"/>
  <c r="AG70" i="84"/>
  <c r="AE70" i="84"/>
  <c r="AT70" i="84" s="1"/>
  <c r="AC70" i="84"/>
  <c r="Q70" i="84"/>
  <c r="AF70" i="84" s="1"/>
  <c r="AU70" i="84" s="1"/>
  <c r="P70" i="84"/>
  <c r="O70" i="84"/>
  <c r="AD70" i="84" s="1"/>
  <c r="M70" i="84"/>
  <c r="G70" i="84"/>
  <c r="AQ69" i="84"/>
  <c r="AP69" i="84"/>
  <c r="AO69" i="84"/>
  <c r="AN69" i="84"/>
  <c r="AM69" i="84"/>
  <c r="AL69" i="84"/>
  <c r="AR69" i="84" s="1"/>
  <c r="AJ69" i="84"/>
  <c r="AI69" i="84"/>
  <c r="AX69" i="84" s="1"/>
  <c r="AH69" i="84"/>
  <c r="AG69" i="84"/>
  <c r="AV69" i="84" s="1"/>
  <c r="AC69" i="84"/>
  <c r="Q69" i="84"/>
  <c r="AF69" i="84" s="1"/>
  <c r="AU69" i="84" s="1"/>
  <c r="P69" i="84"/>
  <c r="O69" i="84"/>
  <c r="AD69" i="84" s="1"/>
  <c r="AS69" i="84" s="1"/>
  <c r="AY69" i="84" s="1"/>
  <c r="M69" i="84"/>
  <c r="G69" i="84"/>
  <c r="AQ68" i="84"/>
  <c r="AP68" i="84"/>
  <c r="AO68" i="84"/>
  <c r="AN68" i="84"/>
  <c r="AM68" i="84"/>
  <c r="AL68" i="84"/>
  <c r="AR68" i="84" s="1"/>
  <c r="AJ68" i="84"/>
  <c r="AI68" i="84"/>
  <c r="AH68" i="84"/>
  <c r="AG68" i="84"/>
  <c r="AE68" i="84"/>
  <c r="AT68" i="84" s="1"/>
  <c r="AC68" i="84"/>
  <c r="Q68" i="84"/>
  <c r="AF68" i="84" s="1"/>
  <c r="P68" i="84"/>
  <c r="O68" i="84"/>
  <c r="AD68" i="84" s="1"/>
  <c r="M68" i="84"/>
  <c r="G68" i="84"/>
  <c r="AQ67" i="84"/>
  <c r="AP67" i="84"/>
  <c r="AO67" i="84"/>
  <c r="AN67" i="84"/>
  <c r="AM67" i="84"/>
  <c r="AL67" i="84"/>
  <c r="AR67" i="84" s="1"/>
  <c r="AJ67" i="84"/>
  <c r="AI67" i="84"/>
  <c r="AH67" i="84"/>
  <c r="AG67" i="84"/>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G64" i="84"/>
  <c r="AE64" i="84"/>
  <c r="AT64" i="84" s="1"/>
  <c r="AC64" i="84"/>
  <c r="Q64" i="84"/>
  <c r="AF64" i="84" s="1"/>
  <c r="P64" i="84"/>
  <c r="O64" i="84"/>
  <c r="AD64" i="84" s="1"/>
  <c r="M64" i="84"/>
  <c r="G64" i="84"/>
  <c r="AQ63" i="84"/>
  <c r="AP63" i="84"/>
  <c r="AO63" i="84"/>
  <c r="AN63" i="84"/>
  <c r="AM63" i="84"/>
  <c r="AL63" i="84"/>
  <c r="AR63" i="84" s="1"/>
  <c r="AJ63" i="84"/>
  <c r="AI63" i="84"/>
  <c r="AH63" i="84"/>
  <c r="AG63" i="84"/>
  <c r="AC63" i="84"/>
  <c r="Q63" i="84"/>
  <c r="AF63" i="84" s="1"/>
  <c r="AU63" i="84" s="1"/>
  <c r="P63" i="84"/>
  <c r="O63" i="84"/>
  <c r="AD63" i="84" s="1"/>
  <c r="AS63" i="84" s="1"/>
  <c r="AY63" i="84" s="1"/>
  <c r="M63" i="84"/>
  <c r="G63" i="84"/>
  <c r="AQ62" i="84"/>
  <c r="AP62" i="84"/>
  <c r="AO62" i="84"/>
  <c r="AN62" i="84"/>
  <c r="AM62" i="84"/>
  <c r="AL62" i="84"/>
  <c r="AR62" i="84" s="1"/>
  <c r="AJ62" i="84"/>
  <c r="AI62" i="84"/>
  <c r="AH62" i="84"/>
  <c r="AW62" i="84" s="1"/>
  <c r="AG62" i="84"/>
  <c r="AE62" i="84"/>
  <c r="AT62" i="84" s="1"/>
  <c r="AC62" i="84"/>
  <c r="Q62" i="84"/>
  <c r="AF62" i="84" s="1"/>
  <c r="AU62" i="84" s="1"/>
  <c r="P62" i="84"/>
  <c r="O62" i="84"/>
  <c r="AD62" i="84" s="1"/>
  <c r="M62" i="84"/>
  <c r="G62" i="84"/>
  <c r="AQ61" i="84"/>
  <c r="AP61" i="84"/>
  <c r="AO61" i="84"/>
  <c r="AN61" i="84"/>
  <c r="AM61" i="84"/>
  <c r="AL61" i="84"/>
  <c r="AR61" i="84" s="1"/>
  <c r="AJ61" i="84"/>
  <c r="AI61" i="84"/>
  <c r="AX61" i="84" s="1"/>
  <c r="AH61" i="84"/>
  <c r="AG61" i="84"/>
  <c r="AV61" i="84" s="1"/>
  <c r="AC61" i="84"/>
  <c r="Q61" i="84"/>
  <c r="AF61" i="84" s="1"/>
  <c r="AU61" i="84" s="1"/>
  <c r="P61" i="84"/>
  <c r="O61" i="84"/>
  <c r="AD61" i="84" s="1"/>
  <c r="AS61" i="84" s="1"/>
  <c r="AY61" i="84" s="1"/>
  <c r="M61" i="84"/>
  <c r="G61" i="84"/>
  <c r="AQ60" i="84"/>
  <c r="AP60" i="84"/>
  <c r="AO60" i="84"/>
  <c r="AN60" i="84"/>
  <c r="AM60" i="84"/>
  <c r="AL60" i="84"/>
  <c r="AR60" i="84" s="1"/>
  <c r="AJ60" i="84"/>
  <c r="AI60" i="84"/>
  <c r="AH60" i="84"/>
  <c r="AG60" i="84"/>
  <c r="AE60" i="84"/>
  <c r="AT60" i="84" s="1"/>
  <c r="AC60" i="84"/>
  <c r="Q60" i="84"/>
  <c r="AF60" i="84" s="1"/>
  <c r="P60" i="84"/>
  <c r="O60" i="84"/>
  <c r="AD60" i="84" s="1"/>
  <c r="M60" i="84"/>
  <c r="G60" i="84"/>
  <c r="AQ59" i="84"/>
  <c r="AP59" i="84"/>
  <c r="AO59" i="84"/>
  <c r="AN59" i="84"/>
  <c r="AM59" i="84"/>
  <c r="AL59" i="84"/>
  <c r="AR59" i="84" s="1"/>
  <c r="AJ59" i="84"/>
  <c r="AI59" i="84"/>
  <c r="AH59" i="84"/>
  <c r="AG59" i="84"/>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G56" i="84"/>
  <c r="AE56" i="84"/>
  <c r="AT56" i="84" s="1"/>
  <c r="AC56" i="84"/>
  <c r="Q56" i="84"/>
  <c r="AF56" i="84" s="1"/>
  <c r="P56" i="84"/>
  <c r="O56" i="84"/>
  <c r="AD56" i="84" s="1"/>
  <c r="M56" i="84"/>
  <c r="G56" i="84"/>
  <c r="AQ55" i="84"/>
  <c r="AP55" i="84"/>
  <c r="AO55" i="84"/>
  <c r="AN55" i="84"/>
  <c r="AM55" i="84"/>
  <c r="AL55" i="84"/>
  <c r="AR55" i="84" s="1"/>
  <c r="AJ55" i="84"/>
  <c r="AI55" i="84"/>
  <c r="AH55" i="84"/>
  <c r="AG55" i="84"/>
  <c r="AC55" i="84"/>
  <c r="Q55" i="84"/>
  <c r="AF55" i="84" s="1"/>
  <c r="P55" i="84"/>
  <c r="O55" i="84"/>
  <c r="AD55" i="84" s="1"/>
  <c r="AS55" i="84" s="1"/>
  <c r="AY55" i="84" s="1"/>
  <c r="M55" i="84"/>
  <c r="G55" i="84"/>
  <c r="AQ54" i="84"/>
  <c r="AP54" i="84"/>
  <c r="AO54" i="84"/>
  <c r="AN54" i="84"/>
  <c r="AM54" i="84"/>
  <c r="AL54" i="84"/>
  <c r="AR54" i="84" s="1"/>
  <c r="AJ54" i="84"/>
  <c r="AI54" i="84"/>
  <c r="AH54" i="84"/>
  <c r="AW54" i="84" s="1"/>
  <c r="AG54" i="84"/>
  <c r="AE54" i="84"/>
  <c r="AT54" i="84" s="1"/>
  <c r="AC54" i="84"/>
  <c r="Q54" i="84"/>
  <c r="AF54" i="84" s="1"/>
  <c r="AU54" i="84" s="1"/>
  <c r="P54" i="84"/>
  <c r="O54" i="84"/>
  <c r="AD54" i="84" s="1"/>
  <c r="M54" i="84"/>
  <c r="G54" i="84"/>
  <c r="AQ53" i="84"/>
  <c r="AP53" i="84"/>
  <c r="AO53" i="84"/>
  <c r="AN53" i="84"/>
  <c r="AM53" i="84"/>
  <c r="AL53" i="84"/>
  <c r="AR53" i="84" s="1"/>
  <c r="AJ53" i="84"/>
  <c r="AI53" i="84"/>
  <c r="AX53" i="84" s="1"/>
  <c r="AH53" i="84"/>
  <c r="AG53" i="84"/>
  <c r="AV53" i="84" s="1"/>
  <c r="AC53" i="84"/>
  <c r="Q53" i="84"/>
  <c r="AF53" i="84" s="1"/>
  <c r="AU53" i="84" s="1"/>
  <c r="P53" i="84"/>
  <c r="O53" i="84"/>
  <c r="AD53" i="84" s="1"/>
  <c r="AS53" i="84" s="1"/>
  <c r="AY53" i="84" s="1"/>
  <c r="M53" i="84"/>
  <c r="G53" i="84"/>
  <c r="AQ52" i="84"/>
  <c r="AP52" i="84"/>
  <c r="AO52" i="84"/>
  <c r="AN52" i="84"/>
  <c r="AM52" i="84"/>
  <c r="AL52" i="84"/>
  <c r="AR52" i="84" s="1"/>
  <c r="AJ52" i="84"/>
  <c r="AI52" i="84"/>
  <c r="AH52" i="84"/>
  <c r="AG52" i="84"/>
  <c r="AE52" i="84"/>
  <c r="AT52" i="84" s="1"/>
  <c r="AC52" i="84"/>
  <c r="Q52" i="84"/>
  <c r="AF52" i="84" s="1"/>
  <c r="P52" i="84"/>
  <c r="O52" i="84"/>
  <c r="AD52" i="84" s="1"/>
  <c r="M52" i="84"/>
  <c r="G52" i="84"/>
  <c r="AQ51" i="84"/>
  <c r="AP51" i="84"/>
  <c r="AO51" i="84"/>
  <c r="AN51" i="84"/>
  <c r="AM51" i="84"/>
  <c r="AL51" i="84"/>
  <c r="AR51" i="84" s="1"/>
  <c r="AJ51" i="84"/>
  <c r="AI51" i="84"/>
  <c r="AH51" i="84"/>
  <c r="AG51" i="84"/>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X47" i="84" s="1"/>
  <c r="AP47" i="84"/>
  <c r="AO47" i="84"/>
  <c r="AN47" i="84"/>
  <c r="AM47" i="84"/>
  <c r="AL47" i="84"/>
  <c r="AR47" i="84" s="1"/>
  <c r="AJ47" i="84"/>
  <c r="AI47" i="84"/>
  <c r="AH47" i="84"/>
  <c r="AG47" i="84"/>
  <c r="AV47" i="84" s="1"/>
  <c r="AF47" i="84"/>
  <c r="AC47" i="84"/>
  <c r="Q47" i="84"/>
  <c r="P47" i="84"/>
  <c r="V47" i="84" s="1"/>
  <c r="O47" i="84"/>
  <c r="AD47" i="84" s="1"/>
  <c r="M47" i="84"/>
  <c r="G47" i="84"/>
  <c r="AQ46" i="84"/>
  <c r="AP46" i="84"/>
  <c r="AW46" i="84" s="1"/>
  <c r="AO46" i="84"/>
  <c r="AN46" i="84"/>
  <c r="AM46" i="84"/>
  <c r="AL46" i="84"/>
  <c r="AR46" i="84" s="1"/>
  <c r="AJ46" i="84"/>
  <c r="AI46" i="84"/>
  <c r="AH46" i="84"/>
  <c r="AG46" i="84"/>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F45" i="84"/>
  <c r="AU45" i="84" s="1"/>
  <c r="AC45" i="84"/>
  <c r="Q45" i="84"/>
  <c r="P45" i="84"/>
  <c r="V45" i="84" s="1"/>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G40" i="84"/>
  <c r="AE40" i="84"/>
  <c r="AT40" i="84" s="1"/>
  <c r="AC40" i="84"/>
  <c r="Q40" i="84"/>
  <c r="AF40" i="84" s="1"/>
  <c r="P40" i="84"/>
  <c r="O40" i="84"/>
  <c r="AD40" i="84" s="1"/>
  <c r="M40" i="84"/>
  <c r="G40" i="84"/>
  <c r="AQ39" i="84"/>
  <c r="AP39" i="84"/>
  <c r="AO39" i="84"/>
  <c r="AN39" i="84"/>
  <c r="AM39" i="84"/>
  <c r="AL39" i="84"/>
  <c r="AR39" i="84" s="1"/>
  <c r="AJ39" i="84"/>
  <c r="AI39" i="84"/>
  <c r="AH39" i="84"/>
  <c r="AG39" i="84"/>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G37" i="84"/>
  <c r="AV37" i="84" s="1"/>
  <c r="AF37" i="84"/>
  <c r="AC37" i="84"/>
  <c r="Q37" i="84"/>
  <c r="P37" i="84"/>
  <c r="V37" i="84" s="1"/>
  <c r="O37" i="84"/>
  <c r="AD37" i="84" s="1"/>
  <c r="M37" i="84"/>
  <c r="G37" i="84"/>
  <c r="AQ36" i="84"/>
  <c r="AP36" i="84"/>
  <c r="AW36" i="84" s="1"/>
  <c r="AO36" i="84"/>
  <c r="AN36" i="84"/>
  <c r="AM36" i="84"/>
  <c r="AL36" i="84"/>
  <c r="AR36" i="84" s="1"/>
  <c r="AJ36" i="84"/>
  <c r="AI36" i="84"/>
  <c r="AH36" i="84"/>
  <c r="AG36" i="84"/>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F35" i="84"/>
  <c r="AU35" i="84" s="1"/>
  <c r="AC35" i="84"/>
  <c r="Q35" i="84"/>
  <c r="P35" i="84"/>
  <c r="V35" i="84" s="1"/>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X33" i="84" s="1"/>
  <c r="AP33" i="84"/>
  <c r="AO33" i="84"/>
  <c r="AN33" i="84"/>
  <c r="AM33" i="84"/>
  <c r="AL33" i="84"/>
  <c r="AR33" i="84" s="1"/>
  <c r="AJ33" i="84"/>
  <c r="AI33" i="84"/>
  <c r="AH33" i="84"/>
  <c r="AG33" i="84"/>
  <c r="AV33" i="84" s="1"/>
  <c r="AF33" i="84"/>
  <c r="AC33" i="84"/>
  <c r="Q33" i="84"/>
  <c r="P33" i="84"/>
  <c r="V33" i="84" s="1"/>
  <c r="O33" i="84"/>
  <c r="AD33" i="84" s="1"/>
  <c r="M33" i="84"/>
  <c r="G33" i="84"/>
  <c r="AQ32" i="84"/>
  <c r="AP32" i="84"/>
  <c r="AW32" i="84" s="1"/>
  <c r="AO32" i="84"/>
  <c r="AN32" i="84"/>
  <c r="AM32" i="84"/>
  <c r="AL32" i="84"/>
  <c r="AR32" i="84" s="1"/>
  <c r="AJ32" i="84"/>
  <c r="AI32" i="84"/>
  <c r="AH32" i="84"/>
  <c r="AG32" i="84"/>
  <c r="X32" i="84"/>
  <c r="AC32" i="84" s="1"/>
  <c r="Q32" i="84"/>
  <c r="AF32" i="84" s="1"/>
  <c r="P32" i="84"/>
  <c r="AE32" i="84" s="1"/>
  <c r="AT32" i="84" s="1"/>
  <c r="O32" i="84"/>
  <c r="AD32" i="84" s="1"/>
  <c r="M32" i="84"/>
  <c r="G32" i="84"/>
  <c r="AQ31" i="84"/>
  <c r="AP31" i="84"/>
  <c r="AW31" i="84" s="1"/>
  <c r="AO31" i="84"/>
  <c r="AN31" i="84"/>
  <c r="AM31" i="84"/>
  <c r="AL31" i="84"/>
  <c r="AR31" i="84" s="1"/>
  <c r="AJ31" i="84"/>
  <c r="AI31" i="84"/>
  <c r="AH31" i="84"/>
  <c r="AG31" i="84"/>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F30" i="84"/>
  <c r="AU30" i="84" s="1"/>
  <c r="AC30" i="84"/>
  <c r="Q30" i="84"/>
  <c r="P30" i="84"/>
  <c r="V30" i="84" s="1"/>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X28" i="84" s="1"/>
  <c r="AP28" i="84"/>
  <c r="AO28" i="84"/>
  <c r="AN28" i="84"/>
  <c r="AM28" i="84"/>
  <c r="AL28" i="84"/>
  <c r="AR28" i="84" s="1"/>
  <c r="AJ28" i="84"/>
  <c r="AI28" i="84"/>
  <c r="AH28" i="84"/>
  <c r="AG28" i="84"/>
  <c r="AV28" i="84" s="1"/>
  <c r="AF28" i="84"/>
  <c r="AC28" i="84"/>
  <c r="Q28" i="84"/>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AU27" i="84" s="1"/>
  <c r="P27" i="84"/>
  <c r="O27" i="84"/>
  <c r="M27" i="84"/>
  <c r="G27" i="84"/>
  <c r="AQ26" i="84"/>
  <c r="AP26" i="84"/>
  <c r="AO26" i="84"/>
  <c r="AV26" i="84" s="1"/>
  <c r="AN26" i="84"/>
  <c r="AM26" i="84"/>
  <c r="AL26" i="84"/>
  <c r="AR26" i="84" s="1"/>
  <c r="AJ26" i="84"/>
  <c r="AI26" i="84"/>
  <c r="AX26" i="84" s="1"/>
  <c r="AH26" i="84"/>
  <c r="AG26" i="84"/>
  <c r="AF26" i="84"/>
  <c r="AC26" i="84"/>
  <c r="Q26" i="84"/>
  <c r="P26" i="84"/>
  <c r="AE26" i="84" s="1"/>
  <c r="AT26" i="84" s="1"/>
  <c r="O26" i="84"/>
  <c r="AD26" i="84" s="1"/>
  <c r="M26" i="84"/>
  <c r="G26" i="84"/>
  <c r="AQ25" i="84"/>
  <c r="AP25" i="84"/>
  <c r="AW25" i="84" s="1"/>
  <c r="AO25" i="84"/>
  <c r="AN25" i="84"/>
  <c r="AM25" i="84"/>
  <c r="AL25" i="84"/>
  <c r="AR25" i="84" s="1"/>
  <c r="AJ25" i="84"/>
  <c r="AI25" i="84"/>
  <c r="AH25" i="84"/>
  <c r="AG25" i="84"/>
  <c r="AC25" i="84"/>
  <c r="Q25" i="84"/>
  <c r="AF25" i="84" s="1"/>
  <c r="P25" i="84"/>
  <c r="AE25" i="84" s="1"/>
  <c r="AT25" i="84" s="1"/>
  <c r="O25" i="84"/>
  <c r="M25" i="84"/>
  <c r="G25" i="84"/>
  <c r="AQ24" i="84"/>
  <c r="AP24" i="84"/>
  <c r="AO24" i="84"/>
  <c r="AN24" i="84"/>
  <c r="AM24" i="84"/>
  <c r="AL24" i="84"/>
  <c r="AR24" i="84" s="1"/>
  <c r="AJ24" i="84"/>
  <c r="AI24" i="84"/>
  <c r="AH24" i="84"/>
  <c r="AG24" i="84"/>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G21" i="84"/>
  <c r="AE21" i="84"/>
  <c r="AT21" i="84" s="1"/>
  <c r="AC21" i="84"/>
  <c r="Q21" i="84"/>
  <c r="AF21" i="84" s="1"/>
  <c r="P21" i="84"/>
  <c r="O21" i="84"/>
  <c r="AD21" i="84" s="1"/>
  <c r="M21" i="84"/>
  <c r="G21" i="84"/>
  <c r="AQ20" i="84"/>
  <c r="AP20" i="84"/>
  <c r="AO20" i="84"/>
  <c r="AN20" i="84"/>
  <c r="AM20" i="84"/>
  <c r="AL20" i="84"/>
  <c r="AR20" i="84" s="1"/>
  <c r="AJ20" i="84"/>
  <c r="AI20" i="84"/>
  <c r="AH20" i="84"/>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G19" i="84"/>
  <c r="AE19" i="84"/>
  <c r="AT19" i="84" s="1"/>
  <c r="AC19" i="84"/>
  <c r="Q19" i="84"/>
  <c r="AF19" i="84" s="1"/>
  <c r="P19" i="84"/>
  <c r="O19" i="84"/>
  <c r="AD19" i="84" s="1"/>
  <c r="M19" i="84"/>
  <c r="G19" i="84"/>
  <c r="AQ18" i="84"/>
  <c r="AP18" i="84"/>
  <c r="AO18" i="84"/>
  <c r="AN18" i="84"/>
  <c r="AM18" i="84"/>
  <c r="AL18" i="84"/>
  <c r="AR18" i="84" s="1"/>
  <c r="AJ18" i="84"/>
  <c r="AI18" i="84"/>
  <c r="AX18" i="84" s="1"/>
  <c r="AH18" i="84"/>
  <c r="AG18" i="84"/>
  <c r="AV18" i="84" s="1"/>
  <c r="AC18" i="84"/>
  <c r="Q18" i="84"/>
  <c r="AF18" i="84" s="1"/>
  <c r="AU18" i="84" s="1"/>
  <c r="P18" i="84"/>
  <c r="O18" i="84"/>
  <c r="AD18" i="84" s="1"/>
  <c r="AS18" i="84" s="1"/>
  <c r="AY18" i="84" s="1"/>
  <c r="M18" i="84"/>
  <c r="G18" i="84"/>
  <c r="AQ17" i="84"/>
  <c r="AP17" i="84"/>
  <c r="AO17" i="84"/>
  <c r="AN17" i="84"/>
  <c r="AM17" i="84"/>
  <c r="AL17" i="84"/>
  <c r="AR17" i="84" s="1"/>
  <c r="AJ17" i="84"/>
  <c r="AI17" i="84"/>
  <c r="AH17" i="84"/>
  <c r="AG17" i="84"/>
  <c r="AE17" i="84"/>
  <c r="AT17" i="84" s="1"/>
  <c r="AC17" i="84"/>
  <c r="Q17" i="84"/>
  <c r="AF17" i="84" s="1"/>
  <c r="P17" i="84"/>
  <c r="O17" i="84"/>
  <c r="AD17" i="84" s="1"/>
  <c r="M17" i="84"/>
  <c r="G17" i="84"/>
  <c r="AQ16" i="84"/>
  <c r="AP16" i="84"/>
  <c r="AO16" i="84"/>
  <c r="AN16" i="84"/>
  <c r="AM16" i="84"/>
  <c r="AL16" i="84"/>
  <c r="AR16" i="84" s="1"/>
  <c r="AJ16" i="84"/>
  <c r="AI16" i="84"/>
  <c r="AH16" i="84"/>
  <c r="AG16" i="84"/>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G13" i="84"/>
  <c r="AE13" i="84"/>
  <c r="AT13" i="84" s="1"/>
  <c r="AC13" i="84"/>
  <c r="Q13" i="84"/>
  <c r="AF13" i="84" s="1"/>
  <c r="P13" i="84"/>
  <c r="O13" i="84"/>
  <c r="AD13" i="84" s="1"/>
  <c r="M13" i="84"/>
  <c r="G13" i="84"/>
  <c r="AQ12" i="84"/>
  <c r="AP12" i="84"/>
  <c r="AO12" i="84"/>
  <c r="AN12" i="84"/>
  <c r="AM12" i="84"/>
  <c r="AL12" i="84"/>
  <c r="AR12" i="84" s="1"/>
  <c r="AJ12" i="84"/>
  <c r="AI12" i="84"/>
  <c r="AH12" i="84"/>
  <c r="AG12" i="84"/>
  <c r="AC12" i="84"/>
  <c r="Q12" i="84"/>
  <c r="AF12" i="84" s="1"/>
  <c r="AU12" i="84" s="1"/>
  <c r="P12" i="84"/>
  <c r="O12" i="84"/>
  <c r="AD12" i="84" s="1"/>
  <c r="AS12" i="84" s="1"/>
  <c r="AY12" i="84" s="1"/>
  <c r="M12" i="84"/>
  <c r="G12" i="84"/>
  <c r="AQ11" i="84"/>
  <c r="AP11" i="84"/>
  <c r="AO11" i="84"/>
  <c r="AN11" i="84"/>
  <c r="AM11" i="84"/>
  <c r="AL11" i="84"/>
  <c r="AR11" i="84" s="1"/>
  <c r="AJ11" i="84"/>
  <c r="AI11" i="84"/>
  <c r="AH11" i="84"/>
  <c r="AW11" i="84" s="1"/>
  <c r="AG11" i="84"/>
  <c r="AE11" i="84"/>
  <c r="AT11" i="84" s="1"/>
  <c r="AC11" i="84"/>
  <c r="Q11" i="84"/>
  <c r="AF11" i="84" s="1"/>
  <c r="AU11" i="84" s="1"/>
  <c r="P11" i="84"/>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H9" i="84"/>
  <c r="AG9" i="84"/>
  <c r="AE9" i="84"/>
  <c r="AT9" i="84" s="1"/>
  <c r="AC9" i="84"/>
  <c r="Q9" i="84"/>
  <c r="AF9" i="84" s="1"/>
  <c r="P9" i="84"/>
  <c r="O9" i="84"/>
  <c r="AD9" i="84" s="1"/>
  <c r="M9" i="84"/>
  <c r="G9" i="84"/>
  <c r="AQ8" i="84"/>
  <c r="AP8" i="84"/>
  <c r="AO8" i="84"/>
  <c r="AN8" i="84"/>
  <c r="AM8" i="84"/>
  <c r="AL8" i="84"/>
  <c r="AR8" i="84" s="1"/>
  <c r="AJ8" i="84"/>
  <c r="AI8" i="84"/>
  <c r="AH8" i="84"/>
  <c r="AG8" i="84"/>
  <c r="AC8" i="84"/>
  <c r="Q8" i="84"/>
  <c r="AF8" i="84" s="1"/>
  <c r="AU8" i="84" s="1"/>
  <c r="P8" i="84"/>
  <c r="O8" i="84"/>
  <c r="AD8" i="84" s="1"/>
  <c r="AS8" i="84" s="1"/>
  <c r="AY8" i="84" s="1"/>
  <c r="M8" i="84"/>
  <c r="G8" i="84"/>
  <c r="AQ7" i="84"/>
  <c r="AP7" i="84"/>
  <c r="AO7" i="84"/>
  <c r="AN7" i="84"/>
  <c r="AM7" i="84"/>
  <c r="AL7" i="84"/>
  <c r="AR7" i="84" s="1"/>
  <c r="AJ7" i="84"/>
  <c r="AI7" i="84"/>
  <c r="AH7" i="84"/>
  <c r="AW7" i="84" s="1"/>
  <c r="AG7" i="84"/>
  <c r="AE7" i="84"/>
  <c r="AT7" i="84" s="1"/>
  <c r="AC7" i="84"/>
  <c r="Q7" i="84"/>
  <c r="AF7" i="84" s="1"/>
  <c r="AU7" i="84" s="1"/>
  <c r="P7" i="84"/>
  <c r="O7" i="84"/>
  <c r="AD7" i="84" s="1"/>
  <c r="M7" i="84"/>
  <c r="G7" i="84"/>
  <c r="AQ6" i="84"/>
  <c r="AP6" i="84"/>
  <c r="AO6" i="84"/>
  <c r="AN6" i="84"/>
  <c r="AM6" i="84"/>
  <c r="AL6" i="84"/>
  <c r="AR6" i="84" s="1"/>
  <c r="AJ6" i="84"/>
  <c r="AI6" i="84"/>
  <c r="AX6" i="84" s="1"/>
  <c r="AH6" i="84"/>
  <c r="AG6" i="84"/>
  <c r="AV6" i="84" s="1"/>
  <c r="AC6" i="84"/>
  <c r="Q6" i="84"/>
  <c r="AF6" i="84" s="1"/>
  <c r="AU6" i="84" s="1"/>
  <c r="P6" i="84"/>
  <c r="O6" i="84"/>
  <c r="AD6" i="84" s="1"/>
  <c r="AS6" i="84" s="1"/>
  <c r="AY6" i="84" s="1"/>
  <c r="M6" i="84"/>
  <c r="G6" i="84"/>
  <c r="AQ5" i="84"/>
  <c r="AP5" i="84"/>
  <c r="AO5" i="84"/>
  <c r="AN5" i="84"/>
  <c r="AM5" i="84"/>
  <c r="AL5" i="84"/>
  <c r="AR5" i="84" s="1"/>
  <c r="AJ5" i="84"/>
  <c r="AI5" i="84"/>
  <c r="AH5" i="84"/>
  <c r="AG5" i="84"/>
  <c r="AE5" i="84"/>
  <c r="AT5" i="84" s="1"/>
  <c r="AC5" i="84"/>
  <c r="Q5" i="84"/>
  <c r="AF5" i="84" s="1"/>
  <c r="P5" i="84"/>
  <c r="O5" i="84"/>
  <c r="AD5" i="84" s="1"/>
  <c r="M5" i="84"/>
  <c r="G5" i="84"/>
  <c r="AQ4" i="84"/>
  <c r="AP4" i="84"/>
  <c r="AO4" i="84"/>
  <c r="AN4" i="84"/>
  <c r="AM4" i="84"/>
  <c r="AL4" i="84"/>
  <c r="AR4" i="84" s="1"/>
  <c r="AJ4" i="84"/>
  <c r="AI4" i="84"/>
  <c r="AH4" i="84"/>
  <c r="AG4" i="84"/>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W3" i="84" s="1"/>
  <c r="AG3" i="84"/>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E27" i="71"/>
  <c r="B27" i="71"/>
  <c r="AH26" i="71"/>
  <c r="AG26" i="71"/>
  <c r="AE26" i="71"/>
  <c r="AF26" i="71" s="1"/>
  <c r="AD26" i="71"/>
  <c r="Q26" i="71"/>
  <c r="AB26" i="71" s="1"/>
  <c r="P26" i="71"/>
  <c r="O26" i="71"/>
  <c r="Y26" i="71" s="1"/>
  <c r="Z26" i="71" s="1"/>
  <c r="N26" i="71"/>
  <c r="X26" i="71" s="1"/>
  <c r="F26" i="7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C3" i="79" s="1"/>
  <c r="AB5" i="79"/>
  <c r="AB3" i="79" s="1"/>
  <c r="AA5" i="79"/>
  <c r="AD5" i="79" s="1"/>
  <c r="Z5" i="79"/>
  <c r="Z3" i="79" s="1"/>
  <c r="Y5" i="79"/>
  <c r="O5" i="79"/>
  <c r="V3" i="79" s="1"/>
  <c r="N5" i="79"/>
  <c r="M5" i="79"/>
  <c r="P5" i="79" s="1"/>
  <c r="L5" i="79"/>
  <c r="K5" i="79"/>
  <c r="R5" i="79" s="1"/>
  <c r="I5" i="79"/>
  <c r="AA3" i="79"/>
  <c r="AD3" i="79" s="1"/>
  <c r="Y3" i="79"/>
  <c r="U3" i="79"/>
  <c r="S3" i="79"/>
  <c r="N3" i="79"/>
  <c r="L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I18" i="43" s="1"/>
  <c r="E17" i="43" s="1"/>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U38" i="40"/>
  <c r="Q38" i="40"/>
  <c r="Z38" i="40" s="1"/>
  <c r="J38" i="40"/>
  <c r="AC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F44" i="39"/>
  <c r="S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AB25" i="39"/>
  <c r="Q25" i="39"/>
  <c r="Z25" i="39" s="1"/>
  <c r="J25" i="39"/>
  <c r="AC25" i="39" s="1"/>
  <c r="H25" i="39"/>
  <c r="U25" i="39" s="1"/>
  <c r="F25" i="39"/>
  <c r="AA25" i="39" s="1"/>
  <c r="Q23" i="39"/>
  <c r="Z23" i="39" s="1"/>
  <c r="J23" i="39"/>
  <c r="AC23" i="39" s="1"/>
  <c r="H23" i="39"/>
  <c r="U23" i="39" s="1"/>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H14" i="39"/>
  <c r="AB14" i="39" s="1"/>
  <c r="F14" i="39"/>
  <c r="AA14" i="39" s="1"/>
  <c r="Q13" i="39"/>
  <c r="Z13" i="39" s="1"/>
  <c r="J13" i="39"/>
  <c r="Q12" i="39"/>
  <c r="Z12" i="39" s="1"/>
  <c r="J12" i="39"/>
  <c r="AC12" i="39" s="1"/>
  <c r="H12" i="39"/>
  <c r="U12" i="39" s="1"/>
  <c r="F12" i="39"/>
  <c r="AA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F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AB23" i="36"/>
  <c r="Q23" i="36"/>
  <c r="Z23" i="36" s="1"/>
  <c r="J23" i="36"/>
  <c r="AC23" i="36" s="1"/>
  <c r="H23" i="36"/>
  <c r="U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AC14" i="36"/>
  <c r="Q14" i="36"/>
  <c r="Z14" i="36" s="1"/>
  <c r="J14" i="36"/>
  <c r="W14" i="36" s="1"/>
  <c r="H14" i="36"/>
  <c r="AB14" i="36" s="1"/>
  <c r="F14" i="36"/>
  <c r="AA14" i="36" s="1"/>
  <c r="C14" i="36"/>
  <c r="Q13" i="36"/>
  <c r="Z13" i="36" s="1"/>
  <c r="J13" i="36"/>
  <c r="H13" i="36"/>
  <c r="AB13" i="36" s="1"/>
  <c r="F13" i="36"/>
  <c r="S13" i="36" s="1"/>
  <c r="Q12" i="36"/>
  <c r="Z12" i="36" s="1"/>
  <c r="J12" i="36"/>
  <c r="AC12" i="36" s="1"/>
  <c r="F12" i="36"/>
  <c r="AA12" i="36" s="1"/>
  <c r="Q11" i="36"/>
  <c r="Z11" i="36" s="1"/>
  <c r="J11" i="36"/>
  <c r="AC11" i="36" s="1"/>
  <c r="H11" i="36"/>
  <c r="AB11" i="36" s="1"/>
  <c r="F11" i="36"/>
  <c r="AA11" i="36" s="1"/>
  <c r="U10" i="36"/>
  <c r="Q10" i="36"/>
  <c r="Z10" i="36" s="1"/>
  <c r="J10" i="36"/>
  <c r="AC10" i="36" s="1"/>
  <c r="H10" i="36"/>
  <c r="AB10" i="36" s="1"/>
  <c r="F10" i="36"/>
  <c r="AA10" i="36" s="1"/>
  <c r="Q9" i="36"/>
  <c r="Z9" i="36" s="1"/>
  <c r="H9" i="36"/>
  <c r="AB9" i="36" s="1"/>
  <c r="J8" i="36"/>
  <c r="AC8" i="36" s="1"/>
  <c r="H8" i="36"/>
  <c r="U8" i="36" s="1"/>
  <c r="F8" i="36"/>
  <c r="D3" i="36"/>
  <c r="B2" i="36"/>
  <c r="B3" i="36" s="1"/>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AC27" i="35"/>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U16" i="35"/>
  <c r="Q16" i="35"/>
  <c r="Z16" i="35" s="1"/>
  <c r="J16" i="35"/>
  <c r="AC16" i="35" s="1"/>
  <c r="H16" i="35"/>
  <c r="AB16" i="35" s="1"/>
  <c r="F16" i="35"/>
  <c r="AA16" i="35" s="1"/>
  <c r="C16" i="35"/>
  <c r="Q14" i="35"/>
  <c r="Z14" i="35" s="1"/>
  <c r="J14" i="35"/>
  <c r="AC14" i="35" s="1"/>
  <c r="H14" i="35"/>
  <c r="AB14" i="35" s="1"/>
  <c r="F14" i="35"/>
  <c r="AA14" i="35" s="1"/>
  <c r="C14" i="35"/>
  <c r="U13" i="35"/>
  <c r="Q13" i="35"/>
  <c r="Z13" i="35" s="1"/>
  <c r="J13" i="35"/>
  <c r="AC13" i="35" s="1"/>
  <c r="H13" i="35"/>
  <c r="AB13" i="35" s="1"/>
  <c r="F13" i="35"/>
  <c r="AA13" i="35" s="1"/>
  <c r="Q12" i="35"/>
  <c r="Z12" i="35" s="1"/>
  <c r="J12" i="35"/>
  <c r="Q11" i="35"/>
  <c r="Z11" i="35" s="1"/>
  <c r="J11" i="35"/>
  <c r="AC11" i="35" s="1"/>
  <c r="H11" i="35"/>
  <c r="AB11" i="35" s="1"/>
  <c r="F11" i="35"/>
  <c r="AA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W8" i="37" s="1"/>
  <c r="H8" i="37"/>
  <c r="AB8" i="37" s="1"/>
  <c r="F8" i="37"/>
  <c r="S8" i="37" s="1"/>
  <c r="B2" i="37"/>
  <c r="B131" i="34"/>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AC47" i="34"/>
  <c r="Q47" i="34"/>
  <c r="Z47" i="34" s="1"/>
  <c r="J47" i="34"/>
  <c r="W47" i="34" s="1"/>
  <c r="H47" i="34"/>
  <c r="AB47" i="34" s="1"/>
  <c r="F47" i="34"/>
  <c r="AA47" i="34" s="1"/>
  <c r="AB46" i="34"/>
  <c r="Q46" i="34"/>
  <c r="Z46" i="34" s="1"/>
  <c r="F46" i="34"/>
  <c r="AA46" i="34" s="1"/>
  <c r="Q45" i="34"/>
  <c r="Z45" i="34" s="1"/>
  <c r="J45" i="34"/>
  <c r="AC45" i="34" s="1"/>
  <c r="H45" i="34"/>
  <c r="AB45" i="34" s="1"/>
  <c r="F45" i="34"/>
  <c r="AA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Q25" i="34"/>
  <c r="Z25" i="34" s="1"/>
  <c r="J25" i="34"/>
  <c r="W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U15" i="34"/>
  <c r="Q15" i="34"/>
  <c r="Z15" i="34" s="1"/>
  <c r="J15" i="34"/>
  <c r="AC15" i="34" s="1"/>
  <c r="H15" i="34"/>
  <c r="AB15" i="34" s="1"/>
  <c r="F15" i="34"/>
  <c r="AA15" i="34" s="1"/>
  <c r="C15" i="34"/>
  <c r="Q14" i="34"/>
  <c r="Z14" i="34" s="1"/>
  <c r="H14" i="34"/>
  <c r="AB14" i="34" s="1"/>
  <c r="Q13" i="34"/>
  <c r="Z13" i="34" s="1"/>
  <c r="H13" i="34"/>
  <c r="AB13" i="34" s="1"/>
  <c r="Q12" i="34"/>
  <c r="Z12" i="34" s="1"/>
  <c r="H12" i="34"/>
  <c r="AB12" i="34" s="1"/>
  <c r="AC11" i="34"/>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H29" i="21" s="1"/>
  <c r="AB29" i="21" s="1"/>
  <c r="B92" i="21"/>
  <c r="H28" i="21" s="1"/>
  <c r="B90" i="21"/>
  <c r="J27" i="21" s="1"/>
  <c r="AC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W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AC30" i="21"/>
  <c r="Q30" i="21"/>
  <c r="Z30" i="21" s="1"/>
  <c r="J30" i="21"/>
  <c r="W30" i="21" s="1"/>
  <c r="F30" i="21"/>
  <c r="AA30" i="21" s="1"/>
  <c r="Q29" i="21"/>
  <c r="Z29" i="21" s="1"/>
  <c r="J29" i="21"/>
  <c r="AC29" i="21" s="1"/>
  <c r="F29" i="21"/>
  <c r="AA29" i="21" s="1"/>
  <c r="Q28" i="21"/>
  <c r="Z28" i="21" s="1"/>
  <c r="J28" i="21"/>
  <c r="W28" i="21" s="1"/>
  <c r="F28" i="21"/>
  <c r="AA28" i="21" s="1"/>
  <c r="Q27" i="21"/>
  <c r="Z27" i="21" s="1"/>
  <c r="H27" i="21"/>
  <c r="AB27" i="21" s="1"/>
  <c r="AC26" i="2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D87" i="83"/>
  <c r="D85" i="83"/>
  <c r="D83" i="83"/>
  <c r="E83" i="83" s="1"/>
  <c r="F83" i="83" s="1"/>
  <c r="G83" i="83" s="1"/>
  <c r="E81" i="83"/>
  <c r="F81" i="83" s="1"/>
  <c r="G81" i="83" s="1"/>
  <c r="D81" i="83"/>
  <c r="E79" i="83"/>
  <c r="F79" i="83" s="1"/>
  <c r="G79" i="83" s="1"/>
  <c r="D79" i="83"/>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I54" i="83"/>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U42"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AC35" i="83"/>
  <c r="Q35" i="83"/>
  <c r="Z35" i="83" s="1"/>
  <c r="J35" i="83"/>
  <c r="W35" i="83" s="1"/>
  <c r="H35" i="83"/>
  <c r="AB35" i="83" s="1"/>
  <c r="F35" i="83"/>
  <c r="AA35" i="83" s="1"/>
  <c r="AB34" i="83"/>
  <c r="Q34" i="83"/>
  <c r="Z34" i="83" s="1"/>
  <c r="J34" i="83"/>
  <c r="AC34" i="83" s="1"/>
  <c r="H34" i="83"/>
  <c r="U34" i="83" s="1"/>
  <c r="F34" i="83"/>
  <c r="AA34" i="83" s="1"/>
  <c r="Q33" i="83"/>
  <c r="Z33" i="83" s="1"/>
  <c r="Q32" i="83"/>
  <c r="Z32" i="83" s="1"/>
  <c r="J32" i="83"/>
  <c r="AC32" i="83" s="1"/>
  <c r="H32" i="83"/>
  <c r="AB32" i="83" s="1"/>
  <c r="F32" i="83"/>
  <c r="AA32" i="83" s="1"/>
  <c r="Q31" i="83"/>
  <c r="Z31" i="83" s="1"/>
  <c r="Q30" i="83"/>
  <c r="Z30" i="83" s="1"/>
  <c r="J30" i="83"/>
  <c r="AC30" i="83" s="1"/>
  <c r="H30" i="83"/>
  <c r="AB30" i="83" s="1"/>
  <c r="F30" i="83"/>
  <c r="AA30" i="83" s="1"/>
  <c r="Q29" i="83"/>
  <c r="Z29" i="83" s="1"/>
  <c r="Q28" i="83"/>
  <c r="Z28" i="83" s="1"/>
  <c r="J28" i="83"/>
  <c r="AC28" i="83" s="1"/>
  <c r="H28" i="83"/>
  <c r="AB28" i="83" s="1"/>
  <c r="F28" i="83"/>
  <c r="AA28" i="83" s="1"/>
  <c r="Q27" i="83"/>
  <c r="Z27" i="83" s="1"/>
  <c r="Q26" i="83"/>
  <c r="Z26" i="83" s="1"/>
  <c r="J26" i="83"/>
  <c r="AC26" i="83" s="1"/>
  <c r="H26" i="83"/>
  <c r="AB26" i="83" s="1"/>
  <c r="F26" i="83"/>
  <c r="AA26" i="83" s="1"/>
  <c r="Q25" i="83"/>
  <c r="Z25" i="83" s="1"/>
  <c r="Q23" i="83"/>
  <c r="Z23" i="83" s="1"/>
  <c r="H23" i="83"/>
  <c r="AB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C15" i="83"/>
  <c r="Q14" i="83"/>
  <c r="Z14" i="83" s="1"/>
  <c r="H14" i="83"/>
  <c r="AB14" i="83" s="1"/>
  <c r="Q13" i="83"/>
  <c r="Z13" i="83" s="1"/>
  <c r="J13" i="83"/>
  <c r="AC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B130" i="33"/>
  <c r="B128" i="33"/>
  <c r="H45" i="33" s="1"/>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P47" i="33"/>
  <c r="I47" i="33"/>
  <c r="V47" i="33" s="1"/>
  <c r="G47" i="33"/>
  <c r="G54" i="33" s="1"/>
  <c r="H54" i="33" s="1"/>
  <c r="E47" i="33"/>
  <c r="Q46" i="33"/>
  <c r="Z46" i="33" s="1"/>
  <c r="H46" i="33"/>
  <c r="U46" i="33" s="1"/>
  <c r="Q45" i="33"/>
  <c r="Z45" i="33" s="1"/>
  <c r="J45" i="33"/>
  <c r="AC45" i="33" s="1"/>
  <c r="Q44" i="33"/>
  <c r="Z44" i="33" s="1"/>
  <c r="H44" i="33"/>
  <c r="U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Q32" i="33"/>
  <c r="Z32" i="33" s="1"/>
  <c r="J32" i="33"/>
  <c r="AC32" i="33" s="1"/>
  <c r="H32" i="33"/>
  <c r="U32" i="33" s="1"/>
  <c r="F32" i="33"/>
  <c r="AA32" i="33" s="1"/>
  <c r="Q31" i="33"/>
  <c r="Z31" i="33" s="1"/>
  <c r="J31" i="33"/>
  <c r="AC31" i="33" s="1"/>
  <c r="Q30" i="33"/>
  <c r="Z30" i="33" s="1"/>
  <c r="H30" i="33"/>
  <c r="U30" i="33" s="1"/>
  <c r="Q29" i="33"/>
  <c r="Z29" i="33" s="1"/>
  <c r="J29" i="33"/>
  <c r="AC29" i="33" s="1"/>
  <c r="Q28" i="33"/>
  <c r="Z28" i="33" s="1"/>
  <c r="H28" i="33"/>
  <c r="U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6" i="9"/>
  <c r="A120" i="9"/>
  <c r="E111" i="9"/>
  <c r="E109" i="9"/>
  <c r="E107" i="9"/>
  <c r="A122" i="9" s="1"/>
  <c r="H106" i="9"/>
  <c r="H103" i="9" s="1"/>
  <c r="D120" i="9" s="1"/>
  <c r="D121" i="9" s="1"/>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B22" i="1"/>
  <c r="P14" i="1"/>
  <c r="O14" i="1"/>
  <c r="AP13" i="1"/>
  <c r="AG13" i="1"/>
  <c r="AE13" i="1"/>
  <c r="P13" i="1"/>
  <c r="O13" i="1"/>
  <c r="F13" i="1"/>
  <c r="D13" i="1"/>
  <c r="A13" i="1"/>
  <c r="AP12" i="1"/>
  <c r="AG12" i="1"/>
  <c r="AE12" i="1"/>
  <c r="P12" i="1"/>
  <c r="O12" i="1"/>
  <c r="F12" i="1"/>
  <c r="D12" i="1"/>
  <c r="A12" i="1"/>
  <c r="R12" i="1" s="1"/>
  <c r="AP11" i="1"/>
  <c r="AG11" i="1"/>
  <c r="AE11" i="1"/>
  <c r="S11" i="1"/>
  <c r="AQ11" i="1" s="1"/>
  <c r="P11" i="1"/>
  <c r="O11" i="1"/>
  <c r="F11" i="1"/>
  <c r="D11" i="1"/>
  <c r="A11" i="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P6" i="1"/>
  <c r="O6" i="1"/>
  <c r="N6" i="1"/>
  <c r="Y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T5" i="3" s="1"/>
  <c r="BS13" i="3"/>
  <c r="BR13" i="3"/>
  <c r="BR5" i="3" s="1"/>
  <c r="BQ13" i="3"/>
  <c r="BP13" i="3"/>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5" i="72"/>
  <c r="B2" i="72"/>
  <c r="D2" i="37"/>
  <c r="AO9" i="1"/>
  <c r="D2" i="36"/>
  <c r="E2" i="68"/>
  <c r="E12" i="76"/>
  <c r="E7" i="76"/>
  <c r="AO7" i="1"/>
  <c r="E8" i="76"/>
  <c r="B11" i="76"/>
  <c r="D2" i="21"/>
  <c r="AO10" i="1"/>
  <c r="F20" i="31"/>
  <c r="B12" i="76"/>
  <c r="B10" i="76"/>
  <c r="D2" i="83"/>
  <c r="B13" i="76"/>
  <c r="B9" i="76"/>
  <c r="D2" i="33"/>
  <c r="AO8" i="1"/>
  <c r="E13" i="76"/>
  <c r="D2" i="34"/>
  <c r="B8" i="76"/>
  <c r="AO11" i="1"/>
  <c r="E9" i="76"/>
  <c r="B7" i="76"/>
  <c r="AO13" i="1"/>
  <c r="E10" i="76"/>
  <c r="AO12" i="1"/>
  <c r="E11" i="76"/>
  <c r="D2" i="35"/>
  <c r="E2" i="69"/>
  <c r="AV84" i="84" l="1"/>
  <c r="AX84" i="84"/>
  <c r="AV85" i="84"/>
  <c r="AX85" i="84"/>
  <c r="AV86" i="84"/>
  <c r="AX86" i="84"/>
  <c r="AV87" i="84"/>
  <c r="AX87" i="84"/>
  <c r="AV88" i="84"/>
  <c r="AX88" i="84"/>
  <c r="AV89" i="84"/>
  <c r="AX89" i="84"/>
  <c r="AU90" i="84"/>
  <c r="AW90" i="84"/>
  <c r="AV93" i="84"/>
  <c r="AX93" i="84"/>
  <c r="AU94" i="84"/>
  <c r="AW94" i="84"/>
  <c r="AV97" i="84"/>
  <c r="AX97" i="84"/>
  <c r="AS103" i="84"/>
  <c r="AY103" i="84" s="1"/>
  <c r="AU103" i="84"/>
  <c r="AW103" i="84"/>
  <c r="AW105" i="84"/>
  <c r="AW106" i="84"/>
  <c r="AW107" i="84"/>
  <c r="AW108" i="84"/>
  <c r="AW109" i="84"/>
  <c r="AW110" i="84"/>
  <c r="AV115" i="84"/>
  <c r="AX115" i="84"/>
  <c r="AV116" i="84"/>
  <c r="AX116" i="84"/>
  <c r="AU117" i="84"/>
  <c r="AW117" i="84"/>
  <c r="AV119" i="84"/>
  <c r="AX119" i="84"/>
  <c r="AV120" i="84"/>
  <c r="AX120" i="84"/>
  <c r="AV121" i="84"/>
  <c r="AX121" i="84"/>
  <c r="AV122" i="84"/>
  <c r="AX122" i="84"/>
  <c r="AV123" i="84"/>
  <c r="AX123" i="84"/>
  <c r="AV124" i="84"/>
  <c r="AX124" i="84"/>
  <c r="AV125" i="84"/>
  <c r="AX125" i="84"/>
  <c r="AV4" i="84"/>
  <c r="AX4" i="84"/>
  <c r="AV8" i="84"/>
  <c r="AX8" i="84"/>
  <c r="AV12" i="84"/>
  <c r="AX12" i="84"/>
  <c r="AV16" i="84"/>
  <c r="AX16" i="84"/>
  <c r="AV20" i="84"/>
  <c r="AX20" i="84"/>
  <c r="AU21" i="84"/>
  <c r="AW21" i="84"/>
  <c r="AV24" i="84"/>
  <c r="AX24" i="84"/>
  <c r="AX25" i="84"/>
  <c r="AU19" i="84"/>
  <c r="AW19" i="84"/>
  <c r="AU5" i="84"/>
  <c r="AW5" i="84"/>
  <c r="AU9" i="84"/>
  <c r="AW9" i="84"/>
  <c r="AU13" i="84"/>
  <c r="AW13" i="84"/>
  <c r="AU17" i="84"/>
  <c r="AW17" i="84"/>
  <c r="AV25" i="84"/>
  <c r="AU26" i="84"/>
  <c r="AW26" i="84"/>
  <c r="AU98" i="84"/>
  <c r="AW98" i="84"/>
  <c r="AV30" i="84"/>
  <c r="AV31" i="84"/>
  <c r="AX31" i="84"/>
  <c r="AV32" i="84"/>
  <c r="AX32" i="84"/>
  <c r="AS33" i="84"/>
  <c r="AY33" i="84" s="1"/>
  <c r="AU33" i="84"/>
  <c r="AW33" i="84"/>
  <c r="AV35" i="84"/>
  <c r="AV36" i="84"/>
  <c r="AX36" i="84"/>
  <c r="AS37" i="84"/>
  <c r="AY37" i="84" s="1"/>
  <c r="AU37" i="84"/>
  <c r="AW37" i="84"/>
  <c r="AV39" i="84"/>
  <c r="AX39" i="84"/>
  <c r="AU40" i="84"/>
  <c r="AW40" i="84"/>
  <c r="AV45" i="84"/>
  <c r="AV46" i="84"/>
  <c r="AX46" i="84"/>
  <c r="AS47" i="84"/>
  <c r="AY47" i="84" s="1"/>
  <c r="AU47" i="84"/>
  <c r="AW47" i="84"/>
  <c r="AV51" i="84"/>
  <c r="AX51" i="84"/>
  <c r="AU52" i="84"/>
  <c r="AW52" i="84"/>
  <c r="AV55" i="84"/>
  <c r="AX55" i="84"/>
  <c r="AU56" i="84"/>
  <c r="AW56" i="84"/>
  <c r="AV59" i="84"/>
  <c r="AX59" i="84"/>
  <c r="AU60" i="84"/>
  <c r="AW60" i="84"/>
  <c r="AV63" i="84"/>
  <c r="AX63" i="84"/>
  <c r="AU64" i="84"/>
  <c r="AW64" i="84"/>
  <c r="AV67" i="84"/>
  <c r="AX67" i="84"/>
  <c r="AU68" i="84"/>
  <c r="AW68" i="84"/>
  <c r="AV71" i="84"/>
  <c r="AX71" i="84"/>
  <c r="AU72" i="84"/>
  <c r="AW72" i="84"/>
  <c r="AW73" i="84"/>
  <c r="AW74" i="84"/>
  <c r="AW76" i="84"/>
  <c r="AW77" i="84"/>
  <c r="AW78" i="84"/>
  <c r="AW80" i="84"/>
  <c r="AW81" i="84"/>
  <c r="AW82" i="84"/>
  <c r="AW83" i="84"/>
  <c r="AW84" i="84"/>
  <c r="AW85" i="84"/>
  <c r="AW86" i="84"/>
  <c r="AW87" i="84"/>
  <c r="AW88" i="84"/>
  <c r="AU92" i="84"/>
  <c r="AW92" i="84"/>
  <c r="AV105" i="84"/>
  <c r="AV106" i="84"/>
  <c r="AX106" i="84"/>
  <c r="AV107" i="84"/>
  <c r="AX107" i="84"/>
  <c r="AV108" i="84"/>
  <c r="AX108" i="84"/>
  <c r="AV111" i="84"/>
  <c r="AX111" i="84"/>
  <c r="AV112" i="84"/>
  <c r="AX112" i="84"/>
  <c r="AV113" i="84"/>
  <c r="AX113" i="84"/>
  <c r="AS114" i="84"/>
  <c r="AY114" i="84" s="1"/>
  <c r="AU114" i="84"/>
  <c r="AW114" i="84"/>
  <c r="AS118" i="84"/>
  <c r="AY118" i="84" s="1"/>
  <c r="AU118" i="84"/>
  <c r="AW118" i="84"/>
  <c r="AW123" i="84"/>
  <c r="AW124" i="84"/>
  <c r="G29" i="6"/>
  <c r="AZ32" i="3"/>
  <c r="AZ40" i="3"/>
  <c r="AZ48" i="3"/>
  <c r="AZ56" i="3"/>
  <c r="AZ64" i="3"/>
  <c r="AZ72" i="3"/>
  <c r="AZ80" i="3"/>
  <c r="AZ88" i="3"/>
  <c r="AZ96" i="3"/>
  <c r="AZ104" i="3"/>
  <c r="AZ112" i="3"/>
  <c r="AZ120" i="3"/>
  <c r="AZ128" i="3"/>
  <c r="AZ136" i="3"/>
  <c r="AZ144" i="3"/>
  <c r="AZ152" i="3"/>
  <c r="AZ160" i="3"/>
  <c r="AZ168" i="3"/>
  <c r="AZ176" i="3"/>
  <c r="AZ184" i="3"/>
  <c r="AZ310" i="3"/>
  <c r="AZ314" i="3"/>
  <c r="AZ318" i="3"/>
  <c r="AZ322" i="3"/>
  <c r="AZ326" i="3"/>
  <c r="AZ336" i="3"/>
  <c r="AZ352" i="3"/>
  <c r="G28" i="6"/>
  <c r="G30" i="6" s="1"/>
  <c r="AZ24" i="3"/>
  <c r="G24" i="78"/>
  <c r="E5" i="6"/>
  <c r="BC5" i="3"/>
  <c r="BE5" i="3"/>
  <c r="BG5" i="3"/>
  <c r="BI5" i="3"/>
  <c r="BK5" i="3"/>
  <c r="BA15" i="3"/>
  <c r="AZ15" i="3" s="1"/>
  <c r="BL16" i="3"/>
  <c r="AZ16" i="3" s="1"/>
  <c r="G17" i="3"/>
  <c r="BA19" i="3"/>
  <c r="AZ19" i="3" s="1"/>
  <c r="BL20" i="3"/>
  <c r="AZ20" i="3" s="1"/>
  <c r="G21" i="3"/>
  <c r="BA23" i="3"/>
  <c r="AZ23" i="3" s="1"/>
  <c r="BL24" i="3"/>
  <c r="G25" i="3"/>
  <c r="BA27" i="3"/>
  <c r="AZ27" i="3" s="1"/>
  <c r="BL28" i="3"/>
  <c r="AZ28" i="3" s="1"/>
  <c r="G29" i="3"/>
  <c r="BA31" i="3"/>
  <c r="AZ31" i="3" s="1"/>
  <c r="BL32" i="3"/>
  <c r="G33" i="3"/>
  <c r="BA35" i="3"/>
  <c r="AZ35" i="3" s="1"/>
  <c r="BL36" i="3"/>
  <c r="AZ36" i="3" s="1"/>
  <c r="G37" i="3"/>
  <c r="BA39" i="3"/>
  <c r="AZ39" i="3" s="1"/>
  <c r="BL40" i="3"/>
  <c r="G41" i="3"/>
  <c r="BA43" i="3"/>
  <c r="AZ43" i="3" s="1"/>
  <c r="BL44" i="3"/>
  <c r="AZ44" i="3" s="1"/>
  <c r="G45" i="3"/>
  <c r="BA47" i="3"/>
  <c r="AZ47" i="3" s="1"/>
  <c r="BL48" i="3"/>
  <c r="G49" i="3"/>
  <c r="BA51" i="3"/>
  <c r="AZ51" i="3" s="1"/>
  <c r="BL52" i="3"/>
  <c r="AZ52" i="3" s="1"/>
  <c r="G53" i="3"/>
  <c r="BA55" i="3"/>
  <c r="AZ55" i="3" s="1"/>
  <c r="BL56" i="3"/>
  <c r="G57" i="3"/>
  <c r="BA59" i="3"/>
  <c r="AZ59" i="3" s="1"/>
  <c r="BL60" i="3"/>
  <c r="AZ60" i="3" s="1"/>
  <c r="G61" i="3"/>
  <c r="BA63" i="3"/>
  <c r="AZ63" i="3" s="1"/>
  <c r="BL64" i="3"/>
  <c r="G65" i="3"/>
  <c r="BA67" i="3"/>
  <c r="AZ67" i="3" s="1"/>
  <c r="BL68" i="3"/>
  <c r="AZ68" i="3" s="1"/>
  <c r="G69" i="3"/>
  <c r="BA71" i="3"/>
  <c r="AZ71" i="3" s="1"/>
  <c r="BL72" i="3"/>
  <c r="G73" i="3"/>
  <c r="BA75" i="3"/>
  <c r="AZ75" i="3" s="1"/>
  <c r="BL76" i="3"/>
  <c r="AZ76" i="3" s="1"/>
  <c r="G77" i="3"/>
  <c r="BA79" i="3"/>
  <c r="AZ79" i="3" s="1"/>
  <c r="BL80" i="3"/>
  <c r="G81" i="3"/>
  <c r="BA83" i="3"/>
  <c r="AZ83" i="3" s="1"/>
  <c r="BL84" i="3"/>
  <c r="AZ84" i="3" s="1"/>
  <c r="G85" i="3"/>
  <c r="BA87" i="3"/>
  <c r="AZ87" i="3" s="1"/>
  <c r="BL88" i="3"/>
  <c r="G89" i="3"/>
  <c r="BA91" i="3"/>
  <c r="AZ91" i="3" s="1"/>
  <c r="BL92" i="3"/>
  <c r="AZ92" i="3" s="1"/>
  <c r="G93" i="3"/>
  <c r="BA95" i="3"/>
  <c r="AZ95" i="3" s="1"/>
  <c r="BL96" i="3"/>
  <c r="G97" i="3"/>
  <c r="BA99" i="3"/>
  <c r="AZ99" i="3" s="1"/>
  <c r="BL100" i="3"/>
  <c r="AZ100" i="3" s="1"/>
  <c r="G101" i="3"/>
  <c r="BA103" i="3"/>
  <c r="AZ103" i="3" s="1"/>
  <c r="BL104" i="3"/>
  <c r="G105" i="3"/>
  <c r="BA107" i="3"/>
  <c r="AZ107" i="3" s="1"/>
  <c r="BL108" i="3"/>
  <c r="AZ108" i="3" s="1"/>
  <c r="G109" i="3"/>
  <c r="BA111" i="3"/>
  <c r="AZ111" i="3" s="1"/>
  <c r="BL112"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AZ360" i="3"/>
  <c r="AZ368" i="3"/>
  <c r="AZ376" i="3"/>
  <c r="AZ384" i="3"/>
  <c r="AZ392" i="3"/>
  <c r="AZ400" i="3"/>
  <c r="AZ408" i="3"/>
  <c r="AZ416" i="3"/>
  <c r="AZ424" i="3"/>
  <c r="AZ432" i="3"/>
  <c r="AZ440" i="3"/>
  <c r="AZ448" i="3"/>
  <c r="AZ456" i="3"/>
  <c r="AZ464" i="3"/>
  <c r="AZ472" i="3"/>
  <c r="AZ480" i="3"/>
  <c r="AZ488" i="3"/>
  <c r="AZ496" i="3"/>
  <c r="AZ504" i="3"/>
  <c r="AZ512" i="3"/>
  <c r="AZ520" i="3"/>
  <c r="AZ528"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G311" i="3"/>
  <c r="BL312" i="3"/>
  <c r="AZ312" i="3" s="1"/>
  <c r="G313" i="3"/>
  <c r="BL314" i="3"/>
  <c r="G315" i="3"/>
  <c r="BL316" i="3"/>
  <c r="AZ316" i="3" s="1"/>
  <c r="G317" i="3"/>
  <c r="BL318" i="3"/>
  <c r="G319" i="3"/>
  <c r="BL320" i="3"/>
  <c r="AZ320" i="3" s="1"/>
  <c r="G321" i="3"/>
  <c r="BL322" i="3"/>
  <c r="G323" i="3"/>
  <c r="BL324" i="3"/>
  <c r="AZ324" i="3" s="1"/>
  <c r="G325" i="3"/>
  <c r="BL326" i="3"/>
  <c r="G327" i="3"/>
  <c r="BL328" i="3"/>
  <c r="AZ328" i="3" s="1"/>
  <c r="G329" i="3"/>
  <c r="BA331" i="3"/>
  <c r="AZ331" i="3" s="1"/>
  <c r="BL332" i="3"/>
  <c r="AZ332" i="3" s="1"/>
  <c r="G333" i="3"/>
  <c r="BA335" i="3"/>
  <c r="AZ335" i="3" s="1"/>
  <c r="BL336" i="3"/>
  <c r="G337" i="3"/>
  <c r="BA339" i="3"/>
  <c r="AZ339" i="3" s="1"/>
  <c r="BL340" i="3"/>
  <c r="AZ340" i="3" s="1"/>
  <c r="G341" i="3"/>
  <c r="BA343" i="3"/>
  <c r="AZ343" i="3" s="1"/>
  <c r="BL344" i="3"/>
  <c r="AZ344" i="3" s="1"/>
  <c r="G345" i="3"/>
  <c r="BA347" i="3"/>
  <c r="AZ347" i="3" s="1"/>
  <c r="BL348" i="3"/>
  <c r="AZ348" i="3" s="1"/>
  <c r="G349" i="3"/>
  <c r="BA351" i="3"/>
  <c r="AZ351" i="3" s="1"/>
  <c r="BL352" i="3"/>
  <c r="G353" i="3"/>
  <c r="BA355" i="3"/>
  <c r="AZ355" i="3" s="1"/>
  <c r="BL356" i="3"/>
  <c r="AZ356" i="3" s="1"/>
  <c r="G357" i="3"/>
  <c r="BA359" i="3"/>
  <c r="AZ359" i="3" s="1"/>
  <c r="BL360" i="3"/>
  <c r="G361" i="3"/>
  <c r="BA363" i="3"/>
  <c r="AZ363" i="3" s="1"/>
  <c r="BL364" i="3"/>
  <c r="AZ364" i="3" s="1"/>
  <c r="G365" i="3"/>
  <c r="BA367" i="3"/>
  <c r="AZ367" i="3" s="1"/>
  <c r="BL368" i="3"/>
  <c r="G369" i="3"/>
  <c r="BA371" i="3"/>
  <c r="AZ371" i="3" s="1"/>
  <c r="BL372" i="3"/>
  <c r="AZ372" i="3" s="1"/>
  <c r="G373" i="3"/>
  <c r="BA375" i="3"/>
  <c r="AZ375" i="3" s="1"/>
  <c r="BL376" i="3"/>
  <c r="G377" i="3"/>
  <c r="BA379" i="3"/>
  <c r="AZ379" i="3" s="1"/>
  <c r="BL380" i="3"/>
  <c r="AZ380" i="3" s="1"/>
  <c r="G381" i="3"/>
  <c r="BA383" i="3"/>
  <c r="AZ383" i="3" s="1"/>
  <c r="BL384" i="3"/>
  <c r="G385" i="3"/>
  <c r="BA387" i="3"/>
  <c r="AZ387" i="3" s="1"/>
  <c r="BL388" i="3"/>
  <c r="AZ388" i="3" s="1"/>
  <c r="G389" i="3"/>
  <c r="BA391" i="3"/>
  <c r="AZ391" i="3" s="1"/>
  <c r="BL392" i="3"/>
  <c r="G393" i="3"/>
  <c r="BA395" i="3"/>
  <c r="AZ395" i="3" s="1"/>
  <c r="BL396" i="3"/>
  <c r="AZ396" i="3" s="1"/>
  <c r="G397" i="3"/>
  <c r="BA399" i="3"/>
  <c r="AZ399" i="3" s="1"/>
  <c r="BL400" i="3"/>
  <c r="G401" i="3"/>
  <c r="BA403" i="3"/>
  <c r="AZ403" i="3" s="1"/>
  <c r="BL404" i="3"/>
  <c r="AZ404" i="3" s="1"/>
  <c r="G405" i="3"/>
  <c r="BA407" i="3"/>
  <c r="AZ407" i="3" s="1"/>
  <c r="BL408" i="3"/>
  <c r="G409" i="3"/>
  <c r="BA411" i="3"/>
  <c r="AZ411" i="3" s="1"/>
  <c r="BL412" i="3"/>
  <c r="AZ412" i="3" s="1"/>
  <c r="G413" i="3"/>
  <c r="BA415" i="3"/>
  <c r="AZ415" i="3" s="1"/>
  <c r="BL416" i="3"/>
  <c r="G417" i="3"/>
  <c r="BA419" i="3"/>
  <c r="AZ419" i="3" s="1"/>
  <c r="BL420" i="3"/>
  <c r="AZ420" i="3" s="1"/>
  <c r="G421" i="3"/>
  <c r="BA423" i="3"/>
  <c r="AZ423" i="3" s="1"/>
  <c r="BL424" i="3"/>
  <c r="G425" i="3"/>
  <c r="BA427" i="3"/>
  <c r="AZ427" i="3" s="1"/>
  <c r="BL428" i="3"/>
  <c r="AZ428" i="3" s="1"/>
  <c r="G429" i="3"/>
  <c r="BA431" i="3"/>
  <c r="AZ431" i="3" s="1"/>
  <c r="BL432" i="3"/>
  <c r="G433" i="3"/>
  <c r="BA435" i="3"/>
  <c r="AZ435" i="3" s="1"/>
  <c r="BL436" i="3"/>
  <c r="AZ436" i="3" s="1"/>
  <c r="G437" i="3"/>
  <c r="BA439" i="3"/>
  <c r="AZ439" i="3" s="1"/>
  <c r="BL440" i="3"/>
  <c r="G441" i="3"/>
  <c r="BA443" i="3"/>
  <c r="AZ443" i="3" s="1"/>
  <c r="BL444" i="3"/>
  <c r="AZ444" i="3" s="1"/>
  <c r="G445" i="3"/>
  <c r="BA447" i="3"/>
  <c r="AZ447" i="3" s="1"/>
  <c r="BL448" i="3"/>
  <c r="G449" i="3"/>
  <c r="BA451" i="3"/>
  <c r="AZ451" i="3" s="1"/>
  <c r="BL452" i="3"/>
  <c r="AZ452" i="3" s="1"/>
  <c r="G453" i="3"/>
  <c r="BA455" i="3"/>
  <c r="AZ455" i="3" s="1"/>
  <c r="BL456" i="3"/>
  <c r="G457" i="3"/>
  <c r="BA459" i="3"/>
  <c r="AZ459" i="3" s="1"/>
  <c r="BL460" i="3"/>
  <c r="AZ460" i="3" s="1"/>
  <c r="G461" i="3"/>
  <c r="BA463" i="3"/>
  <c r="AZ463" i="3" s="1"/>
  <c r="BL464" i="3"/>
  <c r="G465" i="3"/>
  <c r="BA467" i="3"/>
  <c r="AZ467" i="3" s="1"/>
  <c r="BL468" i="3"/>
  <c r="AZ468" i="3" s="1"/>
  <c r="G469" i="3"/>
  <c r="BA471" i="3"/>
  <c r="AZ471" i="3" s="1"/>
  <c r="BL472" i="3"/>
  <c r="G473" i="3"/>
  <c r="BA475" i="3"/>
  <c r="AZ475" i="3" s="1"/>
  <c r="BL476" i="3"/>
  <c r="AZ476" i="3" s="1"/>
  <c r="G477" i="3"/>
  <c r="BA479" i="3"/>
  <c r="AZ479" i="3" s="1"/>
  <c r="BL480" i="3"/>
  <c r="G481" i="3"/>
  <c r="BA483" i="3"/>
  <c r="AZ483" i="3" s="1"/>
  <c r="BL484" i="3"/>
  <c r="AZ484" i="3" s="1"/>
  <c r="G485" i="3"/>
  <c r="BA487" i="3"/>
  <c r="AZ487" i="3" s="1"/>
  <c r="BL488" i="3"/>
  <c r="G489" i="3"/>
  <c r="BA491" i="3"/>
  <c r="AZ491" i="3" s="1"/>
  <c r="BL492" i="3"/>
  <c r="AZ492" i="3" s="1"/>
  <c r="G493" i="3"/>
  <c r="BA495" i="3"/>
  <c r="AZ495" i="3" s="1"/>
  <c r="BL496" i="3"/>
  <c r="G497" i="3"/>
  <c r="BA499" i="3"/>
  <c r="AZ499" i="3" s="1"/>
  <c r="BL500" i="3"/>
  <c r="AZ500" i="3" s="1"/>
  <c r="G501" i="3"/>
  <c r="BA503" i="3"/>
  <c r="AZ503" i="3" s="1"/>
  <c r="BL504" i="3"/>
  <c r="G505" i="3"/>
  <c r="BA507" i="3"/>
  <c r="AZ507" i="3" s="1"/>
  <c r="BL508" i="3"/>
  <c r="AZ508" i="3" s="1"/>
  <c r="G509" i="3"/>
  <c r="BA511" i="3"/>
  <c r="AZ511" i="3" s="1"/>
  <c r="BL512" i="3"/>
  <c r="G513" i="3"/>
  <c r="BA515" i="3"/>
  <c r="AZ515" i="3" s="1"/>
  <c r="BL516" i="3"/>
  <c r="AZ516" i="3" s="1"/>
  <c r="G517" i="3"/>
  <c r="BA519" i="3"/>
  <c r="AZ519" i="3" s="1"/>
  <c r="BL520" i="3"/>
  <c r="G521" i="3"/>
  <c r="BA523" i="3"/>
  <c r="AZ523" i="3" s="1"/>
  <c r="BL524" i="3"/>
  <c r="AZ524" i="3" s="1"/>
  <c r="G525" i="3"/>
  <c r="BA527" i="3"/>
  <c r="AZ527" i="3" s="1"/>
  <c r="BL528" i="3"/>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AC25" i="83" s="1"/>
  <c r="F25" i="83"/>
  <c r="AA25" i="83" s="1"/>
  <c r="H27" i="83"/>
  <c r="AB27" i="83" s="1"/>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12"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W25" i="83"/>
  <c r="T35" i="4"/>
  <c r="A19" i="51"/>
  <c r="B14" i="72" s="1"/>
  <c r="C7" i="78"/>
  <c r="D7" i="78" s="1"/>
  <c r="C6" i="78"/>
  <c r="D6" i="78" s="1"/>
  <c r="C5" i="78"/>
  <c r="D5" i="78" s="1"/>
  <c r="B18" i="78"/>
  <c r="C15" i="78"/>
  <c r="N56" i="9"/>
  <c r="K56" i="9"/>
  <c r="M56" i="9"/>
  <c r="J56" i="9"/>
  <c r="J57" i="9" s="1"/>
  <c r="J59" i="9" s="1"/>
  <c r="J61" i="9" s="1"/>
  <c r="BB5" i="3"/>
  <c r="E8" i="6" s="1"/>
  <c r="E13"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9" i="83"/>
  <c r="U29" i="83"/>
  <c r="AB31" i="83"/>
  <c r="U31" i="83"/>
  <c r="J36" i="83"/>
  <c r="F36" i="83"/>
  <c r="AB45" i="83"/>
  <c r="U45" i="83"/>
  <c r="T77" i="82"/>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AK35" i="84"/>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AK51" i="84"/>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AK67" i="84"/>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AK87" i="84"/>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AK118" i="84"/>
  <c r="V119" i="84"/>
  <c r="AE120" i="84"/>
  <c r="AT120" i="84" s="1"/>
  <c r="V121" i="84"/>
  <c r="V123" i="84"/>
  <c r="V125" i="84"/>
  <c r="V122" i="84"/>
  <c r="V124" i="84"/>
  <c r="F5" i="73"/>
  <c r="F6" i="73"/>
  <c r="F7" i="73"/>
  <c r="F4" i="73"/>
  <c r="F3" i="73"/>
  <c r="C15" i="12" l="1"/>
  <c r="U27" i="83"/>
  <c r="AK114" i="84"/>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D46" i="36"/>
  <c r="E46" i="36" s="1"/>
  <c r="F46" i="36" s="1"/>
  <c r="G46" i="36" s="1"/>
  <c r="H46" i="36" s="1"/>
  <c r="I46" i="36" s="1"/>
  <c r="J46" i="36" s="1"/>
  <c r="K46" i="36" s="1"/>
  <c r="L46" i="36" s="1"/>
  <c r="M46" i="36" s="1"/>
  <c r="N46" i="36" s="1"/>
  <c r="O46" i="36" s="1"/>
  <c r="F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F13" i="67"/>
  <c r="M26" i="67"/>
  <c r="F40" i="15"/>
  <c r="F16" i="15"/>
  <c r="F16" i="67"/>
  <c r="D7" i="73"/>
  <c r="F35" i="67"/>
  <c r="F38" i="67"/>
  <c r="F8" i="15"/>
  <c r="F40" i="67"/>
  <c r="M26" i="15"/>
  <c r="M23" i="15"/>
  <c r="M6" i="15"/>
  <c r="F9" i="67"/>
  <c r="C76" i="67"/>
  <c r="M28" i="67"/>
  <c r="M6" i="67"/>
  <c r="F6" i="67"/>
  <c r="F8" i="67"/>
  <c r="F6" i="15"/>
  <c r="M29" i="67"/>
  <c r="F27" i="68"/>
  <c r="J15" i="67"/>
  <c r="L48" i="67"/>
  <c r="M28" i="15"/>
  <c r="F43" i="67"/>
  <c r="M8" i="15"/>
  <c r="F42" i="15"/>
  <c r="M9" i="15"/>
  <c r="F26" i="67"/>
  <c r="F7" i="67"/>
  <c r="F13" i="15"/>
  <c r="F41" i="67"/>
  <c r="D9" i="68"/>
  <c r="F37" i="67"/>
  <c r="F36" i="15"/>
  <c r="C36" i="68"/>
  <c r="D3" i="73"/>
  <c r="F38" i="15"/>
  <c r="M23" i="67"/>
  <c r="D4" i="73"/>
  <c r="F7" i="15"/>
  <c r="M27" i="67"/>
  <c r="M22" i="67"/>
  <c r="F9" i="15"/>
  <c r="F37" i="15"/>
  <c r="M8" i="67"/>
  <c r="M22" i="15"/>
  <c r="L47" i="67"/>
  <c r="M21" i="67"/>
  <c r="F36" i="67"/>
  <c r="F43" i="15"/>
  <c r="M9" i="67"/>
  <c r="D5" i="73"/>
  <c r="F42" i="67"/>
  <c r="J15" i="15"/>
  <c r="D6" i="73"/>
  <c r="M24" i="67"/>
  <c r="F26" i="15"/>
  <c r="L48" i="15"/>
  <c r="C76" i="15"/>
  <c r="M29" i="15"/>
  <c r="L47" i="15"/>
  <c r="M24" i="15"/>
  <c r="AB15" i="83" l="1"/>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F11" i="15"/>
  <c r="C53" i="15" s="1"/>
  <c r="M11" i="67"/>
  <c r="J10" i="67" s="1"/>
  <c r="C17" i="67"/>
  <c r="C17" i="15"/>
  <c r="G1" i="73"/>
  <c r="C16" i="67"/>
  <c r="C16" i="15"/>
  <c r="C14" i="67"/>
  <c r="D10" i="68"/>
  <c r="J10" i="15" l="1"/>
  <c r="W7" i="83"/>
  <c r="B40" i="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AE6" i="1"/>
  <c r="C14" i="15"/>
  <c r="C34" i="68"/>
  <c r="AG6" i="1" l="1"/>
  <c r="E50" i="43"/>
  <c r="B48" i="43" s="1"/>
  <c r="C28"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C14" i="74" s="1"/>
  <c r="B2" i="74" s="1"/>
  <c r="D7" i="74" s="1"/>
  <c r="D9" i="6"/>
  <c r="D8" i="6"/>
  <c r="D16" i="6" s="1"/>
  <c r="D5" i="6"/>
  <c r="C18" i="4"/>
  <c r="C42" i="37"/>
  <c r="C43" i="37"/>
  <c r="C38" i="35"/>
  <c r="C39" i="35"/>
  <c r="M3" i="35" s="1"/>
  <c r="T16" i="1"/>
  <c r="R49" i="21"/>
  <c r="E48" i="21"/>
  <c r="I53" i="21" s="1"/>
  <c r="J53" i="21" s="1"/>
  <c r="E41" i="36"/>
  <c r="F41" i="36" s="1"/>
  <c r="E40" i="36"/>
  <c r="F40" i="36" s="1"/>
  <c r="C49" i="34"/>
  <c r="C50" i="34"/>
  <c r="E48" i="33"/>
  <c r="I53" i="33" s="1"/>
  <c r="J53" i="33" s="1"/>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8" i="67"/>
  <c r="C31" i="67"/>
  <c r="C66" i="67"/>
  <c r="C60" i="67"/>
  <c r="C59" i="67" s="1"/>
  <c r="J24"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2" i="21"/>
  <c r="J52" i="21" s="1"/>
  <c r="J26" i="67"/>
  <c r="J29" i="67" s="1"/>
  <c r="J24" i="67"/>
  <c r="M27" i="15"/>
  <c r="F41" i="15"/>
  <c r="C33" i="11" l="1"/>
  <c r="C42" i="11" s="1"/>
  <c r="F41" i="68"/>
  <c r="C24" i="68"/>
  <c r="C26" i="69"/>
  <c r="D22" i="69" s="1"/>
  <c r="C60" i="15"/>
  <c r="C44" i="68"/>
  <c r="D41" i="68" s="1"/>
  <c r="C44" i="69"/>
  <c r="D41" i="69" s="1"/>
  <c r="F69" i="15"/>
  <c r="C33" i="68"/>
  <c r="C39" i="68" s="1"/>
  <c r="C43" i="68" s="1"/>
  <c r="C21" i="12"/>
  <c r="C22" i="12" s="1"/>
  <c r="C19" i="15"/>
  <c r="C20" i="15" s="1"/>
  <c r="C26" i="15" s="1"/>
  <c r="C23" i="67"/>
  <c r="C29" i="67" s="1"/>
  <c r="P37" i="43"/>
  <c r="N37" i="43"/>
  <c r="Q37" i="43"/>
  <c r="O37" i="43"/>
  <c r="M37" i="43"/>
  <c r="C39" i="11"/>
  <c r="C43" i="11" s="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29" i="15" s="1"/>
  <c r="C57" i="15" s="1"/>
  <c r="C64" i="15" s="1"/>
  <c r="C42" i="68"/>
  <c r="C41" i="68" s="1"/>
  <c r="C30" i="12"/>
  <c r="C28" i="12" s="1"/>
  <c r="C27" i="12"/>
  <c r="C25" i="12" s="1"/>
  <c r="C31" i="43"/>
  <c r="C41" i="1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M21" i="15"/>
  <c r="E6" i="76"/>
  <c r="F35" i="15"/>
  <c r="C49" i="68" l="1"/>
  <c r="C51" i="68" s="1"/>
  <c r="C49" i="11"/>
  <c r="C51" i="11" s="1"/>
  <c r="C52" i="11" s="1"/>
  <c r="B2" i="11" s="1"/>
  <c r="B3" i="11" s="1"/>
  <c r="C20" i="69"/>
  <c r="C25" i="69" s="1"/>
  <c r="C22" i="69" s="1"/>
  <c r="C32" i="12"/>
  <c r="B2" i="12" s="1"/>
  <c r="B3" i="12" s="1"/>
  <c r="J14" i="15"/>
  <c r="J22" i="15" s="1"/>
  <c r="J59" i="15"/>
  <c r="J60" i="15" s="1"/>
  <c r="Q48" i="15" s="1"/>
  <c r="C36" i="15"/>
  <c r="C13" i="15"/>
  <c r="Q49" i="15"/>
  <c r="F63" i="15"/>
  <c r="C62" i="15" s="1"/>
  <c r="C59" i="15" s="1"/>
  <c r="C34" i="15"/>
  <c r="C31" i="15" s="1"/>
  <c r="J20" i="15"/>
  <c r="J17" i="15" s="1"/>
  <c r="E2" i="76"/>
  <c r="E53" i="83"/>
  <c r="F53" i="83" s="1"/>
  <c r="E52" i="83"/>
  <c r="F52" i="83" s="1"/>
  <c r="J13" i="67"/>
  <c r="J23" i="67" s="1"/>
  <c r="J22" i="67"/>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Q70" i="15" l="1"/>
  <c r="C56" i="11"/>
  <c r="C57" i="11" s="1"/>
  <c r="C56" i="15"/>
  <c r="C65" i="15" s="1"/>
  <c r="C58" i="15" s="1"/>
  <c r="C67" i="15" s="1"/>
  <c r="C68" i="15" s="1"/>
  <c r="J13" i="15"/>
  <c r="J23" i="15" s="1"/>
  <c r="J16" i="15" s="1"/>
  <c r="J25" i="15" s="1"/>
  <c r="J26" i="15" s="1"/>
  <c r="J29" i="15" s="1"/>
  <c r="C28" i="69"/>
  <c r="C27" i="69" s="1"/>
  <c r="C31" i="69" s="1"/>
  <c r="C75" i="15"/>
  <c r="L46" i="15"/>
  <c r="C37" i="15"/>
  <c r="C30" i="15" s="1"/>
  <c r="C39" i="15" s="1"/>
  <c r="I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AO6" i="1"/>
  <c r="D19" i="9"/>
  <c r="D102" i="9" l="1"/>
  <c r="M23" i="9"/>
  <c r="L23" i="9" s="1"/>
  <c r="M5" i="83" s="1"/>
  <c r="M6" i="83" s="1"/>
  <c r="D21" i="9"/>
  <c r="D22" i="9"/>
  <c r="G19" i="9"/>
  <c r="B6" i="70"/>
  <c r="B2" i="70" s="1"/>
  <c r="B3" i="70" s="1"/>
  <c r="M69" i="39"/>
  <c r="N67" i="39"/>
  <c r="B3" i="15"/>
  <c r="C22" i="68"/>
  <c r="C28" i="68"/>
  <c r="C27" i="68" s="1"/>
  <c r="M65" i="40"/>
  <c r="N63" i="40"/>
  <c r="D13" i="71"/>
  <c r="C12" i="71"/>
  <c r="D20" i="9"/>
  <c r="C31" i="68" l="1"/>
  <c r="C52" i="68" s="1"/>
  <c r="B2" i="68" s="1"/>
  <c r="D103" i="9"/>
  <c r="G20" i="9"/>
  <c r="T12" i="71"/>
  <c r="D12" i="71"/>
  <c r="U12" i="71" s="1"/>
  <c r="C11" i="71"/>
  <c r="N65" i="40"/>
  <c r="O63" i="40"/>
  <c r="O65" i="40" s="1"/>
  <c r="N69" i="39"/>
  <c r="O67" i="39"/>
  <c r="O69" i="39" s="1"/>
  <c r="C32" i="9"/>
  <c r="F35" i="9" s="1"/>
  <c r="F34" i="9" s="1"/>
  <c r="G21" i="9"/>
  <c r="K32" i="1"/>
  <c r="B3" i="68"/>
  <c r="C57" i="68" l="1"/>
  <c r="C56" i="68" s="1"/>
  <c r="H118" i="9"/>
  <c r="D14" i="74" s="1"/>
  <c r="J7" i="39"/>
  <c r="F7" i="39"/>
  <c r="H7" i="39"/>
  <c r="F7" i="40"/>
  <c r="J7" i="40"/>
  <c r="H7" i="40"/>
  <c r="D11" i="71"/>
  <c r="C10" i="71"/>
  <c r="C35" i="9" l="1"/>
  <c r="E14" i="74"/>
  <c r="F14" i="74"/>
  <c r="B5" i="74"/>
  <c r="D5" i="74" s="1"/>
  <c r="AC7" i="40"/>
  <c r="V42" i="40" s="1"/>
  <c r="I42" i="40" s="1"/>
  <c r="W7" i="40"/>
  <c r="AB7" i="39"/>
  <c r="T47" i="39" s="1"/>
  <c r="G47" i="39" s="1"/>
  <c r="U7" i="39"/>
  <c r="W7" i="39"/>
  <c r="AC7" i="39"/>
  <c r="V47" i="39" s="1"/>
  <c r="I47" i="39" s="1"/>
  <c r="D10" i="71"/>
  <c r="C9" i="71"/>
  <c r="U7" i="40"/>
  <c r="AB7" i="40"/>
  <c r="T42" i="40" s="1"/>
  <c r="G42" i="40" s="1"/>
  <c r="AA7" i="40"/>
  <c r="R42" i="40" s="1"/>
  <c r="S7" i="40"/>
  <c r="S7" i="39"/>
  <c r="AA7" i="39"/>
  <c r="R47" i="39" s="1"/>
  <c r="H119" i="9"/>
  <c r="H5" i="52" s="1"/>
  <c r="H101" i="9"/>
  <c r="C104" i="9"/>
  <c r="I118" i="9"/>
  <c r="H4" i="52"/>
  <c r="D35" i="9"/>
  <c r="F118" i="9" l="1"/>
  <c r="F119" i="9" s="1"/>
  <c r="F5" i="52" s="1"/>
  <c r="B53" i="72" s="1"/>
  <c r="C34" i="9"/>
  <c r="G118" i="9"/>
  <c r="G4" i="52" s="1"/>
  <c r="B52" i="72" s="1"/>
  <c r="R43" i="40"/>
  <c r="E42" i="40"/>
  <c r="I51" i="39"/>
  <c r="J51" i="39" s="1"/>
  <c r="C105" i="9"/>
  <c r="H102" i="9"/>
  <c r="I4" i="52"/>
  <c r="D45" i="9"/>
  <c r="H107" i="9"/>
  <c r="M48" i="9"/>
  <c r="D5" i="53"/>
  <c r="R48" i="39"/>
  <c r="E47" i="39"/>
  <c r="G46" i="40"/>
  <c r="H46" i="40" s="1"/>
  <c r="G47" i="40"/>
  <c r="H47" i="40" s="1"/>
  <c r="D9" i="71"/>
  <c r="C8" i="71"/>
  <c r="G51" i="39"/>
  <c r="H51" i="39" s="1"/>
  <c r="G52" i="39"/>
  <c r="H52" i="39" s="1"/>
  <c r="I47" i="40"/>
  <c r="J47" i="40" s="1"/>
  <c r="I46" i="40"/>
  <c r="J46" i="40" s="1"/>
  <c r="D34" i="9"/>
  <c r="F4" i="52" l="1"/>
  <c r="B51" i="72" s="1"/>
  <c r="D118" i="9"/>
  <c r="D4" i="52" s="1"/>
  <c r="B47" i="72" s="1"/>
  <c r="D119" i="9"/>
  <c r="D5" i="52" s="1"/>
  <c r="B49" i="72" s="1"/>
  <c r="D8" i="71"/>
  <c r="C7" i="71"/>
  <c r="E52" i="39"/>
  <c r="F52" i="39" s="1"/>
  <c r="E51" i="39"/>
  <c r="F51" i="39" s="1"/>
  <c r="D6" i="53"/>
  <c r="B22" i="72" s="1"/>
  <c r="B20" i="72"/>
  <c r="D122" i="9"/>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E118" i="9" l="1"/>
  <c r="E4" i="52" s="1"/>
  <c r="B48" i="72" s="1"/>
  <c r="B60" i="40"/>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24.xml><?xml version="1.0" encoding="utf-8"?>
<comments xmlns="http://schemas.openxmlformats.org/spreadsheetml/2006/main">
  <authors>
    <author>tc={14000EAB-57AE-4E7E-80E0-CB13EAAA10F5}</author>
  </authors>
  <commentList>
    <comment ref="I23"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<sst xmlns="http://schemas.openxmlformats.org/spreadsheetml/2006/main" count="10274" uniqueCount="3770">
  <si>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</si>
  <si>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</si>
  <si>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</si>
  <si>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</si>
  <si>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</si>
  <si>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</si>
  <si>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</si>
  <si>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</si>
  <si>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</si>
  <si>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</si>
  <si>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</si>
  <si>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</si>
  <si>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</si>
  <si>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</si>
  <si>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</si>
  <si>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</si>
  <si>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</si>
  <si>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</si>
  <si>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</si>
  <si>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</si>
  <si>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</si>
  <si>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</si>
  <si>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</si>
  <si>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</si>
  <si>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</si>
  <si>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</si>
  <si>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</si>
  <si>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</si>
  <si>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</si>
  <si>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</si>
  <si>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</si>
  <si>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</si>
  <si>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</si>
  <si>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</si>
  <si>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</si>
  <si>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</si>
  <si>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</si>
  <si>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</si>
  <si>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</si>
  <si>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</si>
  <si>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</si>
  <si>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</si>
  <si>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</si>
  <si>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</si>
  <si>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</si>
  <si>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</si>
  <si>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</si>
  <si>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</si>
  <si>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</si>
  <si>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</si>
  <si>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</si>
  <si>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</si>
  <si>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</si>
  <si>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</si>
  <si>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</si>
  <si>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</si>
  <si>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</si>
  <si>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</si>
  <si>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</si>
  <si>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</si>
  <si>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</si>
  <si>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</si>
  <si>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</si>
  <si>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</si>
  <si>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</si>
  <si>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</si>
  <si>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</si>
  <si>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</si>
  <si>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</si>
  <si>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</si>
  <si>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</si>
  <si>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</si>
  <si>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</si>
  <si>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</si>
  <si>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</si>
  <si>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</si>
  <si>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</si>
  <si>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</si>
  <si>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</si>
  <si>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</si>
  <si>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</si>
  <si>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</si>
  <si>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</si>
  <si>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</si>
  <si>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</si>
  <si>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</si>
  <si>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</si>
  <si>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</si>
  <si>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</si>
  <si>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</si>
  <si>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</si>
  <si>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</si>
  <si>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</si>
  <si>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</si>
  <si>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</si>
  <si>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</si>
  <si>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</si>
  <si>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</si>
  <si>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</si>
  <si>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</si>
  <si>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</si>
  <si>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</si>
  <si>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</si>
  <si>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</si>
  <si>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</si>
  <si>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</si>
  <si>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</si>
  <si>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</si>
  <si>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</si>
  <si>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</si>
  <si>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</si>
  <si>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</si>
  <si>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</si>
  <si>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</si>
  <si>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</si>
  <si>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</si>
  <si>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</si>
  <si>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</si>
  <si>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</si>
  <si>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</si>
  <si>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</si>
  <si>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</si>
  <si>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</si>
  <si>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</si>
  <si>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</si>
  <si>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</si>
  <si>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</si>
  <si>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</si>
  <si>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</si>
  <si>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</si>
  <si>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</si>
  <si>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</si>
  <si>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</si>
  <si>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</si>
  <si>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</si>
  <si>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</si>
  <si>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</si>
  <si>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</si>
  <si>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</si>
  <si>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</si>
  <si>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</si>
  <si>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</si>
  <si>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</si>
  <si>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</si>
  <si>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</si>
  <si>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</si>
  <si>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</si>
  <si>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</si>
  <si>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</si>
  <si>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</si>
  <si>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</si>
  <si>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</si>
  <si>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</si>
  <si>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</si>
  <si>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</si>
  <si>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</si>
  <si>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</si>
  <si>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</si>
  <si>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</si>
  <si>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</si>
  <si>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</si>
  <si>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</si>
  <si>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</si>
  <si>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</si>
  <si>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</si>
  <si>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</si>
  <si>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</si>
  <si>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</si>
  <si>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</si>
  <si>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</si>
  <si>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</si>
  <si>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</si>
  <si>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</si>
  <si>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</si>
  <si>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</si>
  <si>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</si>
  <si>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</si>
  <si>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</si>
  <si>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</si>
  <si>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</si>
  <si>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</si>
  <si>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</si>
  <si>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</si>
  <si>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</si>
  <si>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</si>
  <si>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</si>
  <si>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</si>
  <si>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</si>
  <si>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</si>
  <si>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</si>
  <si>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</si>
  <si>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</si>
  <si>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</si>
  <si>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</si>
  <si>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</si>
  <si>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</si>
  <si>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</si>
  <si>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</si>
  <si>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</si>
  <si>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</si>
  <si>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</si>
  <si>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</si>
  <si>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</si>
  <si>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</si>
  <si>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</si>
  <si>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</si>
  <si>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</si>
  <si>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</si>
  <si>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</si>
  <si>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</si>
  <si>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</si>
  <si>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</si>
  <si>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</si>
  <si>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</si>
  <si>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</si>
  <si>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</si>
  <si>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</si>
  <si>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</si>
  <si>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</si>
  <si>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</si>
  <si>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</si>
  <si>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</si>
  <si>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</si>
  <si>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</si>
  <si>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</si>
  <si>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</si>
  <si>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</si>
  <si>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</si>
  <si>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</si>
  <si>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</si>
  <si>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</si>
  <si>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</si>
  <si>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</si>
  <si>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</si>
  <si>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</si>
  <si>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</si>
  <si>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</si>
  <si>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</si>
  <si>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</si>
  <si>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</si>
  <si>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</si>
  <si>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</si>
  <si>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</si>
  <si>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</si>
  <si>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</si>
  <si>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</si>
  <si>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</si>
  <si>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</si>
  <si>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</si>
  <si>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</si>
  <si>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</si>
  <si>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</si>
  <si>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</si>
  <si>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</si>
  <si>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</si>
  <si>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</si>
  <si>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</si>
  <si>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</si>
  <si>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</si>
  <si>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</si>
  <si>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</si>
  <si>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</si>
  <si>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</si>
  <si>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</si>
  <si>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</si>
  <si>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</si>
  <si>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</si>
  <si>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</si>
  <si>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</si>
  <si>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</si>
  <si>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</si>
  <si>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</si>
  <si>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</si>
  <si>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</si>
  <si>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</si>
  <si>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</si>
  <si>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</si>
  <si>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</si>
  <si>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</si>
  <si>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</si>
  <si>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</si>
  <si>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</si>
  <si>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</si>
  <si>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</si>
  <si>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</si>
  <si>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</si>
  <si>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</si>
  <si>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</si>
  <si>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</si>
  <si>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</si>
  <si>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</si>
  <si>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</si>
  <si>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</si>
  <si>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</si>
  <si>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</si>
  <si>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</si>
  <si>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</si>
  <si>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</si>
  <si>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</si>
  <si>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</si>
  <si>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</si>
  <si>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</si>
  <si>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</si>
  <si>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</si>
  <si>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</si>
  <si>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</si>
  <si>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</si>
  <si>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</si>
  <si>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</si>
  <si>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</si>
  <si>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</si>
  <si>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</si>
  <si>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</si>
  <si>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</si>
  <si>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</si>
  <si>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</si>
  <si>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</si>
  <si>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</si>
  <si>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</si>
  <si>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</si>
  <si>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</si>
  <si>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</si>
  <si>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</si>
  <si>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</si>
  <si>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</si>
  <si>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</si>
  <si>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</si>
  <si>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</si>
  <si>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</si>
  <si>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</si>
  <si>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</si>
  <si>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</si>
  <si>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</si>
  <si>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</si>
  <si>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</si>
  <si>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</si>
  <si>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</si>
  <si>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</si>
  <si>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</si>
  <si>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</si>
  <si>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</si>
  <si>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</si>
  <si>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</si>
  <si>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</si>
  <si>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</si>
  <si>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</si>
  <si>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</si>
  <si>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</si>
  <si>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</si>
  <si>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</si>
  <si>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</si>
  <si>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</si>
  <si>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</si>
  <si>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</si>
  <si>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</si>
  <si>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</si>
  <si>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</si>
  <si>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</si>
  <si>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</si>
  <si>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</si>
  <si>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</si>
  <si>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</si>
  <si>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</si>
  <si>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</si>
  <si>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</si>
  <si>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</si>
  <si>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</si>
  <si>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</si>
  <si>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</si>
  <si>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</si>
  <si>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</si>
  <si>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</si>
  <si>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</si>
  <si>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</si>
  <si>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</si>
  <si>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</si>
  <si>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</si>
  <si>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</si>
  <si>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</si>
  <si>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</si>
  <si>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</si>
  <si>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</si>
  <si>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</si>
  <si>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</si>
  <si>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</si>
  <si>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</si>
  <si>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</si>
  <si>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</si>
  <si>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</si>
  <si>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</si>
  <si>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</si>
  <si>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</si>
  <si>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</si>
  <si>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</si>
  <si>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</si>
  <si>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</si>
  <si>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</si>
  <si>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</si>
  <si>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</si>
  <si>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</si>
  <si>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</si>
  <si>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</si>
  <si>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</si>
  <si>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</si>
  <si>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</si>
  <si>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</si>
  <si>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</si>
  <si>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</si>
  <si>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</si>
  <si>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</si>
  <si>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</si>
  <si>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</si>
  <si>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</si>
  <si>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</si>
  <si>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</si>
  <si>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</si>
  <si>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</si>
  <si>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</si>
  <si>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</si>
  <si>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</si>
  <si>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</si>
  <si>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</si>
  <si>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</si>
  <si>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</si>
  <si>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</si>
  <si>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</si>
  <si>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</si>
  <si>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</si>
  <si>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</si>
  <si>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</si>
  <si>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</si>
  <si>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</si>
  <si>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</si>
  <si>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</si>
  <si>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</si>
  <si>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</si>
  <si>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</si>
  <si>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</si>
  <si>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</si>
  <si>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</si>
  <si>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</si>
  <si>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</si>
  <si>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</si>
  <si>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</si>
  <si>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</si>
  <si>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</si>
  <si>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</si>
  <si>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</si>
  <si>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</si>
  <si>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</si>
  <si>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</si>
  <si>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</si>
  <si>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</si>
  <si>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</si>
  <si>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</si>
  <si>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</si>
  <si>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</si>
  <si>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</si>
  <si>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</si>
  <si>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</si>
  <si>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</si>
  <si>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</si>
  <si>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</si>
  <si>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</si>
  <si>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</si>
  <si>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</si>
  <si>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</si>
  <si>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</si>
  <si>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</si>
  <si>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</si>
  <si>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</si>
  <si>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</si>
  <si>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</si>
  <si>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</si>
  <si>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</si>
  <si>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</si>
  <si>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</si>
  <si>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</si>
  <si>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</si>
  <si>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</si>
  <si>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</si>
  <si>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</si>
  <si>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</si>
  <si>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</si>
  <si>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</si>
  <si>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</si>
  <si>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</si>
  <si>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</si>
  <si>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</si>
  <si>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</si>
  <si>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</si>
  <si>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</si>
  <si>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</si>
  <si>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</si>
  <si>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</si>
  <si>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</si>
  <si>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</si>
  <si>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</si>
  <si>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</si>
  <si>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</si>
  <si>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</si>
  <si>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</si>
  <si>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</si>
  <si>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</si>
  <si>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</si>
  <si>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</si>
  <si>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</si>
  <si>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</si>
  <si>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</si>
  <si>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</si>
  <si>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</si>
  <si>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</si>
  <si>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</si>
  <si>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</si>
  <si>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</si>
  <si>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</si>
  <si>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</si>
  <si>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</si>
  <si>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</si>
  <si>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</si>
  <si>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</si>
  <si>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</si>
  <si>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</si>
  <si>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</si>
  <si>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</si>
  <si>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</si>
  <si>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</si>
  <si>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</si>
  <si>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</si>
  <si>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</si>
  <si>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</si>
  <si>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</si>
  <si>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</si>
  <si>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</si>
  <si>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</si>
  <si>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</si>
  <si>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</si>
  <si>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</si>
  <si>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</si>
  <si>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</si>
  <si>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</si>
  <si>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</si>
  <si>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</si>
  <si>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</si>
  <si>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</si>
  <si>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</si>
  <si>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</si>
  <si>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</si>
  <si>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</si>
  <si>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</si>
  <si>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</si>
  <si>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</si>
  <si>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</si>
  <si>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</si>
  <si>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</si>
  <si>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</si>
  <si>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</si>
  <si>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</si>
  <si>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</si>
  <si>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</si>
  <si>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</si>
  <si>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</si>
  <si>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</si>
  <si>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</si>
  <si>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</si>
  <si>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</si>
  <si>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</si>
  <si>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</si>
  <si>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</si>
  <si>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</si>
  <si>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</si>
  <si>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</si>
  <si>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</si>
  <si>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</si>
  <si>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</si>
  <si>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</si>
  <si>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</si>
  <si>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</si>
  <si>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</si>
  <si>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</si>
  <si>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</si>
  <si>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</si>
  <si>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</si>
  <si>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</si>
  <si>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</si>
  <si>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</si>
  <si>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</si>
  <si>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</si>
  <si>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</si>
  <si>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</si>
  <si>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</si>
  <si>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</si>
  <si>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</si>
  <si>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</si>
  <si>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</si>
  <si>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</si>
  <si>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</si>
  <si>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</si>
  <si>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</si>
  <si>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</si>
  <si>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</si>
  <si>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</si>
  <si>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</si>
  <si>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</si>
  <si>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</si>
  <si>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</si>
  <si>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</si>
  <si>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</si>
  <si>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</si>
  <si>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</si>
  <si>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</si>
  <si>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</si>
  <si>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</si>
  <si>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</si>
  <si>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</si>
  <si>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</si>
  <si>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</si>
  <si>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</si>
  <si>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</si>
  <si>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</si>
  <si>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</si>
  <si>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</si>
  <si>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</si>
  <si>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</si>
  <si>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</si>
  <si>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</si>
  <si>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</si>
  <si>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</si>
  <si>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</si>
  <si>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</si>
  <si>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</si>
  <si>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</si>
  <si>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</si>
  <si>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</si>
  <si>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</si>
  <si>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</si>
  <si>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</si>
  <si>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</si>
  <si>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</si>
  <si>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</si>
  <si>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</si>
  <si>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</si>
  <si>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</si>
  <si>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</si>
  <si>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</si>
  <si>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</si>
  <si>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</si>
  <si>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</si>
  <si>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</si>
  <si>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</si>
  <si>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</si>
  <si>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</si>
  <si>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</si>
  <si>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</si>
  <si>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</si>
  <si>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</si>
  <si>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</si>
  <si>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</si>
  <si>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</si>
  <si>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</si>
  <si>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</si>
  <si>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</si>
  <si>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</si>
  <si>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</si>
  <si>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</si>
  <si>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</si>
  <si>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</si>
  <si>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</si>
  <si>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</si>
  <si>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</si>
  <si>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</si>
  <si>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</si>
  <si>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</si>
  <si>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</si>
  <si>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</si>
  <si>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</si>
  <si>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</si>
  <si>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</si>
  <si>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</si>
  <si>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</si>
  <si>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</si>
  <si>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</si>
  <si>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</si>
  <si>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</si>
  <si>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</si>
  <si>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</si>
  <si>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</si>
  <si>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</si>
  <si>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</si>
  <si>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</si>
  <si>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</si>
  <si>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</si>
  <si>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</si>
  <si>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</si>
  <si>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</si>
  <si>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</si>
  <si>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</si>
  <si>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</si>
  <si>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</si>
  <si>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</si>
  <si>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</si>
  <si>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</si>
  <si>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</si>
  <si>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</si>
  <si>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</si>
  <si>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</si>
  <si>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</si>
  <si>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</si>
  <si>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</si>
  <si>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</si>
  <si>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</si>
  <si>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</si>
  <si>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</si>
  <si>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</si>
  <si>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</si>
  <si>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</si>
  <si>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</si>
  <si>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</si>
  <si>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</si>
  <si>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</si>
  <si>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</si>
  <si>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</si>
  <si>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</si>
  <si>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</si>
  <si>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</si>
  <si>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</si>
  <si>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</si>
  <si>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</si>
  <si>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</si>
  <si>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</si>
  <si>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</si>
  <si>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</si>
  <si>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</si>
  <si>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</si>
  <si>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</si>
  <si>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</si>
  <si>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</si>
  <si>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</si>
  <si>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</si>
  <si>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</si>
  <si>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</si>
  <si>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</si>
  <si>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</si>
  <si>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</si>
  <si>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</si>
  <si>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</si>
  <si>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</si>
  <si>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</si>
  <si>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</si>
  <si>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</si>
  <si>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</si>
  <si>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</si>
  <si>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</si>
  <si>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</si>
  <si>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</si>
  <si>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</si>
  <si>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</si>
  <si>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</si>
  <si>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</si>
  <si>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</si>
  <si>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</si>
  <si>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</si>
  <si>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</si>
  <si>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</si>
  <si>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</si>
  <si>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</si>
  <si>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</si>
  <si>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</si>
  <si>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</si>
  <si>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</si>
  <si>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</si>
  <si>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</si>
  <si>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</si>
  <si>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</si>
  <si>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</si>
  <si>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</si>
  <si>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</si>
  <si>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</si>
  <si>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</si>
  <si>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</si>
  <si>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</si>
  <si>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</si>
  <si>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</si>
  <si>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</si>
  <si>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</si>
  <si>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</si>
  <si>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</si>
  <si>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</si>
  <si>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</si>
  <si>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</si>
  <si>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</si>
  <si>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</si>
  <si>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</si>
  <si>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</si>
  <si>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</si>
  <si>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</si>
  <si>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</si>
  <si>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</si>
  <si>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</si>
  <si>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</si>
  <si>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</si>
  <si>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</si>
  <si>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</si>
  <si>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</si>
  <si>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</si>
  <si>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</si>
  <si>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</si>
  <si>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</si>
  <si>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</si>
  <si>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</si>
  <si>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</si>
  <si>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</si>
  <si>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</si>
  <si>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</si>
  <si>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</si>
  <si>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</si>
  <si>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</si>
  <si>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</si>
  <si>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</si>
  <si>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</si>
  <si>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</si>
  <si>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</si>
  <si>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</si>
  <si>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</si>
  <si>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</si>
  <si>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</si>
  <si>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</si>
  <si>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</si>
  <si>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</si>
  <si>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</si>
  <si>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</si>
  <si>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</si>
  <si>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</si>
  <si>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</si>
  <si>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</si>
  <si>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</si>
  <si>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</si>
  <si>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</si>
  <si>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</si>
  <si>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</si>
  <si>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</si>
  <si>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</si>
  <si>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</si>
  <si>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</si>
  <si>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</si>
  <si>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</si>
  <si>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</si>
  <si>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</si>
  <si>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</si>
  <si>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</si>
  <si>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</si>
  <si>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</si>
  <si>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</si>
  <si>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</si>
  <si>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</si>
  <si>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</si>
  <si>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</si>
  <si>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</si>
  <si>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</si>
  <si>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</si>
  <si>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</si>
  <si>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</si>
  <si>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</si>
  <si>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</si>
  <si>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</si>
  <si>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</si>
  <si>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</si>
  <si>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</si>
  <si>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</si>
  <si>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</si>
  <si>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</si>
  <si>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</si>
  <si>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</si>
  <si>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</si>
  <si>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</si>
  <si>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</si>
  <si>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</si>
  <si>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</si>
  <si>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</si>
  <si>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</si>
  <si>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</si>
  <si>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</si>
  <si>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</si>
  <si>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</si>
  <si>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</si>
  <si>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</si>
  <si>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</si>
  <si>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</si>
  <si>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</si>
  <si>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</si>
  <si>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</si>
  <si>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</si>
  <si>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</si>
  <si>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</si>
  <si>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</si>
  <si>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</si>
  <si>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</si>
  <si>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</si>
  <si>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</si>
  <si>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</si>
  <si>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</si>
  <si>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</si>
  <si>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</si>
  <si>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</si>
  <si>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</si>
  <si>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</si>
  <si>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</si>
  <si>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</si>
  <si>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</si>
  <si>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</si>
  <si>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</si>
  <si>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</si>
  <si>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</si>
  <si>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</si>
  <si>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</si>
  <si>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</si>
  <si>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</si>
  <si>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</si>
  <si>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</si>
  <si>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</si>
  <si>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</si>
  <si>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</si>
  <si>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</si>
  <si>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</si>
  <si>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</si>
  <si>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</si>
  <si>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</si>
  <si>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</si>
  <si>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</si>
  <si>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</si>
  <si>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</si>
  <si>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</si>
  <si>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</si>
  <si>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</si>
  <si>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</si>
  <si>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</si>
  <si>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</si>
  <si>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</si>
  <si>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</si>
  <si>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</si>
  <si>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</si>
  <si>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</si>
  <si>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</si>
  <si>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</si>
  <si>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</si>
  <si>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</si>
  <si>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</si>
  <si>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</si>
  <si>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</si>
  <si>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</si>
  <si>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</si>
  <si>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</si>
  <si>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</si>
  <si>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</si>
  <si>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</si>
  <si>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</si>
  <si>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</si>
  <si>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</si>
  <si>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</si>
  <si>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</si>
  <si>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</si>
  <si>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</si>
  <si>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</si>
  <si>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</si>
  <si>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</si>
  <si>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</si>
  <si>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</si>
  <si>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</si>
  <si>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</si>
  <si>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</si>
  <si>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</si>
  <si>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</si>
  <si>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</si>
  <si>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</si>
  <si>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</si>
  <si>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</si>
  <si>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</si>
  <si>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</si>
  <si>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</si>
  <si>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</si>
  <si>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</si>
  <si>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</si>
  <si>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</si>
  <si>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</si>
  <si>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</si>
  <si>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</si>
  <si>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</si>
  <si>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</si>
  <si>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</si>
  <si>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</si>
  <si>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</si>
  <si>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</si>
  <si>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</si>
  <si>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</si>
  <si>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</si>
  <si>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</si>
  <si>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</si>
  <si>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</si>
  <si>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</si>
  <si>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</si>
  <si>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</si>
  <si>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</si>
  <si>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</si>
  <si>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</si>
  <si>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</si>
  <si>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</si>
  <si>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</si>
  <si>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</si>
  <si>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</si>
  <si>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</si>
  <si>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</si>
  <si>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</si>
  <si>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</si>
  <si>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</si>
  <si>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</si>
  <si>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</si>
  <si>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</si>
  <si>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</si>
  <si>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</si>
  <si>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</si>
  <si>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</si>
  <si>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</si>
  <si>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</si>
  <si>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</si>
  <si>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</si>
  <si>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</si>
  <si>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</si>
  <si>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</si>
  <si>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</si>
  <si>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</si>
  <si>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</si>
  <si>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</si>
  <si>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</si>
  <si>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</si>
  <si>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</si>
  <si>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</si>
  <si>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</si>
  <si>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</si>
  <si>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</si>
  <si>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</si>
  <si>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</si>
  <si>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</si>
  <si>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</si>
  <si>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</si>
  <si>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</si>
  <si>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</si>
  <si>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</si>
  <si>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</si>
  <si>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</si>
  <si>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</si>
  <si>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</si>
  <si>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</si>
  <si>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</si>
  <si>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</si>
  <si>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</si>
  <si>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</si>
  <si>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</si>
  <si>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</si>
  <si>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</si>
  <si>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</si>
  <si>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</si>
  <si>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</si>
  <si>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</si>
  <si>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</si>
  <si>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</si>
  <si>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</si>
  <si>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</si>
  <si>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</si>
  <si>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</si>
  <si>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</si>
  <si>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</si>
  <si>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</si>
  <si>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</si>
  <si>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</si>
  <si>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</si>
  <si>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</si>
  <si>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</si>
  <si>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</si>
  <si>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</si>
  <si>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</si>
  <si>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</si>
  <si>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</si>
  <si>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</si>
  <si>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</si>
  <si>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</si>
  <si>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</si>
  <si>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</si>
  <si>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</si>
  <si>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</si>
  <si>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</si>
  <si>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</si>
  <si>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</si>
  <si>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</si>
  <si>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</si>
  <si>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</si>
  <si>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</si>
  <si>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</si>
  <si>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</si>
  <si>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</si>
  <si>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</si>
  <si>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</si>
  <si>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</si>
  <si>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</si>
  <si>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</si>
  <si>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</si>
  <si>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</si>
  <si>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</si>
  <si>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</si>
  <si>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</si>
  <si>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</si>
  <si>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</si>
  <si>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</si>
  <si>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</si>
  <si>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</si>
  <si>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</si>
  <si>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</si>
  <si>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</si>
  <si>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</si>
  <si>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</si>
  <si>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</si>
  <si>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</si>
  <si>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</si>
  <si>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</si>
  <si>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</si>
  <si>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</si>
  <si>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</si>
  <si>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</si>
  <si>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</si>
  <si>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</si>
  <si>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</si>
  <si>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</si>
  <si>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</si>
  <si>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</si>
  <si>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</si>
  <si>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</si>
  <si>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</si>
  <si>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</si>
  <si>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</si>
  <si>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</si>
  <si>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</si>
  <si>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</si>
  <si>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</si>
  <si>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</si>
  <si>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</si>
  <si>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</si>
  <si>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</si>
  <si>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</si>
  <si>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</si>
  <si>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</si>
  <si>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</si>
  <si>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</si>
  <si>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</si>
  <si>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</si>
  <si>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</si>
  <si>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</si>
  <si>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</si>
  <si>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</si>
  <si>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</si>
  <si>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</si>
  <si>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</si>
  <si>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</si>
  <si>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</si>
  <si>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</si>
  <si>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</si>
  <si>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</si>
  <si>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</si>
  <si>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</si>
  <si>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</si>
  <si>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</si>
  <si>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</si>
  <si>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</si>
  <si>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</si>
  <si>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</si>
  <si>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</si>
  <si>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</si>
  <si>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</si>
  <si>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</si>
  <si>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</si>
  <si>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</si>
  <si>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</si>
  <si>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</si>
  <si>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</si>
  <si>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</si>
  <si>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</si>
  <si>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</si>
  <si>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</si>
  <si>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</si>
  <si>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</si>
  <si>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</si>
  <si>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</si>
  <si>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</si>
  <si>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</si>
  <si>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</si>
  <si>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</si>
  <si>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</si>
  <si>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</si>
  <si>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</si>
  <si>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</si>
  <si>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</si>
  <si>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</si>
  <si>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</si>
  <si>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</si>
  <si>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</si>
  <si>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</si>
  <si>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</si>
  <si>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</si>
  <si>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</si>
  <si>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</si>
  <si>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</si>
  <si>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</si>
  <si>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</si>
  <si>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</si>
  <si>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</si>
  <si>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</si>
  <si>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</si>
  <si>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</si>
  <si>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</si>
  <si>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</si>
  <si>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</si>
  <si>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</si>
  <si>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</si>
  <si>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</si>
  <si>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</si>
  <si>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</si>
  <si>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</si>
  <si>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</si>
  <si>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</si>
  <si>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</si>
  <si>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</si>
  <si>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</si>
  <si>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</si>
  <si>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</si>
  <si>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</si>
  <si>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</si>
  <si>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</si>
  <si>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</si>
  <si>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</si>
  <si>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</si>
  <si>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</si>
  <si>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</si>
  <si>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</si>
  <si>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</si>
  <si>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</si>
  <si>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</si>
  <si>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</si>
  <si>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</si>
  <si>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</si>
  <si>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</si>
  <si>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</si>
  <si>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</si>
  <si>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</si>
  <si>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</si>
  <si>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</si>
  <si>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</si>
  <si>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</si>
  <si>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</si>
  <si>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</si>
  <si>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</si>
  <si>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</si>
  <si>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</si>
  <si>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</si>
  <si>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</si>
  <si>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</si>
  <si>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</si>
  <si>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</si>
  <si>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</si>
  <si>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</si>
  <si>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</si>
  <si>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</si>
  <si>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</si>
  <si>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</si>
  <si>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</si>
  <si>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</si>
  <si>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</si>
  <si>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</si>
  <si>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</si>
  <si>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</si>
  <si>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</si>
  <si>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</si>
  <si>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</si>
  <si>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</si>
  <si>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</si>
  <si>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</si>
  <si>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</si>
  <si>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</si>
  <si>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</si>
  <si>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</si>
  <si>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</si>
  <si>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</si>
  <si>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</si>
  <si>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</si>
  <si>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</si>
  <si>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</si>
  <si>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</si>
  <si>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</si>
  <si>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</si>
  <si>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</si>
  <si>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</si>
  <si>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</si>
  <si>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</si>
  <si>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</si>
  <si>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</si>
  <si>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</si>
  <si>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</si>
  <si>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</si>
  <si>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</si>
  <si>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</si>
  <si>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</si>
  <si>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</si>
  <si>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</si>
  <si>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</si>
  <si>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</si>
  <si>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</si>
  <si>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</si>
  <si>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</si>
  <si>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</si>
  <si>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</si>
  <si>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</si>
  <si>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</si>
  <si>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</si>
  <si>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</si>
  <si>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</si>
  <si>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</si>
  <si>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</si>
  <si>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</si>
  <si>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</si>
  <si>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</si>
  <si>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</si>
  <si>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</si>
  <si>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</si>
  <si>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</si>
  <si>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</si>
  <si>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</si>
  <si>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</si>
  <si>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</si>
  <si>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</si>
  <si>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</si>
  <si>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</si>
  <si>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</si>
  <si>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</si>
  <si>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</si>
  <si>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</si>
  <si>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</si>
  <si>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</si>
  <si>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</si>
  <si>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</si>
  <si>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</si>
  <si>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</si>
  <si>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</si>
  <si>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</si>
  <si>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</si>
  <si>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</si>
  <si>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</si>
  <si>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</si>
  <si>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</si>
  <si>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</si>
  <si>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</si>
  <si>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</si>
  <si>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</si>
  <si>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</si>
  <si>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</si>
  <si>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</si>
  <si>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</si>
  <si>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</si>
  <si>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</si>
  <si>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</si>
  <si>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</si>
  <si>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</si>
  <si>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</si>
  <si>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</si>
  <si>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</si>
  <si>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</si>
  <si>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</si>
  <si>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</si>
  <si>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</si>
  <si>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</si>
  <si>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</si>
  <si>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</si>
  <si>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</si>
  <si>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</si>
  <si>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</si>
  <si>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</si>
  <si>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</si>
  <si>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</si>
  <si>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</si>
  <si>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</si>
  <si>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</si>
  <si>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</si>
  <si>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</si>
  <si>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</si>
  <si>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</si>
  <si>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</si>
  <si>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</si>
  <si>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</si>
  <si>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</si>
  <si>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</si>
  <si>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</si>
  <si>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</si>
  <si>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</si>
  <si>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</si>
  <si>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</si>
  <si>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</si>
  <si>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</si>
  <si>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</si>
  <si>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</si>
  <si>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</si>
  <si>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</si>
  <si>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</si>
  <si>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</si>
  <si>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</si>
  <si>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</si>
  <si>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</si>
  <si>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</si>
  <si>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</si>
  <si>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</si>
  <si>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</si>
  <si>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</si>
  <si>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</si>
  <si>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</si>
  <si>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</si>
  <si>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</si>
  <si>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</si>
  <si>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</si>
  <si>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</si>
  <si>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</si>
  <si>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</si>
  <si>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</si>
  <si>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</si>
  <si>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</si>
  <si>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</si>
  <si>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</si>
  <si>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</si>
  <si>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</si>
  <si>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</si>
  <si>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</si>
  <si>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</si>
  <si>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</si>
  <si>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</si>
  <si>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</si>
  <si>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</si>
  <si>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</si>
  <si>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</si>
  <si>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</si>
  <si>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</si>
  <si>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</si>
  <si>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</si>
  <si>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</si>
  <si>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</si>
  <si>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</si>
  <si>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</si>
  <si>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</si>
  <si>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</si>
  <si>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</si>
  <si>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</si>
  <si>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</si>
  <si>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</si>
  <si>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</si>
  <si>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</si>
  <si>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</si>
  <si>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</si>
  <si>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</si>
  <si>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</si>
  <si>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</si>
  <si>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</si>
  <si>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</si>
  <si>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</si>
  <si>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</si>
  <si>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</si>
  <si>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</si>
  <si>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</si>
  <si>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</si>
  <si>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</si>
  <si>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</si>
  <si>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</si>
  <si>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</si>
  <si>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</si>
  <si>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</si>
  <si>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</si>
  <si>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</si>
  <si>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</si>
  <si>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</si>
  <si>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</si>
  <si>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</si>
  <si>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</si>
  <si>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</si>
  <si>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</si>
  <si>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</si>
  <si>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</si>
  <si>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</si>
  <si>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</si>
  <si>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</si>
  <si>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</si>
  <si>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</si>
  <si>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</si>
  <si>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</si>
  <si>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</si>
  <si>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</si>
  <si>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</si>
  <si>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</si>
  <si>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</si>
  <si>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</si>
  <si>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</si>
  <si>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</si>
  <si>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</si>
  <si>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</si>
  <si>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</si>
  <si>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</si>
  <si>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</si>
  <si>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</si>
  <si>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</si>
  <si>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</si>
  <si>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</si>
  <si>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</si>
  <si>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</si>
  <si>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</si>
  <si>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</si>
  <si>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</si>
  <si>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</si>
  <si>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</si>
  <si>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</si>
  <si>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</si>
  <si>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</si>
  <si>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</si>
  <si>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</si>
  <si>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</si>
  <si>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</si>
  <si>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</si>
  <si>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</si>
  <si>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</si>
  <si>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</si>
  <si>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</si>
  <si>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</si>
  <si>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</si>
  <si>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</si>
  <si>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</si>
  <si>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</si>
  <si>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</si>
  <si>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</si>
  <si>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</si>
  <si>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</si>
  <si>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</si>
  <si>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</si>
  <si>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</si>
  <si>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</si>
  <si>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</si>
  <si>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</si>
  <si>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</si>
  <si>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</si>
  <si>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</si>
  <si>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</si>
  <si>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</si>
  <si>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</si>
  <si>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</si>
  <si>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</si>
  <si>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</si>
  <si>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</si>
  <si>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</si>
  <si>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</si>
  <si>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</si>
  <si>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</si>
  <si>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</si>
  <si>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</si>
  <si>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</si>
  <si>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</si>
  <si>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</si>
  <si>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</si>
  <si>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</si>
  <si>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</si>
  <si>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</si>
  <si>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</si>
  <si>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</si>
  <si>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</si>
  <si>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</si>
  <si>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</si>
  <si>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</si>
  <si>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</si>
  <si>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</si>
  <si>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</si>
  <si>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</si>
  <si>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</si>
  <si>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</si>
  <si>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</si>
  <si>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</si>
  <si>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</si>
  <si>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</si>
  <si>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</si>
  <si>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</si>
  <si>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</si>
  <si>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</si>
  <si>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</si>
  <si>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</si>
  <si>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</si>
  <si>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</si>
  <si>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</si>
  <si>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</si>
  <si>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</si>
  <si>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</si>
  <si>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</si>
  <si>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</si>
  <si>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</si>
  <si>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</si>
  <si>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</si>
  <si>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</si>
  <si>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</si>
  <si>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</si>
  <si>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</si>
  <si>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</si>
  <si>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</si>
  <si>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</si>
  <si>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</si>
  <si>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</si>
  <si>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</si>
  <si>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</si>
  <si>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</si>
  <si>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</si>
  <si>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</si>
  <si>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</si>
  <si>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</si>
  <si>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</si>
  <si>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</si>
  <si>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</si>
  <si>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</si>
  <si>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</si>
  <si>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</si>
  <si>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</si>
  <si>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</si>
  <si>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</si>
  <si>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</si>
  <si>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</si>
  <si>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</si>
  <si>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</si>
  <si>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</si>
  <si>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</si>
  <si>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</si>
  <si>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</si>
  <si>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</si>
  <si>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</si>
  <si>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</si>
  <si>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</si>
  <si>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</si>
  <si>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</si>
  <si>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</si>
  <si>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</si>
  <si>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</si>
  <si>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</si>
  <si>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</si>
  <si>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</si>
  <si>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</si>
  <si>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</si>
  <si>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</si>
  <si>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</si>
  <si>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</si>
  <si>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</si>
  <si>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</si>
  <si>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</si>
  <si>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</si>
  <si>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</si>
  <si>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</si>
  <si>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</si>
  <si>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</si>
  <si>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</si>
  <si>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</si>
  <si>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</si>
  <si>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</si>
  <si>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</si>
  <si>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</si>
  <si>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</si>
  <si>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</si>
  <si>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</si>
  <si>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</si>
  <si>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</si>
  <si>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</si>
  <si>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</si>
  <si>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</si>
  <si>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</si>
  <si>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</si>
  <si>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</si>
  <si>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</si>
  <si>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</si>
  <si>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</si>
  <si>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</si>
  <si>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</si>
  <si>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</si>
  <si>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</si>
  <si>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</si>
  <si>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</si>
  <si>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</si>
  <si>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</si>
  <si>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</si>
  <si>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</si>
  <si>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</si>
  <si>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</si>
  <si>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</si>
  <si>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</si>
  <si>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</si>
  <si>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</si>
  <si>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</si>
  <si>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</si>
  <si>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</si>
  <si>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</si>
  <si>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</si>
  <si>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</si>
  <si>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</si>
  <si>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</si>
  <si>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</si>
  <si>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</si>
  <si>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</si>
  <si>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</si>
  <si>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</si>
  <si>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</si>
  <si>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</si>
  <si>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</si>
  <si>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</si>
  <si>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</si>
  <si>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</si>
  <si>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</si>
  <si>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</si>
  <si>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</si>
  <si>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</si>
  <si>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</si>
  <si>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</si>
  <si>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</si>
  <si>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</si>
  <si>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</si>
  <si>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</si>
  <si>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</si>
  <si>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</si>
  <si>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</si>
  <si>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</si>
  <si>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</si>
  <si>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</si>
  <si>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</si>
  <si>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</si>
  <si>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</si>
  <si>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</si>
  <si>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</si>
  <si>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</si>
  <si>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</si>
  <si>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</si>
  <si>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</si>
  <si>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</si>
  <si>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</si>
  <si>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</si>
  <si>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</si>
  <si>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</si>
  <si>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</si>
  <si>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</si>
  <si>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</si>
  <si>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</si>
  <si>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</si>
  <si>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</si>
  <si>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</si>
  <si>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</si>
  <si>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</si>
  <si>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</si>
  <si>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</si>
  <si>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</si>
  <si>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</si>
  <si>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</si>
  <si>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</si>
  <si>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</si>
  <si>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</si>
  <si>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</si>
  <si>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</si>
  <si>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</si>
  <si>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</si>
  <si>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</si>
  <si>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</si>
  <si>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</si>
  <si>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</si>
  <si>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</si>
  <si>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</si>
  <si>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</si>
  <si>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</si>
  <si>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</si>
  <si>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</si>
  <si>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</si>
  <si>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</si>
  <si>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</si>
  <si>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</si>
  <si>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</si>
  <si>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</si>
  <si>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</si>
  <si>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</si>
  <si>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</si>
  <si>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</si>
  <si>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</si>
  <si>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</si>
  <si>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</si>
  <si>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</si>
  <si>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</si>
  <si>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</si>
  <si>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</si>
  <si>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</si>
  <si>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</si>
  <si>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</si>
  <si>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</si>
  <si>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</si>
  <si>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</si>
  <si>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</si>
  <si>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</si>
  <si>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</si>
  <si>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</si>
  <si>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</si>
  <si>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</si>
  <si>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</si>
  <si>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</si>
  <si>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</si>
  <si>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</si>
  <si>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</si>
  <si>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</si>
  <si>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</si>
  <si>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</si>
  <si>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</si>
  <si>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</si>
  <si>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</si>
  <si>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</si>
  <si>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</si>
  <si>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</si>
  <si>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</si>
  <si>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</si>
  <si>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</si>
  <si>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</si>
  <si>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</si>
  <si>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</si>
  <si>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</si>
  <si>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</si>
  <si>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</si>
  <si>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</si>
  <si>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</si>
  <si>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</si>
  <si>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</si>
  <si>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</si>
  <si>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</si>
  <si>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</si>
  <si>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</si>
  <si>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</si>
  <si>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</si>
  <si>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</si>
  <si>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</si>
  <si>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</si>
  <si>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</si>
  <si>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</si>
  <si>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</si>
  <si>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</si>
  <si>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</si>
  <si>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</si>
  <si>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</si>
  <si>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</si>
  <si>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</si>
  <si>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</si>
  <si>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</si>
  <si>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</si>
  <si>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</si>
  <si>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</si>
  <si>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</si>
  <si>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</si>
  <si>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</si>
  <si>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</si>
  <si>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</si>
  <si>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</si>
  <si>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</si>
  <si>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</si>
  <si>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</si>
  <si>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</si>
  <si>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</si>
  <si>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</si>
  <si>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</si>
  <si>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</si>
  <si>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</si>
  <si>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</si>
  <si>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</si>
  <si>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</si>
  <si>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</si>
  <si>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</si>
  <si>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</si>
  <si>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</si>
  <si>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</si>
  <si>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</si>
  <si>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</si>
  <si>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</si>
  <si>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</si>
  <si>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</si>
  <si>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</si>
  <si>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</si>
  <si>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</si>
  <si>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</si>
  <si>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</si>
  <si>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</si>
  <si>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</si>
  <si>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</si>
  <si>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</si>
  <si>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</si>
  <si>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</si>
  <si>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</si>
  <si>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</si>
  <si>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</si>
  <si>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</si>
  <si>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</si>
  <si>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</si>
  <si>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</si>
  <si>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</si>
  <si>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</si>
  <si>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</si>
  <si>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</si>
  <si>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</si>
  <si>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</si>
  <si>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</si>
  <si>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</si>
  <si>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</si>
  <si>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</si>
  <si>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</si>
  <si>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</si>
  <si>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</si>
  <si>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</si>
  <si>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</si>
  <si>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</si>
  <si>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</si>
  <si>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</si>
  <si>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</si>
  <si>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</si>
  <si>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</si>
  <si>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</si>
  <si>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</si>
  <si>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</si>
  <si>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</si>
  <si>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</si>
  <si>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</si>
  <si>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</si>
  <si>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</si>
  <si>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</si>
  <si>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</si>
  <si>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</si>
  <si>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</si>
  <si>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</si>
  <si>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</si>
  <si>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</si>
  <si>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</si>
  <si>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</si>
  <si>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</si>
  <si>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</si>
  <si>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</si>
  <si>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</si>
  <si>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</si>
  <si>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</si>
  <si>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</si>
  <si>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</si>
  <si>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</si>
  <si>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</si>
  <si>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</si>
  <si>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</si>
  <si>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</si>
  <si>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</si>
  <si>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</si>
  <si>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</si>
  <si>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</si>
  <si>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</si>
  <si>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</si>
  <si>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</si>
  <si>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</si>
  <si>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</si>
  <si>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</si>
  <si>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</si>
  <si>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</si>
  <si>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</si>
  <si>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</si>
  <si>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</si>
  <si>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</si>
  <si>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</si>
  <si>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</si>
  <si>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</si>
  <si>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</si>
  <si>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</si>
  <si>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</si>
  <si>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</si>
  <si>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</si>
  <si>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</si>
  <si>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</si>
  <si>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</si>
  <si>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</si>
  <si>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</si>
  <si>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</si>
  <si>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</si>
  <si>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</si>
  <si>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</si>
  <si>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</si>
  <si>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</si>
  <si>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</si>
  <si>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</si>
  <si>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</si>
  <si>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</si>
  <si>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</si>
  <si>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</si>
  <si>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</si>
  <si>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</si>
  <si>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</si>
  <si>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</si>
  <si>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</si>
  <si>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</si>
  <si>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</si>
  <si>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</si>
  <si>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</si>
  <si>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</si>
  <si>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</si>
  <si>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</si>
  <si>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</si>
  <si>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</si>
  <si>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</si>
  <si>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</si>
  <si>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</si>
  <si>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</si>
  <si>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</si>
  <si>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</si>
  <si>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</si>
  <si>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</si>
  <si>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</si>
  <si>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</si>
  <si>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</si>
  <si>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</si>
  <si>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</si>
  <si>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</si>
  <si>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</si>
  <si>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</si>
  <si>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</si>
  <si>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</si>
  <si>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</si>
  <si>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</si>
  <si>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</si>
  <si>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</si>
  <si>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</si>
  <si>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</si>
  <si>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</si>
  <si>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</si>
  <si>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</si>
  <si>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</si>
  <si>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</si>
  <si>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</si>
  <si>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</si>
  <si>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</si>
  <si>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</si>
  <si>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</si>
  <si>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</si>
  <si>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</si>
  <si>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</si>
  <si>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</si>
  <si>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</si>
  <si>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</si>
  <si>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</si>
  <si>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</si>
  <si>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</si>
  <si>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</si>
  <si>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</si>
  <si>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</si>
  <si>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</si>
  <si>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</si>
  <si>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</si>
  <si>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</si>
  <si>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</si>
  <si>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</si>
  <si>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</si>
  <si>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</si>
  <si>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</si>
  <si>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</si>
  <si>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</si>
  <si>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</si>
  <si>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</si>
  <si>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</si>
  <si>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</si>
  <si>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</si>
  <si>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</si>
  <si>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</si>
  <si>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</si>
  <si>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</si>
  <si>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</si>
  <si>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</si>
  <si>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</si>
  <si>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</si>
  <si>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</si>
  <si>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</si>
  <si>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</si>
  <si>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</si>
  <si>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</si>
  <si>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</si>
  <si>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</si>
  <si>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</si>
  <si>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</si>
  <si>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</si>
  <si>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</si>
  <si>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</si>
  <si>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</si>
  <si>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</si>
  <si>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</si>
  <si>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</si>
  <si>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</si>
  <si>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</si>
  <si>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</si>
  <si>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</si>
  <si>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</si>
  <si>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</si>
  <si>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</si>
  <si>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</si>
  <si>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</si>
  <si>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</si>
  <si>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</si>
  <si>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</si>
  <si>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</si>
  <si>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</si>
  <si>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</si>
  <si>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</si>
  <si>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</si>
  <si>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</si>
  <si>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</si>
  <si>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</si>
  <si>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</si>
  <si>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</si>
  <si>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</si>
  <si>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</si>
  <si>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</si>
  <si>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</si>
  <si>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</si>
  <si>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</si>
  <si>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</si>
  <si>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</si>
  <si>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</si>
  <si>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</si>
  <si>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</si>
  <si>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</si>
  <si>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</si>
  <si>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</si>
  <si>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</si>
  <si>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</si>
  <si>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</si>
  <si>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</si>
  <si>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</si>
  <si>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</si>
  <si>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</si>
  <si>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</si>
  <si>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</si>
  <si>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</si>
  <si>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</si>
  <si>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</si>
  <si>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</si>
  <si>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</si>
  <si>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</si>
  <si>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</si>
  <si>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</si>
  <si>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</si>
  <si>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</si>
  <si>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</si>
  <si>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</si>
  <si>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</si>
  <si>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</si>
  <si>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</si>
  <si>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</si>
  <si>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</si>
  <si>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</si>
  <si>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</si>
  <si>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</si>
  <si>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</si>
  <si>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</si>
  <si>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</si>
  <si>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</si>
  <si>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</si>
  <si>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</si>
  <si>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</si>
  <si>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</si>
  <si>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</si>
  <si>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</si>
  <si>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</si>
  <si>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</si>
  <si>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</si>
  <si>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</si>
  <si>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</si>
  <si>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</si>
  <si>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</si>
  <si>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</si>
  <si>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</si>
  <si>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</si>
  <si>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</si>
  <si>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</si>
  <si>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</si>
  <si>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</si>
  <si>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</si>
  <si>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</si>
  <si>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</si>
  <si>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</si>
  <si>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</si>
  <si>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</si>
  <si>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</si>
  <si>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</si>
  <si>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</si>
  <si>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</si>
  <si>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</si>
  <si>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</si>
  <si>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</si>
  <si>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</si>
  <si>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</si>
  <si>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</si>
  <si>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</si>
  <si>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</si>
  <si>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</si>
  <si>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</si>
  <si>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</si>
  <si>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</si>
  <si>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</si>
  <si>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</si>
  <si>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</si>
  <si>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</si>
  <si>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</si>
  <si>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</si>
  <si>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</si>
  <si>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</si>
  <si>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</si>
  <si>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</si>
  <si>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</si>
  <si>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</si>
  <si>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</si>
  <si>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</si>
  <si>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</si>
  <si>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</si>
  <si>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</si>
  <si>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</si>
  <si>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</si>
  <si>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</si>
  <si>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</si>
  <si>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</si>
  <si>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</si>
  <si>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</si>
  <si>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</si>
  <si>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</si>
  <si>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</si>
  <si>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</si>
  <si>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</si>
  <si>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</si>
  <si>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</si>
  <si>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</si>
  <si>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</si>
  <si>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</si>
  <si>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</si>
  <si>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</si>
  <si>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</si>
  <si>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</si>
  <si>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</si>
  <si>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</si>
  <si>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</si>
  <si>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</si>
  <si>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</si>
  <si>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</si>
  <si>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</si>
  <si>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</si>
  <si>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</si>
  <si>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</si>
  <si>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</si>
  <si>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</si>
  <si>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</si>
  <si>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</si>
  <si>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</si>
  <si>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</si>
  <si>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</si>
  <si>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</si>
  <si>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</si>
  <si>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</si>
  <si>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</si>
  <si>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</si>
  <si>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</si>
  <si>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</si>
  <si>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</si>
  <si>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</si>
  <si>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</si>
  <si>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</si>
  <si>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</si>
  <si>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</si>
  <si>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</si>
  <si>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</si>
  <si>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</si>
  <si>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</si>
  <si>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</si>
  <si>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</si>
  <si>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</si>
  <si>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</si>
  <si>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</si>
  <si>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</si>
  <si>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</si>
  <si>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</si>
  <si>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</si>
  <si>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</si>
  <si>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</si>
  <si>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</si>
  <si>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</si>
  <si>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</si>
  <si>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</si>
  <si>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</si>
  <si>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</si>
  <si>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</si>
  <si>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</si>
  <si>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</si>
  <si>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</si>
  <si>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</si>
  <si>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</si>
  <si>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</si>
  <si>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</si>
  <si>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</si>
  <si>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</si>
  <si>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</si>
  <si>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</si>
  <si>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</si>
  <si>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</si>
  <si>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</si>
  <si>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</si>
  <si>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</si>
  <si>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</si>
  <si>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</si>
  <si>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</si>
  <si>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</si>
  <si>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</si>
  <si>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</si>
  <si>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</si>
  <si>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</si>
  <si>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</si>
  <si>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</si>
  <si>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</si>
  <si>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</si>
  <si>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</si>
  <si>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</si>
  <si>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</si>
  <si>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</si>
  <si>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</si>
  <si>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</si>
  <si>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</si>
  <si>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</si>
  <si>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</si>
  <si>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</si>
  <si>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</si>
  <si>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</si>
  <si>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</si>
  <si>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</si>
  <si>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</si>
  <si>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</si>
  <si>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</si>
  <si>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</si>
  <si>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</si>
  <si>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</si>
  <si>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</si>
  <si>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</si>
  <si>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</si>
  <si>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</si>
  <si>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</si>
  <si>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</si>
  <si>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</si>
  <si>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</si>
  <si>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</si>
  <si>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</si>
  <si>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</si>
  <si>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</si>
  <si>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</si>
  <si>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</si>
  <si>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</si>
  <si>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</si>
  <si>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</si>
  <si>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</si>
  <si>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</si>
  <si>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</si>
  <si>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</si>
  <si>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</si>
  <si>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</si>
  <si>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</si>
  <si>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</si>
  <si>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</si>
  <si>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</si>
  <si>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</si>
  <si>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</si>
  <si>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</si>
  <si>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</si>
  <si>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</si>
  <si>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</si>
  <si>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</si>
  <si>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</si>
  <si>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</si>
  <si>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</si>
  <si>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</si>
  <si>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</si>
  <si>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</si>
  <si>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</si>
  <si>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</si>
  <si>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</si>
  <si>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</si>
  <si>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</si>
  <si>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</si>
  <si>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</si>
  <si>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</si>
  <si>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</si>
  <si>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</si>
  <si>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</si>
  <si>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</si>
  <si>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</si>
  <si>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</si>
  <si>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</si>
  <si>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</si>
  <si>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</si>
  <si>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</si>
  <si>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</si>
  <si>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</si>
  <si>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</si>
  <si>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</si>
  <si>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</si>
  <si>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</si>
  <si>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</si>
  <si>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</si>
  <si>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</si>
  <si>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</si>
  <si>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</si>
  <si>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</si>
  <si>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</si>
  <si>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</si>
  <si>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</si>
  <si>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</si>
  <si>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</si>
  <si>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</si>
  <si>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</si>
  <si>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</si>
  <si>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</si>
  <si>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</si>
  <si>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</si>
  <si>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</si>
  <si>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</si>
  <si>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</si>
  <si>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</si>
  <si>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</si>
  <si>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</si>
  <si>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</si>
  <si>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</si>
  <si>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</si>
  <si>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</si>
  <si>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</si>
  <si>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</si>
  <si>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</si>
  <si>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</si>
  <si>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</si>
  <si>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</si>
  <si>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</si>
  <si>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</si>
  <si>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</si>
  <si>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</si>
  <si>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</si>
  <si>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</si>
  <si>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</si>
  <si>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</si>
  <si>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</si>
  <si>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</si>
  <si>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</si>
  <si>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</si>
  <si>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</si>
  <si>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</si>
  <si>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</si>
  <si>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</si>
  <si>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</si>
  <si>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</si>
  <si>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</si>
  <si>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</si>
  <si>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</si>
  <si>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</si>
  <si>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</si>
  <si>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</si>
  <si>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</si>
  <si>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</si>
  <si>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</si>
  <si>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</si>
  <si>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</si>
  <si>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</si>
  <si>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</si>
  <si>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</si>
  <si>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</si>
  <si>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</si>
  <si>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</si>
  <si>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</si>
  <si>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</si>
  <si>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</si>
  <si>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</si>
  <si>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</si>
  <si>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</si>
  <si>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</si>
  <si>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</si>
  <si>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</si>
  <si>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</si>
  <si>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</si>
  <si>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</si>
  <si>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</si>
  <si>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</si>
  <si>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</si>
  <si>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</si>
  <si>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</si>
  <si>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</si>
  <si>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</si>
  <si>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</si>
  <si>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</si>
  <si>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</si>
  <si>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</si>
  <si>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</si>
  <si>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</si>
  <si>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</si>
  <si>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</si>
  <si>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</si>
  <si>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</si>
  <si>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</si>
  <si>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</si>
  <si>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</si>
  <si>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</si>
  <si>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</si>
  <si>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</si>
  <si>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</si>
  <si>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</si>
  <si>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</si>
  <si>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</si>
  <si>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</si>
  <si>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</si>
  <si>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</si>
  <si>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</si>
  <si>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</si>
  <si>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</si>
  <si>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</si>
  <si>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</si>
  <si>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</si>
  <si>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</si>
  <si>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</si>
  <si>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</si>
  <si>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</si>
  <si>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</si>
  <si>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</si>
  <si>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</si>
  <si>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</si>
  <si>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</si>
  <si>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</si>
  <si>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</si>
  <si>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</si>
  <si>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</si>
  <si>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</si>
  <si>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</si>
  <si>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</si>
  <si>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</si>
  <si>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</si>
  <si>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</si>
  <si>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</si>
  <si>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</si>
  <si>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</si>
  <si>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</si>
  <si>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</si>
  <si>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</si>
  <si>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</si>
  <si>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</si>
  <si>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</si>
  <si>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</si>
  <si>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</si>
  <si>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</si>
  <si>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</si>
  <si>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</si>
  <si>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</si>
  <si>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</si>
  <si>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</si>
  <si>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</si>
  <si>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</si>
  <si>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</si>
  <si>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</si>
  <si>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</si>
  <si>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</si>
  <si>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</si>
  <si>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</si>
  <si>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</si>
  <si>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</si>
  <si>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</si>
  <si>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</si>
  <si>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</si>
  <si>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</si>
  <si>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</si>
  <si>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</si>
  <si>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</si>
  <si>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</si>
  <si>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</si>
  <si>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</si>
  <si>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</si>
  <si>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</si>
  <si>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</si>
  <si>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</si>
  <si>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</si>
  <si>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</si>
  <si>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</si>
  <si>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</si>
  <si>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</si>
  <si>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</si>
  <si>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</si>
  <si>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</si>
  <si>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</si>
  <si>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</si>
  <si>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</si>
  <si>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</si>
  <si>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</si>
  <si>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</si>
  <si>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</si>
  <si>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</si>
  <si>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</si>
  <si>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</si>
  <si>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</si>
  <si>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</si>
  <si>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</si>
  <si>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</si>
  <si>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</si>
  <si>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</si>
  <si>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</si>
  <si>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</si>
  <si>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</si>
  <si>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</si>
  <si>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</si>
  <si>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</si>
  <si>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</si>
  <si>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</si>
  <si>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</si>
  <si>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</si>
  <si>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</si>
  <si>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</si>
  <si>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</si>
  <si>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</si>
  <si>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</si>
  <si>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</si>
  <si>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</si>
  <si>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</si>
  <si>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</si>
  <si>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</si>
  <si>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</si>
  <si>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</si>
  <si>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</si>
  <si>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</si>
  <si>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</si>
  <si>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</si>
  <si>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</si>
  <si>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</si>
  <si>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</si>
  <si>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</si>
  <si>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</si>
  <si>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</si>
  <si>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</si>
  <si>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</si>
  <si>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</si>
  <si>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</si>
  <si>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</si>
  <si>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</si>
  <si>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</si>
  <si>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</si>
  <si>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</si>
  <si>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</si>
  <si>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</si>
  <si>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</si>
  <si>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</si>
  <si>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</si>
  <si>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</si>
  <si>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</si>
  <si>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</si>
  <si>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</si>
  <si>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</si>
  <si>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</si>
  <si>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</si>
  <si>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</si>
  <si>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</si>
  <si>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</si>
  <si>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</si>
  <si>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</si>
  <si>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</si>
  <si>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</si>
  <si>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</si>
  <si>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</si>
  <si>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</si>
  <si>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</si>
  <si>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</si>
  <si>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</si>
  <si>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</si>
  <si>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</si>
  <si>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</si>
  <si>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</si>
  <si>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</si>
  <si>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</si>
  <si>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</si>
  <si>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</si>
  <si>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</si>
  <si>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</si>
  <si>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</si>
  <si>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</si>
  <si>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</si>
  <si>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</si>
  <si>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</si>
  <si>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</si>
  <si>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</si>
  <si>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</si>
  <si>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</si>
  <si>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</si>
  <si>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</si>
  <si>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</si>
  <si>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</si>
  <si>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</si>
  <si>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</si>
  <si>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</si>
  <si>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</si>
  <si>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</si>
  <si>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</si>
  <si>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</si>
  <si>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</si>
  <si>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</si>
  <si>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</si>
  <si>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</si>
  <si>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</si>
  <si>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</si>
  <si>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</si>
  <si>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</si>
  <si>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</si>
  <si>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</si>
  <si>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</si>
  <si>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</si>
  <si>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</si>
  <si>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</si>
  <si>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</si>
  <si>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</si>
  <si>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</si>
  <si>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</si>
  <si>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</si>
  <si>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</si>
  <si>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</si>
  <si>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</si>
  <si>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</si>
  <si>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</si>
  <si>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</si>
  <si>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</si>
  <si>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</si>
  <si>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</si>
  <si>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</si>
  <si>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</si>
  <si>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</si>
  <si>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</si>
  <si>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</si>
  <si>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</si>
  <si>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</si>
  <si>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</si>
  <si>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</si>
  <si>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</si>
  <si>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</si>
  <si>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</si>
  <si>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</si>
  <si>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</si>
  <si>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</si>
  <si>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</si>
  <si>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</si>
  <si>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</si>
  <si>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</si>
  <si>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</si>
  <si>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</si>
  <si>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</si>
  <si>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</si>
  <si>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</si>
  <si>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</si>
  <si>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</si>
  <si>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</si>
  <si>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</si>
  <si>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</si>
  <si>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</si>
  <si>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</si>
  <si>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</si>
  <si>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</si>
  <si>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</si>
  <si>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</si>
  <si>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</si>
  <si>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</si>
  <si>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</si>
  <si>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</si>
  <si>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</si>
  <si>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</si>
  <si>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</si>
  <si>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</si>
  <si>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</si>
  <si>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</si>
  <si>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</si>
  <si>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</si>
  <si>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</si>
  <si>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</si>
  <si>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</si>
  <si>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</si>
  <si>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</si>
  <si>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</si>
  <si>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</si>
  <si>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</si>
  <si>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</si>
  <si>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</si>
  <si>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</si>
  <si>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</si>
  <si>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</si>
  <si>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</si>
  <si>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</si>
  <si>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</si>
  <si>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</si>
  <si>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</si>
  <si>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</si>
  <si>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</si>
  <si>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</si>
  <si>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</si>
  <si>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</si>
  <si>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</si>
  <si>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</si>
  <si>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</si>
  <si>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</si>
  <si>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</si>
  <si>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</si>
  <si>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</si>
  <si>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</si>
  <si>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</si>
  <si>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</si>
  <si>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</si>
  <si>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</si>
  <si>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</si>
  <si>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</si>
  <si>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</si>
  <si>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</si>
  <si>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</si>
  <si>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</si>
  <si>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</si>
  <si>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</si>
  <si>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</si>
  <si>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</si>
  <si>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</si>
  <si>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</si>
  <si>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</si>
  <si>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</si>
  <si>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</si>
  <si>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</si>
  <si>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</si>
  <si>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</si>
  <si>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</si>
  <si>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</si>
  <si>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</si>
  <si>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</si>
  <si>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</si>
  <si>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</si>
  <si>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</si>
  <si>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</si>
  <si>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</si>
  <si>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</si>
  <si>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</si>
  <si>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</si>
  <si>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</si>
  <si>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</si>
  <si>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</si>
  <si>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</si>
  <si>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</si>
  <si>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</si>
  <si>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</si>
  <si>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</si>
  <si>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</si>
  <si>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</si>
  <si>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</si>
  <si>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</si>
  <si>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</si>
  <si>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</si>
  <si>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</si>
  <si>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</si>
  <si>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</si>
  <si>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</si>
  <si>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</si>
  <si>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</si>
  <si>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</si>
  <si>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</si>
  <si>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</si>
  <si>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</si>
  <si>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</si>
  <si>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</si>
  <si>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</si>
  <si>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</si>
  <si>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</si>
  <si>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</si>
  <si>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</si>
  <si>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</si>
  <si>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</si>
  <si>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</si>
  <si>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</si>
  <si>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</si>
  <si>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</si>
  <si>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</si>
  <si>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</si>
  <si>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</si>
  <si>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</si>
  <si>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</si>
  <si>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</si>
  <si>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</si>
  <si>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</si>
  <si>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</si>
  <si>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</si>
  <si>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</si>
  <si>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</si>
  <si>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</si>
  <si>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</si>
  <si>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</si>
  <si>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</si>
  <si>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</si>
  <si>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</si>
  <si>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</si>
  <si>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</si>
  <si>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</si>
  <si>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</si>
  <si>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</si>
  <si>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</si>
  <si>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</si>
  <si>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</si>
  <si>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</si>
  <si>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</si>
  <si>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</si>
  <si>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</si>
  <si>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</si>
  <si>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</si>
  <si>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</si>
  <si>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</si>
  <si>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</si>
  <si>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</si>
  <si>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</si>
  <si>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</si>
  <si>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</si>
  <si>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</si>
  <si>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</si>
  <si>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</si>
  <si>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</si>
  <si>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</si>
  <si>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</si>
  <si>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</si>
  <si>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</si>
  <si>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</si>
  <si>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</si>
  <si>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</si>
  <si>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</si>
  <si>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</si>
  <si>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</si>
  <si>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</si>
  <si>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</si>
  <si>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</si>
  <si>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</si>
  <si>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</si>
  <si>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</si>
  <si>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</si>
  <si>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</si>
  <si>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</si>
  <si>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</si>
  <si>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</si>
  <si>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</si>
  <si>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</si>
  <si>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</si>
  <si>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</si>
  <si>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</si>
  <si>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</si>
  <si>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</si>
  <si>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</si>
  <si>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</si>
  <si>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</si>
  <si>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</si>
  <si>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</si>
  <si>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</si>
  <si>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</si>
  <si>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</si>
  <si>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</si>
  <si>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</si>
  <si>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</si>
  <si>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</si>
  <si>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</si>
  <si>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</si>
  <si>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</si>
  <si>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</si>
  <si>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</si>
  <si>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</si>
  <si>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</si>
  <si>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</si>
  <si>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</si>
  <si>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</si>
  <si>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</si>
  <si>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</si>
  <si>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</si>
  <si>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</si>
  <si>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</si>
  <si>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</si>
  <si>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</si>
  <si>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</si>
  <si>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</si>
  <si>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</si>
  <si>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</si>
  <si>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</si>
  <si>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</si>
  <si>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</si>
  <si>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</si>
  <si>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</si>
  <si>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</si>
  <si>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</si>
  <si>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</si>
  <si>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</si>
  <si>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</si>
  <si>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</si>
  <si>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</si>
  <si>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</si>
  <si>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</si>
  <si>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</si>
  <si>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</si>
  <si>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</si>
  <si>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</si>
  <si>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</si>
  <si>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</si>
  <si>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</si>
  <si>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</si>
  <si>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</si>
  <si>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</si>
  <si>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</si>
  <si>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</si>
  <si>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</si>
  <si>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</si>
  <si>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</si>
  <si>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</si>
  <si>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</si>
  <si>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</si>
  <si>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</si>
  <si>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</si>
  <si>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</si>
  <si>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</si>
  <si>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</si>
  <si>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</si>
  <si>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</si>
  <si>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</si>
  <si>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</si>
  <si>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</si>
  <si>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</si>
  <si>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</si>
  <si>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</si>
  <si>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</si>
  <si>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</si>
  <si>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</si>
  <si>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</si>
  <si>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</si>
  <si>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</si>
  <si>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</si>
  <si>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</si>
  <si>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</si>
  <si>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</si>
  <si>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</si>
  <si>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</si>
  <si>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</si>
  <si>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</si>
  <si>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</si>
  <si>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</si>
  <si>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</si>
  <si>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</si>
  <si>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</si>
  <si>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</si>
  <si>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</si>
  <si>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</si>
  <si>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</si>
  <si>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</si>
  <si>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</si>
  <si>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</si>
  <si>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</si>
  <si>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</si>
  <si>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</si>
  <si>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</si>
  <si>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</si>
  <si>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</si>
  <si>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</si>
  <si>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</si>
  <si>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</si>
  <si>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</si>
  <si>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</si>
  <si>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</si>
  <si>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</si>
  <si>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</si>
  <si>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</si>
  <si>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</si>
  <si>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</si>
  <si>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</si>
  <si>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</si>
  <si>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</si>
  <si>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</si>
  <si>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</si>
  <si>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</si>
  <si>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</si>
  <si>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</si>
  <si>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</si>
  <si>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</si>
  <si>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</si>
  <si>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</si>
  <si>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</si>
  <si>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</si>
  <si>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</si>
  <si>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</si>
  <si>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</si>
  <si>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</si>
  <si>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</si>
  <si>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</si>
  <si>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</si>
  <si>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</si>
  <si>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</si>
  <si>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</si>
  <si>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</si>
  <si>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</si>
  <si>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</si>
  <si>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</si>
  <si>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</si>
  <si>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</si>
  <si>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</si>
  <si>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</si>
  <si>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</si>
  <si>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</si>
  <si>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</si>
  <si>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</si>
  <si>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</si>
  <si>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</si>
  <si>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</si>
  <si>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</si>
  <si>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</si>
  <si>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</si>
  <si>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</si>
  <si>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</si>
  <si>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</si>
  <si>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</si>
  <si>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</si>
  <si>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</si>
  <si>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</si>
  <si>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</si>
  <si>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</si>
  <si>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</si>
  <si>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</si>
  <si>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</si>
  <si>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</si>
  <si>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</si>
  <si>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</si>
  <si>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</si>
  <si>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</si>
  <si>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</si>
  <si>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</si>
  <si>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</si>
  <si>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</si>
  <si>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</si>
  <si>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</si>
  <si>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</si>
  <si>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</si>
  <si>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</si>
  <si>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</si>
  <si>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</si>
  <si>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</si>
  <si>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</si>
  <si>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</si>
  <si>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</si>
  <si>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</si>
  <si>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</si>
  <si>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</si>
  <si>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</si>
  <si>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</si>
  <si>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</si>
  <si>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</si>
  <si>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</si>
  <si>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</si>
  <si>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</si>
  <si>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</si>
  <si>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</si>
  <si>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</si>
  <si>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</si>
  <si>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</si>
  <si>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</si>
  <si>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</si>
  <si>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</si>
  <si>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</si>
  <si>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</si>
  <si>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</si>
  <si>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</si>
  <si>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</si>
  <si>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</si>
  <si>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</si>
  <si>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</si>
  <si>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</si>
  <si>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</si>
  <si>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</si>
  <si>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</si>
  <si>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</si>
  <si>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</si>
  <si>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</si>
  <si>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</si>
  <si>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</si>
  <si>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</si>
  <si>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</si>
  <si>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</si>
  <si>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</si>
  <si>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</si>
  <si>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</si>
  <si>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</si>
  <si>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</si>
  <si>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</si>
  <si>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</si>
  <si>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</si>
  <si>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</si>
  <si>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</si>
  <si>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</si>
  <si>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</si>
  <si>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</si>
  <si>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</si>
  <si>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</si>
  <si>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</si>
  <si>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</si>
  <si>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</si>
  <si>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</si>
  <si>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</si>
  <si>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</si>
  <si>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</si>
  <si>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</si>
  <si>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</si>
  <si>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</si>
  <si>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</si>
  <si>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</si>
  <si>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</si>
  <si>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</si>
  <si>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</si>
  <si>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</si>
  <si>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</si>
  <si>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</si>
  <si>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</si>
  <si>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</si>
  <si>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</si>
  <si>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</si>
  <si>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</si>
  <si>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</si>
  <si>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</si>
  <si>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</si>
  <si>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</si>
  <si>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</si>
  <si>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</si>
  <si>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</si>
  <si>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</si>
  <si>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</si>
  <si>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</si>
  <si>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</si>
  <si>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</si>
  <si>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</si>
  <si>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</si>
  <si>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</si>
  <si>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</si>
  <si>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</si>
  <si>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</si>
  <si>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</si>
  <si>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</si>
  <si>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</si>
  <si>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</si>
  <si>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</si>
  <si>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</si>
  <si>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</si>
  <si>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</si>
  <si>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</si>
  <si>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</si>
  <si>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</si>
  <si>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</si>
  <si>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</si>
  <si>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</si>
  <si>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</si>
  <si>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</si>
  <si>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</si>
  <si>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</si>
  <si>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</si>
  <si>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</si>
  <si>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</si>
  <si>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</si>
  <si>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</si>
  <si>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</si>
  <si>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</si>
  <si>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</si>
  <si>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</si>
  <si>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</si>
  <si>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</si>
  <si>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</si>
  <si>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</si>
  <si>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</si>
  <si>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</si>
  <si>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</si>
  <si>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</si>
  <si>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</si>
  <si>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</si>
  <si>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</si>
  <si>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</si>
  <si>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</si>
  <si>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</si>
  <si>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</si>
  <si>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</si>
  <si>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</si>
  <si>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</si>
  <si>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</si>
  <si>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</si>
  <si>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</si>
  <si>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</si>
  <si>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</si>
  <si>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</si>
  <si>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</si>
  <si>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</si>
  <si>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</si>
  <si>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</si>
  <si>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</si>
  <si>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</si>
  <si>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</si>
  <si>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</si>
  <si>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</si>
  <si>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</si>
  <si>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</si>
  <si>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</si>
  <si>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</si>
  <si>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</si>
  <si>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</si>
  <si>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</si>
  <si>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</si>
  <si>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</si>
  <si>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</si>
  <si>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</si>
  <si>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</si>
  <si>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</si>
  <si>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</si>
  <si>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</si>
  <si>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</si>
  <si>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</si>
  <si>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</si>
  <si>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</si>
  <si>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</si>
  <si>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</si>
  <si>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</si>
  <si>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</si>
  <si>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</si>
  <si>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</si>
  <si>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</si>
  <si>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</si>
  <si>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</si>
  <si>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</si>
  <si>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</si>
  <si>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</si>
  <si>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</si>
  <si>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</si>
  <si>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</si>
  <si>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</si>
  <si>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</si>
  <si>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</si>
  <si>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</si>
  <si>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</si>
  <si>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</si>
  <si>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</si>
  <si>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</si>
  <si>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</si>
  <si>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</si>
  <si>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</si>
  <si>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</si>
  <si>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</si>
  <si>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</si>
  <si>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</si>
  <si>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</si>
  <si>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</si>
  <si>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</si>
  <si>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</si>
  <si>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</si>
  <si>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</si>
  <si>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</si>
  <si>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</si>
  <si>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</si>
  <si>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</si>
  <si>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</si>
  <si>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</si>
  <si>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</si>
  <si>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</si>
  <si>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</si>
  <si>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</si>
  <si>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</si>
  <si>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</si>
  <si>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</si>
  <si>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</si>
  <si>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</si>
  <si>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</si>
  <si>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</si>
  <si>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</si>
  <si>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</si>
  <si>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</si>
  <si>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</si>
  <si>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</si>
  <si>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</si>
  <si>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</si>
  <si>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</si>
  <si>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</si>
  <si>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</si>
  <si>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</si>
  <si>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</si>
  <si>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</si>
  <si>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</si>
  <si>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</si>
  <si>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</si>
  <si>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</si>
  <si>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</si>
  <si>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</si>
  <si>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</si>
  <si>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</si>
  <si>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</si>
  <si>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</si>
  <si>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</si>
  <si>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</si>
  <si>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</si>
  <si>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</si>
  <si>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</si>
  <si>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</si>
  <si>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</si>
  <si>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</si>
  <si>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</si>
  <si>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</si>
  <si>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</si>
  <si>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</si>
  <si>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</si>
  <si>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</si>
  <si>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</si>
  <si>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</si>
  <si>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</si>
  <si>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</si>
  <si>
    <r>
      <t>2</t>
    </r>
    <r>
      <rPr>
        <sz val="11"/>
        <color theme="1"/>
        <rFont val="宋体"/>
        <family val="3"/>
        <charset val="134"/>
        <scheme val="minor"/>
      </rPr>
      <t>023年</t>
    </r>
    <phoneticPr fontId="1" type="noConversion"/>
  </si>
  <si>
    <r>
      <t>2</t>
    </r>
    <r>
      <rPr>
        <sz val="11"/>
        <color theme="1"/>
        <rFont val="宋体"/>
        <family val="3"/>
        <charset val="134"/>
        <scheme val="minor"/>
      </rPr>
      <t>022年</t>
    </r>
    <phoneticPr fontId="1" type="noConversion"/>
  </si>
  <si>
    <r>
      <t>2</t>
    </r>
    <r>
      <rPr>
        <sz val="11"/>
        <color theme="1"/>
        <rFont val="宋体"/>
        <family val="3"/>
        <charset val="134"/>
        <scheme val="minor"/>
      </rPr>
      <t>021年</t>
    </r>
    <phoneticPr fontId="1" type="noConversion"/>
  </si>
  <si>
    <t>2020年</t>
    <phoneticPr fontId="1" type="noConversion"/>
  </si>
  <si>
    <t>评估值</t>
    <phoneticPr fontId="1" type="noConversion"/>
  </si>
  <si>
    <t>净值</t>
    <phoneticPr fontId="1" type="noConversion"/>
  </si>
  <si>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</si>
  <si>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</si>
  <si>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</si>
  <si>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</si>
  <si>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</si>
  <si>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</si>
  <si>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</si>
  <si>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</si>
  <si>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</si>
  <si>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</si>
  <si>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</si>
  <si>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</si>
  <si>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</si>
  <si>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备注</t>
  </si>
  <si>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</si>
  <si>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</si>
  <si>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</si>
  <si>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</si>
  <si>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</si>
  <si>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</si>
  <si>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</si>
  <si>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</si>
  <si>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</si>
  <si>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个人</t>
  </si>
  <si>
    <t>房屋设计用途为商业用房，所在层数为1-3层；一层约为3.8米，二、三层约为2.8米</t>
  </si>
  <si>
    <t>拍卖</t>
  </si>
  <si>
    <t>临河里1号楼</t>
  </si>
  <si>
    <t>通州区临河里1号楼，土地四
至为东至临河里路、南至华业东方玫瑰A 区、西至临河里17号楼、北至梨园南街</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</si>
  <si>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</si>
  <si>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</si>
  <si>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</si>
  <si>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</si>
  <si>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</si>
  <si>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</si>
  <si>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</si>
  <si>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</si>
  <si>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</si>
  <si>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</si>
  <si>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</si>
  <si>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富凯大厦</t>
  </si>
  <si>
    <t>西城区金融大街19号8层B803</t>
  </si>
  <si>
    <t>金融街</t>
  </si>
  <si>
    <t>单位</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</si>
  <si>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</si>
  <si>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</si>
  <si>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</si>
  <si>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</si>
  <si>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</si>
  <si>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</si>
  <si>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</si>
  <si>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</si>
  <si>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</si>
  <si>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</si>
  <si>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中关村</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</si>
  <si>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</si>
  <si>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</si>
  <si>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</si>
  <si>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</si>
  <si>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</si>
  <si>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</si>
  <si>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</si>
  <si>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朝外</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</si>
  <si>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</si>
  <si>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</si>
  <si>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</si>
  <si>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</si>
  <si>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北京经济技术开发区</t>
  </si>
  <si>
    <t>亦庄</t>
  </si>
  <si>
    <t>地上、地下面积不详</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</si>
  <si>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</si>
  <si>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</si>
  <si>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</si>
  <si>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</si>
  <si>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</si>
  <si>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</si>
  <si>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</si>
  <si>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</si>
  <si>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</si>
  <si>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</si>
  <si>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</si>
  <si>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</si>
  <si>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</si>
  <si>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</si>
  <si>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</si>
  <si>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</si>
  <si>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 xml:space="preserve"> 丰台区西南四环总部基地核心区丰台万达广场东侧400米  </t>
  </si>
  <si>
    <t>南四环</t>
  </si>
  <si>
    <t>办公、商业</t>
  </si>
  <si>
    <t>2号楼地上1-21层，地下1层商业</t>
  </si>
  <si>
    <t>丰台金茂广场4#楼</t>
  </si>
  <si>
    <t>4号楼地上2-11层</t>
  </si>
  <si>
    <t>丰台金茂广场7#楼</t>
  </si>
  <si>
    <t>7号楼地上1-11层</t>
  </si>
  <si>
    <t>绿地三元桥1-2#配套楼</t>
  </si>
  <si>
    <t>霄云里南街9号院</t>
  </si>
  <si>
    <t>三元桥</t>
  </si>
  <si>
    <t>绿地控股</t>
  </si>
  <si>
    <t>小配楼1-2层</t>
  </si>
  <si>
    <t>长城金融大厦1号楼</t>
  </si>
  <si>
    <t>丰台区凤凰嘴街1号院1号楼</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</si>
  <si>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</si>
  <si>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</si>
  <si>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</si>
  <si>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</si>
  <si>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</si>
  <si>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</si>
  <si>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怀柔</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</si>
  <si>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</si>
  <si>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</si>
  <si>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</si>
  <si>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</si>
  <si>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</si>
  <si>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</si>
  <si>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</si>
  <si>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</si>
  <si>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</si>
  <si>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</si>
  <si>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</si>
  <si>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</si>
  <si>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</si>
  <si>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</si>
  <si>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永丰</t>
  </si>
  <si>
    <t>数岩科技</t>
  </si>
  <si>
    <t>科研办公</t>
  </si>
  <si>
    <t>北京中关村永丰产业基地发展有限公司</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</si>
  <si>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</si>
  <si>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</si>
  <si>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</si>
  <si>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</si>
  <si>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</si>
  <si>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</si>
  <si>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</si>
  <si>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</si>
  <si>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</si>
  <si>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望京</t>
  </si>
  <si>
    <t>北京市朝阳区建筑工程公司</t>
  </si>
  <si>
    <t>划拨用地</t>
  </si>
  <si>
    <t>旺座中心地下及1-3层</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</si>
  <si>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</si>
  <si>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</si>
  <si>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</si>
  <si>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</si>
  <si>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</si>
  <si>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</si>
  <si>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</si>
  <si>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</si>
  <si>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</si>
  <si>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</si>
  <si>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</si>
  <si>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</si>
  <si>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</si>
  <si>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</si>
  <si>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</si>
  <si>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</si>
  <si>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</si>
  <si>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</si>
  <si>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</si>
  <si>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</si>
  <si>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</si>
  <si>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</si>
  <si>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</si>
  <si>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</si>
  <si>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</si>
  <si>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</si>
  <si>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</si>
  <si>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</si>
  <si>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</si>
  <si>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</si>
  <si>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</si>
  <si>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</si>
  <si>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</si>
  <si>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</si>
  <si>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</si>
  <si>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</si>
  <si>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</si>
  <si>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</si>
  <si>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</si>
  <si>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</si>
  <si>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</si>
  <si>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</si>
  <si>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</si>
  <si>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</si>
  <si>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</si>
  <si>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</si>
  <si>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</si>
  <si>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</si>
  <si>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</si>
  <si>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</si>
  <si>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</si>
  <si>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</si>
  <si>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</si>
  <si>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</si>
  <si>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</si>
  <si>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</si>
  <si>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</si>
  <si>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</si>
  <si>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</si>
  <si>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</si>
  <si>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</si>
  <si>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</si>
  <si>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</si>
  <si>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</si>
  <si>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</si>
  <si>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</si>
  <si>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</si>
  <si>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</si>
  <si>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</si>
  <si>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</si>
  <si>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</si>
  <si>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</si>
  <si>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</si>
  <si>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</si>
  <si>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</si>
  <si>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</si>
  <si>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</si>
  <si>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</si>
  <si>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</si>
  <si>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</si>
  <si>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</si>
  <si>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</si>
  <si>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</si>
  <si>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</si>
  <si>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</si>
  <si>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</si>
  <si>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</si>
  <si>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</si>
  <si>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</si>
  <si>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</si>
  <si>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</si>
  <si>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</si>
  <si>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 type="noConversion"/>
  </si>
  <si>
    <t xml:space="preserve">2020-08-27   </t>
  </si>
  <si>
    <t xml:space="preserve">资产交易   </t>
  </si>
  <si>
    <t xml:space="preserve">339095.67   </t>
  </si>
  <si>
    <t xml:space="preserve">55800   </t>
  </si>
  <si>
    <t xml:space="preserve">60700   </t>
  </si>
  <si>
    <t xml:space="preserve">  北京市基础设施投资有限公司(内资)  </t>
  </si>
  <si>
    <t xml:space="preserve">   京投发展股份有限公司 </t>
  </si>
  <si>
    <t xml:space="preserve"> 北京通州综合发展项目（信德中心二期）   </t>
  </si>
  <si>
    <t xml:space="preserve">通州   </t>
  </si>
  <si>
    <t xml:space="preserve">运河大街   </t>
  </si>
  <si>
    <t xml:space="preserve">2020-12-22   </t>
  </si>
  <si>
    <t xml:space="preserve">98000   </t>
  </si>
  <si>
    <t xml:space="preserve">368625   </t>
  </si>
  <si>
    <t xml:space="preserve">  鹏瑞利(成都)实业有限公司(外资),顺丰控股有限公司(外资)  </t>
  </si>
  <si>
    <t xml:space="preserve">   崇新发展有限公司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</si>
  <si>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</si>
  <si>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</si>
  <si>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</si>
  <si>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</si>
  <si>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</si>
  <si>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</si>
  <si>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</si>
  <si>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</si>
  <si>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</si>
  <si>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</si>
  <si>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</si>
  <si>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</si>
  <si>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</si>
  <si>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</si>
  <si>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</si>
  <si>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</si>
  <si>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</si>
  <si>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</si>
  <si>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</si>
  <si>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</si>
  <si>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</si>
  <si>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</si>
  <si>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</si>
  <si>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</si>
  <si>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</si>
  <si>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</si>
  <si>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</si>
  <si>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</si>
  <si>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</si>
  <si>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</si>
  <si>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</si>
  <si>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</si>
  <si>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</si>
  <si>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</si>
  <si>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</si>
  <si>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</si>
  <si>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</si>
  <si>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</si>
  <si>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</si>
  <si>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</si>
  <si>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</si>
  <si>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</si>
  <si>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</si>
  <si>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八达岭奥特莱斯   </t>
  </si>
  <si>
    <t xml:space="preserve">昌平   </t>
  </si>
  <si>
    <t xml:space="preserve">商业   </t>
  </si>
  <si>
    <t xml:space="preserve">2019-12-13   </t>
  </si>
  <si>
    <t xml:space="preserve">248200   </t>
  </si>
  <si>
    <t xml:space="preserve">42543   </t>
  </si>
  <si>
    <t xml:space="preserve">58348   </t>
  </si>
  <si>
    <t xml:space="preserve">  北京华联大信商业管理有限公司(内资)  </t>
  </si>
  <si>
    <t xml:space="preserve">   南通凯宝农副产品有限公司 </t>
  </si>
  <si>
    <t xml:space="preserve"> 姚家园路住宅区某物业发展项目   </t>
  </si>
  <si>
    <t xml:space="preserve">朝阳公园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</si>
  <si>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</si>
  <si>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</si>
  <si>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</si>
  <si>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</si>
  <si>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</si>
  <si>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</si>
  <si>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</si>
  <si>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</si>
  <si>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</si>
  <si>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</si>
  <si>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</si>
  <si>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</si>
  <si>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</si>
  <si>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</si>
  <si>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</si>
  <si>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</si>
  <si>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</si>
  <si>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中粮万科FUNMIX半岛广场   </t>
  </si>
  <si>
    <t xml:space="preserve">房山   </t>
  </si>
  <si>
    <t xml:space="preserve">2019-11-04   </t>
  </si>
  <si>
    <t xml:space="preserve">159382.46   </t>
  </si>
  <si>
    <t xml:space="preserve">12452   </t>
  </si>
  <si>
    <t xml:space="preserve">127997   </t>
  </si>
  <si>
    <t xml:space="preserve">  万科企业股份有限公司(内资)  </t>
  </si>
  <si>
    <t xml:space="preserve">   中粮集团有限公司 </t>
  </si>
  <si>
    <t xml:space="preserve"> 北京SKP   </t>
  </si>
  <si>
    <t xml:space="preserve">2017-05-07   </t>
  </si>
  <si>
    <t xml:space="preserve">111398   </t>
  </si>
  <si>
    <t xml:space="preserve">  北京国华置业有限公司(合资),北京华联集团(内资)  </t>
  </si>
  <si>
    <t>全面积</t>
    <phoneticPr fontId="1" type="noConversion"/>
  </si>
  <si>
    <t>办公</t>
    <phoneticPr fontId="1" type="noConversion"/>
  </si>
  <si>
    <r>
      <t>2020</t>
    </r>
    <r>
      <rPr>
        <sz val="10"/>
        <color indexed="8"/>
        <rFont val="宋体"/>
        <family val="3"/>
        <charset val="134"/>
      </rPr>
      <t>年</t>
    </r>
    <phoneticPr fontId="1" type="noConversion"/>
  </si>
  <si>
    <r>
      <t>2021</t>
    </r>
    <r>
      <rPr>
        <sz val="10"/>
        <color indexed="8"/>
        <rFont val="宋体"/>
        <family val="3"/>
        <charset val="134"/>
      </rPr>
      <t>年</t>
    </r>
    <phoneticPr fontId="1" type="noConversion"/>
  </si>
  <si>
    <r>
      <t>2022</t>
    </r>
    <r>
      <rPr>
        <sz val="10"/>
        <color indexed="8"/>
        <rFont val="宋体"/>
        <family val="3"/>
        <charset val="134"/>
      </rPr>
      <t>年</t>
    </r>
    <phoneticPr fontId="1" type="noConversion"/>
  </si>
  <si>
    <t>1层</t>
    <phoneticPr fontId="1" type="noConversion"/>
  </si>
  <si>
    <t>2层</t>
    <phoneticPr fontId="1" type="noConversion"/>
  </si>
  <si>
    <t>3层</t>
    <phoneticPr fontId="1" type="noConversion"/>
  </si>
  <si>
    <t>4层</t>
    <phoneticPr fontId="1" type="noConversion"/>
  </si>
  <si>
    <t>B1层</t>
    <phoneticPr fontId="1" type="noConversion"/>
  </si>
  <si>
    <t>B2层</t>
    <phoneticPr fontId="1" type="noConversion"/>
  </si>
  <si>
    <t>5层</t>
    <phoneticPr fontId="1" type="noConversion"/>
  </si>
  <si>
    <t>6层</t>
    <phoneticPr fontId="1" type="noConversion"/>
  </si>
  <si>
    <t>计租面积</t>
    <phoneticPr fontId="1" type="noConversion"/>
  </si>
  <si>
    <t>空铺</t>
    <phoneticPr fontId="1" type="noConversion"/>
  </si>
  <si>
    <t>出租率</t>
    <phoneticPr fontId="1" type="noConversion"/>
  </si>
  <si>
    <t>出租面积租金</t>
    <phoneticPr fontId="1" type="noConversion"/>
  </si>
  <si>
    <t>整体租金</t>
    <phoneticPr fontId="1" type="noConversion"/>
  </si>
  <si>
    <t>地上</t>
    <phoneticPr fontId="1" type="noConversion"/>
  </si>
  <si>
    <t>地下商业</t>
    <phoneticPr fontId="1" type="noConversion"/>
  </si>
  <si>
    <t>B2-3层车库</t>
    <phoneticPr fontId="1" type="noConversion"/>
  </si>
  <si>
    <t>2020年</t>
    <phoneticPr fontId="1"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</si>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</sst>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 numFmtId="204" formatCode="#,##0.00_);[Red]\(#,##0.00\)"/>
  </numFmts>
  <fonts count="236">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0"/>
      <color theme="1"/>
      <name val="宋体"/>
      <family val="2"/>
      <scheme val="minor"/>
    </font>
  </fonts>
  <fills count="28">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FF"/>
        <bgColor rgb="FF000000"/>
      </patternFill>
    </fill>
    <fill>
      <patternFill patternType="solid">
        <fgColor rgb="FF57EF57"/>
        <bgColor rgb="FF000000"/>
      </patternFill>
    </fill>
    <fill>
      <patternFill patternType="solid">
        <fgColor theme="4" tint="0.39997558519241921"/>
        <bgColor indexed="64"/>
      </patternFill>
    </fill>
    <fill>
      <patternFill patternType="solid">
        <fgColor theme="3" tint="0.39997558519241921"/>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74">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7" fillId="0" borderId="3" xfId="0" applyFont="1" applyBorder="1" applyAlignment="1">
      <alignment horizontal="left" vertical="center" wrapText="1"/>
    </xf>
    <xf numFmtId="179" fontId="7" fillId="0" borderId="3" xfId="0" applyNumberFormat="1" applyFont="1" applyBorder="1" applyAlignment="1">
      <alignment horizontal="left" vertical="center" wrapText="1"/>
    </xf>
    <xf numFmtId="197" fontId="7" fillId="0" borderId="3" xfId="0" applyNumberFormat="1" applyFont="1" applyBorder="1" applyAlignment="1">
      <alignment horizontal="left" vertical="center" wrapText="1"/>
    </xf>
    <xf numFmtId="0" fontId="0" fillId="0" borderId="0" xfId="0" applyAlignment="1">
      <alignment horizontal="left"/>
    </xf>
    <xf numFmtId="0" fontId="7" fillId="24" borderId="3" xfId="0" applyFont="1" applyFill="1" applyBorder="1" applyAlignment="1">
      <alignment horizontal="left" vertical="center" wrapText="1"/>
    </xf>
    <xf numFmtId="0" fontId="7" fillId="24" borderId="3" xfId="0" applyFont="1" applyFill="1" applyBorder="1" applyAlignment="1">
      <alignment horizontal="left" vertical="center"/>
    </xf>
    <xf numFmtId="0" fontId="7" fillId="0" borderId="4" xfId="0" applyFont="1" applyBorder="1" applyAlignment="1">
      <alignment horizontal="left" vertical="center" wrapText="1"/>
    </xf>
    <xf numFmtId="14" fontId="7" fillId="0" borderId="4" xfId="0" applyNumberFormat="1" applyFont="1" applyBorder="1" applyAlignment="1">
      <alignment horizontal="left" vertical="center" wrapText="1"/>
    </xf>
    <xf numFmtId="0" fontId="7" fillId="0" borderId="3" xfId="0" applyFont="1" applyBorder="1" applyAlignment="1">
      <alignment horizontal="left" vertical="center"/>
    </xf>
    <xf numFmtId="179" fontId="7" fillId="0" borderId="3" xfId="0" applyNumberFormat="1" applyFont="1" applyBorder="1" applyAlignment="1">
      <alignment horizontal="left" vertical="center"/>
    </xf>
    <xf numFmtId="197" fontId="7" fillId="0" borderId="3" xfId="0" applyNumberFormat="1" applyFont="1" applyBorder="1" applyAlignment="1">
      <alignment horizontal="left" vertical="center"/>
    </xf>
    <xf numFmtId="204" fontId="7" fillId="0" borderId="3" xfId="0" applyNumberFormat="1" applyFont="1" applyBorder="1" applyAlignment="1">
      <alignment horizontal="left" vertical="center"/>
    </xf>
    <xf numFmtId="4" fontId="7" fillId="0" borderId="3" xfId="0" applyNumberFormat="1" applyFont="1" applyBorder="1" applyAlignment="1">
      <alignment horizontal="left" vertical="center"/>
    </xf>
    <xf numFmtId="0" fontId="9" fillId="0" borderId="3" xfId="0" applyNumberFormat="1" applyFont="1" applyBorder="1" applyAlignment="1">
      <alignment horizontal="left"/>
    </xf>
    <xf numFmtId="0" fontId="9" fillId="0" borderId="0" xfId="0" applyNumberFormat="1" applyFont="1" applyAlignment="1">
      <alignment horizontal="left"/>
    </xf>
    <xf numFmtId="0" fontId="235" fillId="0" borderId="3" xfId="0" applyNumberFormat="1" applyFont="1" applyBorder="1" applyAlignment="1"/>
    <xf numFmtId="0" fontId="3" fillId="0" borderId="0" xfId="0" applyNumberFormat="1" applyFont="1" applyAlignment="1"/>
    <xf numFmtId="0" fontId="3" fillId="0" borderId="3" xfId="0" applyNumberFormat="1" applyFont="1" applyBorder="1" applyAlignment="1"/>
    <xf numFmtId="0" fontId="235" fillId="20" borderId="3" xfId="0" applyNumberFormat="1" applyFont="1" applyFill="1" applyBorder="1" applyAlignment="1"/>
    <xf numFmtId="0" fontId="3" fillId="20" borderId="0" xfId="0" applyNumberFormat="1" applyFont="1" applyFill="1" applyAlignment="1"/>
    <xf numFmtId="0" fontId="7" fillId="20" borderId="3" xfId="0" applyFont="1" applyFill="1" applyBorder="1" applyAlignment="1">
      <alignment horizontal="left" vertical="center" wrapText="1"/>
    </xf>
    <xf numFmtId="0" fontId="7" fillId="25" borderId="3" xfId="0" applyFont="1" applyFill="1" applyBorder="1" applyAlignment="1">
      <alignment horizontal="left" vertical="center" wrapText="1"/>
    </xf>
    <xf numFmtId="0" fontId="7" fillId="25" borderId="3" xfId="0" applyFont="1" applyFill="1" applyBorder="1" applyAlignment="1">
      <alignment horizontal="left" vertical="center"/>
    </xf>
    <xf numFmtId="179" fontId="7" fillId="25" borderId="3" xfId="0" applyNumberFormat="1" applyFont="1" applyFill="1" applyBorder="1" applyAlignment="1">
      <alignment horizontal="left" vertical="center"/>
    </xf>
    <xf numFmtId="0" fontId="7" fillId="20" borderId="4" xfId="0" applyFont="1" applyFill="1" applyBorder="1" applyAlignment="1">
      <alignment horizontal="left" vertical="center" wrapText="1"/>
    </xf>
    <xf numFmtId="179" fontId="7" fillId="20" borderId="4" xfId="0" applyNumberFormat="1" applyFont="1" applyFill="1" applyBorder="1" applyAlignment="1">
      <alignment horizontal="left" vertical="center" wrapText="1"/>
    </xf>
    <xf numFmtId="199" fontId="7" fillId="20" borderId="4" xfId="0" applyNumberFormat="1" applyFont="1" applyFill="1" applyBorder="1" applyAlignment="1">
      <alignment horizontal="left" vertical="center" wrapText="1"/>
    </xf>
    <xf numFmtId="0" fontId="0" fillId="20" borderId="0" xfId="0" applyFill="1" applyAlignment="1">
      <alignment horizontal="left"/>
    </xf>
    <xf numFmtId="9" fontId="1" fillId="0" borderId="0" xfId="2" applyFont="1" applyFill="1">
      <alignment vertical="center"/>
    </xf>
    <xf numFmtId="43" fontId="1" fillId="0" borderId="0" xfId="0" applyNumberFormat="1" applyFont="1" applyFill="1" applyAlignment="1" applyProtection="1">
      <alignment vertical="center"/>
    </xf>
    <xf numFmtId="9" fontId="0" fillId="0" borderId="0" xfId="2" applyFont="1">
      <alignment vertical="center"/>
    </xf>
    <xf numFmtId="0" fontId="0" fillId="26" borderId="0" xfId="0" applyFill="1">
      <alignment vertical="center"/>
    </xf>
    <xf numFmtId="0" fontId="14" fillId="26" borderId="0" xfId="0" applyFont="1" applyFill="1">
      <alignment vertical="center"/>
    </xf>
    <xf numFmtId="9" fontId="0" fillId="26" borderId="0" xfId="2" applyFont="1" applyFill="1">
      <alignment vertical="center"/>
    </xf>
    <xf numFmtId="9" fontId="0" fillId="0" borderId="0" xfId="2" applyFont="1" applyFill="1">
      <alignment vertical="center"/>
    </xf>
    <xf numFmtId="0" fontId="0" fillId="27" borderId="0" xfId="0" applyFill="1">
      <alignment vertical="center"/>
    </xf>
    <xf numFmtId="0" fontId="116" fillId="19" borderId="120" xfId="0" applyNumberFormat="1" applyFont="1" applyFill="1" applyBorder="1" applyAlignment="1" applyProtection="1">
      <alignment horizontal="center" vertical="center" wrapText="1"/>
      <protection locked="0"/>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0" fontId="79" fillId="0" borderId="3" xfId="0" applyFont="1" applyBorder="1" applyAlignment="1" applyProtection="1">
      <alignment horizontal="center" vertical="center"/>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30" fillId="4" borderId="3"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wrapText="1"/>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64" fillId="4" borderId="87"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38" xfId="0" applyFont="1" applyFill="1" applyBorder="1" applyAlignment="1" applyProtection="1">
      <alignment horizontal="left" vertical="center"/>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9" fillId="4" borderId="86"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2" fillId="0" borderId="0" xfId="5" applyFont="1" applyAlignment="1">
      <alignment horizontal="left" vertical="center"/>
    </xf>
    <xf numFmtId="0" fontId="28" fillId="0" borderId="0" xfId="5" applyFont="1" applyAlignment="1">
      <alignment horizontal="left" vertical="center"/>
    </xf>
    <xf numFmtId="0" fontId="16" fillId="0" borderId="0" xfId="5" applyFont="1" applyAlignment="1">
      <alignment horizontal="left" vertical="center"/>
    </xf>
    <xf numFmtId="0" fontId="37" fillId="8" borderId="21" xfId="5" applyFont="1" applyFill="1" applyBorder="1" applyAlignment="1" applyProtection="1">
      <alignment horizontal="left" vertical="center" wrapText="1"/>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7" fillId="8" borderId="28"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70" customWidth="1"/>
    <col min="2" max="2" width="81" style="3571" customWidth="1"/>
    <col min="3" max="16384" width="9" style="3572"/>
  </cols>
  <sheetData>
    <row r="1" spans="1:2" s="3567" customFormat="1">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2020年12月31日</v>
      </c>
    </row>
    <row r="13" spans="1:2" s="3569" customFormat="1">
      <c r="A13" s="3577" t="s">
        <v>13</v>
      </c>
      <c r="B13" s="3578"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146992</v>
      </c>
    </row>
    <row r="21" spans="1:2" s="3569" customFormat="1">
      <c r="A21" s="3577" t="s">
        <v>21</v>
      </c>
      <c r="B21" s="3578">
        <f ca="1">'预评函-2'!D7</f>
        <v>53847</v>
      </c>
    </row>
    <row r="22" spans="1:2" s="3569" customFormat="1">
      <c r="A22" s="3577" t="s">
        <v>22</v>
      </c>
      <c r="B22" s="3578" t="str">
        <f ca="1">'预评函-2'!D6</f>
        <v>壹拾肆亿陆仟玖佰玖拾贰万元整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146992</v>
      </c>
    </row>
    <row r="31" spans="1:2" s="3569" customFormat="1">
      <c r="A31" s="3577" t="s">
        <v>31</v>
      </c>
      <c r="B31" s="3578">
        <f ca="1">'预评函-2'!D15</f>
        <v>53847</v>
      </c>
    </row>
    <row r="32" spans="1:2" s="3569" customFormat="1">
      <c r="A32" s="3577" t="s">
        <v>32</v>
      </c>
      <c r="B32" s="3578" t="str">
        <f ca="1">'预评函-2'!D14</f>
        <v>壹拾肆亿陆仟玖佰玖拾贰万元整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134641</v>
      </c>
    </row>
    <row r="39" spans="1:2" s="3569" customFormat="1">
      <c r="A39" s="3577" t="s">
        <v>39</v>
      </c>
      <c r="B39" s="3578">
        <f ca="1">'预评函-2'!D21</f>
        <v>49322</v>
      </c>
    </row>
    <row r="40" spans="1:2" s="3569" customFormat="1">
      <c r="A40" s="3577" t="s">
        <v>40</v>
      </c>
      <c r="B40" s="3578" t="str">
        <f ca="1">'预评函-2'!D20</f>
        <v>壹拾叁亿肆仟陆佰肆拾壹万元整</v>
      </c>
    </row>
    <row r="41" spans="1:2" s="3569" customFormat="1">
      <c r="A41" s="3577" t="s">
        <v>41</v>
      </c>
      <c r="B41" s="3578" t="str">
        <f>'预评函-3'!A4</f>
        <v>北京市房地产</v>
      </c>
    </row>
    <row r="42" spans="1:2" s="3569" customFormat="1" ht="31.2">
      <c r="A42" s="3577" t="s">
        <v>42</v>
      </c>
      <c r="B42" s="3578" t="str">
        <f>'预评函-3'!B2</f>
        <v>建筑面积</v>
      </c>
    </row>
    <row r="43" spans="1:2" s="3569" customFormat="1">
      <c r="A43" s="3577" t="s">
        <v>43</v>
      </c>
      <c r="B43" s="3578">
        <f>'预评函-3'!B4</f>
        <v>27298.22</v>
      </c>
    </row>
    <row r="44" spans="1:2" s="3569" customFormat="1" ht="31.2">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128086</v>
      </c>
    </row>
    <row r="48" spans="1:2" s="3569" customFormat="1">
      <c r="A48" s="3577" t="s">
        <v>48</v>
      </c>
      <c r="B48" s="3578">
        <f ca="1">'预评函-3'!E4</f>
        <v>46921</v>
      </c>
    </row>
    <row r="49" spans="1:2" s="3569" customFormat="1">
      <c r="A49" s="3577" t="s">
        <v>49</v>
      </c>
      <c r="B49" s="3578" t="str">
        <f ca="1">'预评函-3'!D5</f>
        <v>壹拾贰亿捌仟零捌拾陆万元整</v>
      </c>
    </row>
    <row r="50" spans="1:2" s="3569" customFormat="1">
      <c r="A50" s="3577" t="s">
        <v>50</v>
      </c>
      <c r="B50" s="3578" t="str">
        <f>'预评函-3'!F2</f>
        <v>在建建筑物价值</v>
      </c>
    </row>
    <row r="51" spans="1:2" s="3569" customFormat="1">
      <c r="A51" s="3577" t="s">
        <v>51</v>
      </c>
      <c r="B51" s="3578">
        <f ca="1">'预评函-3'!F4</f>
        <v>18906</v>
      </c>
    </row>
    <row r="52" spans="1:2" s="3569" customFormat="1">
      <c r="A52" s="3577" t="s">
        <v>52</v>
      </c>
      <c r="B52" s="3578">
        <f ca="1">'预评函-3'!G4</f>
        <v>6926</v>
      </c>
    </row>
    <row r="53" spans="1:2" s="3569" customFormat="1">
      <c r="A53" s="3577" t="s">
        <v>53</v>
      </c>
      <c r="B53" s="3578" t="str">
        <f ca="1">'预评函-3'!F5</f>
        <v>壹亿捌仟玖佰零陆万元整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4.4"/>
  <cols>
    <col min="1" max="1" width="13.44140625" style="3445" customWidth="1"/>
    <col min="2" max="2" width="23.21875" style="3446" customWidth="1"/>
    <col min="3" max="3" width="13" style="3447" customWidth="1"/>
    <col min="4" max="4" width="5.77734375" style="3448" customWidth="1"/>
    <col min="5" max="5" width="7.109375" style="3448" customWidth="1"/>
    <col min="6" max="6" width="10.6640625" style="3448" customWidth="1"/>
    <col min="7" max="7" width="7.44140625" style="3448" customWidth="1"/>
    <col min="8" max="8" width="11.88671875" style="3447" customWidth="1"/>
    <col min="9" max="9" width="11.6640625" style="3447" customWidth="1"/>
    <col min="10" max="10" width="9" style="3447" customWidth="1"/>
    <col min="11" max="19" width="9" style="3448" customWidth="1"/>
    <col min="20" max="23" width="9" style="3447" customWidth="1"/>
    <col min="24" max="24" width="21.109375" style="3446" customWidth="1"/>
    <col min="25" max="16384" width="9" style="3446"/>
  </cols>
  <sheetData>
    <row r="1" spans="1:23" s="3444" customFormat="1" ht="43.2">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65"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3460" t="s">
        <v>331</v>
      </c>
      <c r="C54" s="3447" t="s">
        <v>332</v>
      </c>
    </row>
    <row r="55" spans="1:4">
      <c r="A55" s="3665"/>
      <c r="B55" s="3460" t="s">
        <v>333</v>
      </c>
      <c r="C55" s="3447" t="s">
        <v>334</v>
      </c>
    </row>
    <row r="56" spans="1:4">
      <c r="A56" s="3665"/>
      <c r="B56" s="3460" t="s">
        <v>335</v>
      </c>
      <c r="C56" s="3447" t="s">
        <v>336</v>
      </c>
    </row>
    <row r="57" spans="1:4">
      <c r="A57" s="3665"/>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94"/>
    <col min="8" max="8" width="5.44140625" style="3394" customWidth="1"/>
    <col min="9" max="13" width="9.44140625" style="3395" customWidth="1"/>
    <col min="14" max="18" width="9.44140625" style="3394" customWidth="1"/>
    <col min="19" max="16384" width="15.2187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66" t="s">
        <v>341</v>
      </c>
      <c r="J2" s="3666"/>
      <c r="K2" s="3666"/>
      <c r="L2" s="3666"/>
      <c r="M2" s="3666"/>
      <c r="N2" s="3666"/>
      <c r="O2" s="3666"/>
      <c r="P2" s="3666"/>
      <c r="Q2" s="3666"/>
      <c r="R2" s="3666"/>
    </row>
    <row r="3" spans="1:18">
      <c r="A3" s="575" t="s">
        <v>342</v>
      </c>
      <c r="B3" s="3402">
        <f>项目基本情况!D3</f>
        <v>44196</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5.96</v>
      </c>
      <c r="D5" s="3404">
        <f>IF(ISERROR(ROUND(POWER(1+E5,A5-C5)*(POWER(1+E5,C5)-1)/(POWER(1+E5,A5)-1),3)),0,ROUND(POWER(1+E5,A5-C5)*(POWER(1+E5,C5)-1)/(POWER(1+E5,A5)-1),4))</f>
        <v>0.26329999999999998</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15.97</v>
      </c>
      <c r="D6" s="3404">
        <f>IF(ISERROR(ROUND(POWER(1+E6,A6-C6)*(POWER(1+E6,C6)-1)/(POWER(1+E6,A6)-1),3)),0,ROUND(POWER(1+E6,A6-C6)*(POWER(1+E6,C6)-1)/(POWER(1+E6,A6)-1),4))</f>
        <v>0.54169999999999996</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35.99</v>
      </c>
      <c r="D7" s="3404">
        <f>IF(ISERROR(ROUND(POWER(1+E7,A7-C7)*(POWER(1+E7,C7)-1)/(POWER(1+E7,A7)-1),3)),0,ROUND(POWER(1+E7,A7-C7)*(POWER(1+E7,C7)-1)/(POWER(1+E7,A7)-1),4))</f>
        <v>0.80810000000000004</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671875" style="2881" customWidth="1"/>
    <col min="2" max="2" width="10" style="2881" customWidth="1"/>
    <col min="3" max="3" width="11.44140625" style="2881" customWidth="1"/>
    <col min="4" max="4" width="10" style="2881" customWidth="1"/>
    <col min="5" max="5" width="12.6640625" style="2881" customWidth="1"/>
    <col min="6" max="6" width="10" style="2881" customWidth="1"/>
    <col min="7" max="7" width="10.77734375" style="2881" customWidth="1"/>
    <col min="8" max="8" width="10" style="2881" customWidth="1"/>
    <col min="9" max="9" width="11.10937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71" t="str">
        <f>IF(B10="北京市","北京市",C10)&amp;F10&amp;IF(结果表!G1="在建","出让国有建设用地使用权及在建建筑物",IF(结果表!G1="土地","出让国有建设用地使用权",))&amp;B9&amp;"预评估"</f>
        <v>北京市房地产抵押价值预评估</v>
      </c>
      <c r="C1" s="3672"/>
      <c r="D1" s="3672"/>
      <c r="E1" s="3672"/>
      <c r="F1" s="3672"/>
      <c r="G1" s="3672"/>
      <c r="H1" s="3672"/>
      <c r="I1" s="3673"/>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44196</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86" t="s">
        <v>435</v>
      </c>
      <c r="E8" s="3288" t="s">
        <v>331</v>
      </c>
      <c r="F8" s="3289"/>
      <c r="G8" s="3270"/>
      <c r="H8" s="3270"/>
      <c r="I8" s="3270"/>
      <c r="J8" s="2865"/>
      <c r="K8" s="3368"/>
      <c r="L8" s="3365"/>
      <c r="M8" s="3365"/>
      <c r="N8" s="2865"/>
      <c r="O8" s="3366"/>
      <c r="P8" s="2865"/>
      <c r="Q8" s="2865"/>
      <c r="R8" s="2865"/>
    </row>
    <row r="9" spans="1:30">
      <c r="A9" s="3290" t="s">
        <v>436</v>
      </c>
      <c r="B9" s="3291" t="s">
        <v>331</v>
      </c>
      <c r="C9" s="3292"/>
      <c r="D9" s="3687"/>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21.68</v>
      </c>
      <c r="E15" s="3314" t="str">
        <f>IF(A13="出让",IF(E13="","",ROUNDDOWN(MIN((E13-$D$3)/365,E14),2)),E14)</f>
        <v/>
      </c>
      <c r="F15" s="3314">
        <f>IF(A13="出让",IF(F13="","",ROUNDDOWN(MIN((F13-$D$3)/365,F14),2)),F14)</f>
        <v>31.69</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74"/>
      <c r="C16" s="3675"/>
      <c r="D16" s="3676"/>
      <c r="E16" s="3315" t="s">
        <v>455</v>
      </c>
      <c r="F16" s="3677"/>
      <c r="G16" s="3678"/>
      <c r="H16" s="3678"/>
      <c r="I16" s="3679"/>
      <c r="J16" s="2865"/>
      <c r="K16" s="3377"/>
      <c r="L16" s="3376"/>
      <c r="M16" s="3376"/>
      <c r="N16" s="2866"/>
      <c r="O16" s="3376"/>
      <c r="P16" s="2866"/>
      <c r="Q16" s="2865"/>
      <c r="R16" s="2865"/>
    </row>
    <row r="17" spans="1:28">
      <c r="A17" s="2077" t="s">
        <v>456</v>
      </c>
      <c r="B17" s="2066" t="s">
        <v>457</v>
      </c>
      <c r="C17" s="1107">
        <f>'数据-汇总表'!E3</f>
        <v>27298.22</v>
      </c>
      <c r="D17" s="2120" t="s">
        <v>458</v>
      </c>
      <c r="E17" s="3680" t="s">
        <v>459</v>
      </c>
      <c r="F17" s="3681"/>
      <c r="G17" s="3681"/>
      <c r="H17" s="3681"/>
      <c r="I17" s="3682"/>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83" t="s">
        <v>462</v>
      </c>
      <c r="F18" s="3684"/>
      <c r="G18" s="3684"/>
      <c r="H18" s="3684"/>
      <c r="I18" s="3685"/>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90" t="s">
        <v>467</v>
      </c>
      <c r="C20" s="3691"/>
      <c r="D20" s="3692" t="s">
        <v>468</v>
      </c>
      <c r="E20" s="3693"/>
      <c r="F20" s="3324" t="s">
        <v>469</v>
      </c>
      <c r="G20" s="2986"/>
      <c r="H20" s="2986"/>
      <c r="I20" s="2986"/>
      <c r="J20" s="2865"/>
      <c r="K20" s="3688"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36">
      <c r="A21" s="3323"/>
      <c r="B21" s="3325" t="s">
        <v>471</v>
      </c>
      <c r="C21" s="3326" t="s">
        <v>472</v>
      </c>
      <c r="D21" s="3327" t="s">
        <v>473</v>
      </c>
      <c r="E21" s="3328" t="s">
        <v>472</v>
      </c>
      <c r="F21" s="3329"/>
      <c r="G21" s="2986"/>
      <c r="H21" s="2986"/>
      <c r="I21" s="2986"/>
      <c r="J21" s="2865"/>
      <c r="K21" s="3688"/>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36">
      <c r="A22" s="3323"/>
      <c r="B22" s="3330" t="s">
        <v>474</v>
      </c>
      <c r="C22" s="3326" t="s">
        <v>475</v>
      </c>
      <c r="D22" s="3270"/>
      <c r="E22" s="3270"/>
      <c r="F22" s="3270"/>
      <c r="G22" s="2986"/>
      <c r="H22" s="2986"/>
      <c r="I22" s="2986"/>
      <c r="J22" s="2865"/>
      <c r="K22" s="3688"/>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67"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67"/>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67"/>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68"/>
      <c r="B30" s="2066" t="s">
        <v>485</v>
      </c>
      <c r="C30" s="3694"/>
      <c r="D30" s="3695"/>
      <c r="E30" s="2986"/>
      <c r="F30" s="2986"/>
      <c r="G30" s="2986"/>
      <c r="H30" s="2986"/>
      <c r="I30" s="2986"/>
      <c r="J30" s="2865"/>
      <c r="K30" s="3367"/>
      <c r="L30" s="3365"/>
      <c r="M30" s="3365"/>
      <c r="N30" s="2865"/>
      <c r="O30" s="3366"/>
      <c r="P30" s="2865"/>
      <c r="Q30" s="2865"/>
      <c r="R30" s="2865"/>
      <c r="S30" s="2865"/>
      <c r="T30" s="2865"/>
      <c r="U30" s="2865"/>
      <c r="V30" s="2865"/>
    </row>
    <row r="31" spans="1:28">
      <c r="A31" s="3669"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70"/>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70"/>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89" t="s">
        <v>495</v>
      </c>
      <c r="T34" s="2107" t="str">
        <f>NUMBERSTRING(7-K34,1)&amp;"通"</f>
        <v>七通</v>
      </c>
      <c r="U34" s="2865"/>
      <c r="V34" s="2865"/>
    </row>
    <row r="35" spans="1:30">
      <c r="A35" s="3351"/>
      <c r="B35" s="3696" t="s">
        <v>496</v>
      </c>
      <c r="C35" s="3696"/>
      <c r="D35" s="3696"/>
      <c r="E35" s="3696"/>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89"/>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2">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M13"/>
    </sheetView>
  </sheetViews>
  <sheetFormatPr defaultColWidth="8.88671875" defaultRowHeight="13.8"/>
  <cols>
    <col min="1" max="1" width="10.6640625" style="3169" customWidth="1"/>
    <col min="2" max="2" width="11" style="3169" customWidth="1"/>
    <col min="3" max="3" width="10.33203125" style="3169" customWidth="1"/>
    <col min="4" max="4" width="9.109375" style="3169" customWidth="1"/>
    <col min="5" max="6" width="10" style="3167" customWidth="1"/>
    <col min="7" max="8" width="10" style="3169" customWidth="1"/>
    <col min="9" max="9" width="10.6640625" style="3169" customWidth="1"/>
    <col min="10" max="10" width="9.44140625" style="3169" customWidth="1"/>
    <col min="11" max="11" width="11" style="3169" customWidth="1"/>
    <col min="12" max="14" width="9.44140625" style="3169" customWidth="1"/>
    <col min="15" max="15" width="9.88671875" style="3169" customWidth="1"/>
    <col min="16" max="16" width="9.77734375" style="3169" customWidth="1"/>
    <col min="17" max="17" width="9.33203125" style="3169" customWidth="1"/>
    <col min="18" max="18" width="9.21875" style="3169" customWidth="1"/>
    <col min="19" max="19" width="10.88671875" style="3169" customWidth="1"/>
    <col min="20" max="21" width="10.77734375" style="3169" customWidth="1"/>
    <col min="22" max="22" width="10.88671875" style="3169" customWidth="1"/>
    <col min="23" max="27" width="10.77734375" style="3169" customWidth="1"/>
    <col min="28" max="28" width="10.88671875" style="3169" customWidth="1"/>
    <col min="29" max="29" width="11" style="3169" customWidth="1"/>
    <col min="30" max="30" width="10" style="3169" customWidth="1"/>
    <col min="31" max="31" width="9.77734375" style="3169" customWidth="1"/>
    <col min="32" max="46" width="9.44140625" style="3169" customWidth="1"/>
    <col min="47" max="47" width="18.109375" style="3169" customWidth="1"/>
    <col min="48" max="50" width="9.77734375" style="3169" customWidth="1"/>
    <col min="51" max="55" width="10.44140625" style="3169" customWidth="1"/>
    <col min="56" max="56" width="9.44140625" style="3169" customWidth="1"/>
    <col min="57" max="63" width="9.109375" style="3169" customWidth="1"/>
    <col min="64" max="64" width="9.44140625" style="3169" customWidth="1"/>
    <col min="65" max="65" width="9.109375" style="3169" customWidth="1"/>
    <col min="66" max="66" width="9.44140625" style="3169" customWidth="1"/>
    <col min="67" max="69" width="9.109375" style="3169" customWidth="1"/>
    <col min="70" max="70" width="9.44140625" style="3169" customWidth="1"/>
    <col min="71" max="71" width="9" style="3169" customWidth="1"/>
    <col min="72" max="72" width="9.109375" style="3169" customWidth="1"/>
    <col min="73" max="16384" width="8.88671875" style="3169"/>
  </cols>
  <sheetData>
    <row r="1" spans="1:72" ht="21">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3.2">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3.2">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3.2">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3.2">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5.2">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3.2">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3.2">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3.2">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3.2">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3.2">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3.2">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3.2">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3.2">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3.2">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1875" defaultRowHeight="13.8"/>
  <cols>
    <col min="1" max="1" width="12.109375" style="3079" customWidth="1"/>
    <col min="2" max="2" width="10.21875" style="3079" customWidth="1"/>
    <col min="3" max="3" width="18.44140625" style="3079" customWidth="1"/>
    <col min="4" max="4" width="11.6640625" style="3079" customWidth="1"/>
    <col min="5" max="5" width="13.33203125" style="3079" customWidth="1"/>
    <col min="6" max="8" width="11.44140625" style="3079" customWidth="1"/>
    <col min="9" max="9" width="11.109375" style="3079" customWidth="1"/>
    <col min="10" max="10" width="3.109375" style="3080" customWidth="1"/>
    <col min="11" max="16" width="10" style="3079" customWidth="1"/>
    <col min="17" max="17" width="2.6640625" style="3079" customWidth="1"/>
    <col min="18" max="18" width="9.33203125" style="3079" customWidth="1"/>
    <col min="19" max="19" width="10.44140625" style="3079" customWidth="1"/>
    <col min="20" max="16384" width="9.21875" style="3079"/>
  </cols>
  <sheetData>
    <row r="1" spans="1:16" ht="17.399999999999999">
      <c r="A1" s="2513" t="s">
        <v>560</v>
      </c>
      <c r="B1" s="2587"/>
      <c r="C1" s="2587"/>
      <c r="D1" s="2587"/>
      <c r="E1" s="2587"/>
      <c r="F1" s="2587"/>
      <c r="G1" s="2587"/>
      <c r="H1" s="2587"/>
      <c r="I1" s="2587"/>
      <c r="J1" s="2587"/>
      <c r="K1" s="2587"/>
      <c r="L1" s="2587"/>
      <c r="M1" s="2587"/>
      <c r="N1" s="2587"/>
      <c r="O1" s="2587"/>
      <c r="P1" s="2587"/>
    </row>
    <row r="2" spans="1:16" ht="14.4">
      <c r="A2" s="3706" t="s">
        <v>561</v>
      </c>
      <c r="B2" s="3706"/>
      <c r="C2" s="3706"/>
      <c r="D2" s="2440" t="s">
        <v>562</v>
      </c>
      <c r="E2" s="3081" t="s">
        <v>563</v>
      </c>
      <c r="F2" s="3082"/>
      <c r="G2" s="3083"/>
      <c r="H2" s="3084"/>
      <c r="I2" s="2733" t="s">
        <v>564</v>
      </c>
      <c r="J2" s="3082"/>
      <c r="K2" s="3082"/>
      <c r="L2" s="3082"/>
      <c r="M2" s="3082"/>
      <c r="N2" s="1511"/>
      <c r="O2" s="3082"/>
      <c r="P2" s="3082"/>
    </row>
    <row r="3" spans="1:16" ht="14.4">
      <c r="A3" s="3707" t="s">
        <v>565</v>
      </c>
      <c r="B3" s="3707"/>
      <c r="C3" s="3707"/>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4.4">
      <c r="A4" s="3708"/>
      <c r="B4" s="3709"/>
      <c r="C4" s="3710"/>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ht="14.4">
      <c r="A5" s="3090" t="s">
        <v>569</v>
      </c>
      <c r="B5" s="3711" t="s">
        <v>570</v>
      </c>
      <c r="C5" s="3711"/>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ht="14.4">
      <c r="A6" s="3093"/>
      <c r="B6" s="3711" t="s">
        <v>571</v>
      </c>
      <c r="C6" s="3711"/>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4.4">
      <c r="A7" s="3697"/>
      <c r="B7" s="3698"/>
      <c r="C7" s="3699"/>
      <c r="D7" s="3087" t="s">
        <v>562</v>
      </c>
      <c r="E7" s="3096" t="s">
        <v>573</v>
      </c>
      <c r="F7" s="3082"/>
      <c r="G7" s="3097" t="s">
        <v>574</v>
      </c>
      <c r="H7" s="3098"/>
      <c r="I7" s="3147"/>
      <c r="J7" s="3082"/>
      <c r="K7" s="3082"/>
      <c r="L7" s="3082"/>
      <c r="M7" s="3082"/>
      <c r="N7" s="3082"/>
      <c r="O7" s="3082"/>
      <c r="P7" s="3082"/>
    </row>
    <row r="8" spans="1:16" ht="14.4">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ht="14.4">
      <c r="A9" s="3102"/>
      <c r="B9" s="3103"/>
      <c r="C9" s="3091" t="s">
        <v>578</v>
      </c>
      <c r="D9" s="3091">
        <f t="shared" si="0"/>
        <v>0</v>
      </c>
      <c r="E9" s="3104">
        <v>0</v>
      </c>
      <c r="F9" s="3082"/>
      <c r="G9" s="3101"/>
      <c r="H9" s="3101"/>
      <c r="I9" s="3082"/>
      <c r="J9" s="3082"/>
      <c r="K9" s="3082"/>
      <c r="L9" s="3082"/>
      <c r="M9" s="3082"/>
      <c r="N9" s="3082"/>
      <c r="O9" s="3082"/>
      <c r="P9" s="3082"/>
    </row>
    <row r="10" spans="1:16" ht="14.4">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ht="14.4">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ht="14.4">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ht="14.4">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ht="14.4">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ht="14.4">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4.4">
      <c r="A16" s="3093"/>
      <c r="B16" s="3103"/>
      <c r="C16" s="3099" t="s">
        <v>585</v>
      </c>
      <c r="D16" s="3099">
        <f>SUM(D8:D15)</f>
        <v>6123.1900000000005</v>
      </c>
      <c r="E16" s="3105">
        <f>SUM(E8:E15)</f>
        <v>27298.22</v>
      </c>
      <c r="F16" s="3082"/>
      <c r="G16" s="3101"/>
      <c r="H16" s="3106" t="s">
        <v>586</v>
      </c>
      <c r="I16" s="3148"/>
      <c r="J16" s="2587"/>
      <c r="K16" s="3700" t="s">
        <v>586</v>
      </c>
      <c r="L16" s="3701"/>
      <c r="M16" s="3701"/>
      <c r="N16" s="3701"/>
      <c r="O16" s="3701"/>
      <c r="P16" s="3702"/>
    </row>
    <row r="17" spans="1:19" ht="14.4">
      <c r="A17" s="3041" t="s">
        <v>587</v>
      </c>
      <c r="B17" s="3107" t="s">
        <v>588</v>
      </c>
      <c r="C17" s="3040" t="s">
        <v>589</v>
      </c>
      <c r="D17" s="3108" t="s">
        <v>562</v>
      </c>
      <c r="E17" s="3109" t="s">
        <v>563</v>
      </c>
      <c r="F17" s="3110"/>
      <c r="G17" s="3111"/>
      <c r="H17" s="3112" t="s">
        <v>590</v>
      </c>
      <c r="I17" s="3149" t="s">
        <v>591</v>
      </c>
      <c r="J17" s="2587"/>
      <c r="K17" s="3703" t="s">
        <v>592</v>
      </c>
      <c r="L17" s="3704"/>
      <c r="M17" s="3705"/>
      <c r="N17" s="3703" t="s">
        <v>593</v>
      </c>
      <c r="O17" s="3704"/>
      <c r="P17" s="3705"/>
      <c r="R17" s="3162" t="s">
        <v>594</v>
      </c>
      <c r="S17" s="2528"/>
    </row>
    <row r="18" spans="1:19" ht="14.4">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ht="14.4">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ht="14.4">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ht="14.4">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ht="14.4">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ht="14.4">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ht="14.4">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ht="14.4">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ht="14.4">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4.4">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ht="14.4">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ht="14.4">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4.4">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4.4">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ht="14.4">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X31" sqref="X31"/>
    </sheetView>
  </sheetViews>
  <sheetFormatPr defaultColWidth="13.77734375" defaultRowHeight="13.2"/>
  <cols>
    <col min="1" max="1" width="20.88671875" style="2881" customWidth="1"/>
    <col min="2" max="2" width="12" style="2882" customWidth="1"/>
    <col min="3" max="3" width="12.77734375" style="2882" customWidth="1"/>
    <col min="4" max="4" width="9.109375" style="2883" customWidth="1"/>
    <col min="5" max="5" width="15" style="2882" customWidth="1"/>
    <col min="6" max="10" width="8.88671875" style="2882" customWidth="1"/>
    <col min="11" max="12" width="12.33203125" style="2884" customWidth="1"/>
    <col min="13" max="13" width="8.6640625" style="2882" customWidth="1"/>
    <col min="14" max="14" width="11.88671875" style="2882" customWidth="1"/>
    <col min="15" max="15" width="8.44140625" style="2882" customWidth="1"/>
    <col min="16" max="17" width="10.88671875" style="2882" customWidth="1"/>
    <col min="18" max="19" width="12.44140625" style="2882" customWidth="1"/>
    <col min="20" max="20" width="12.109375" style="2882" customWidth="1"/>
    <col min="21" max="21" width="15.77734375" style="2882" customWidth="1"/>
    <col min="22" max="22" width="6.33203125" style="2882" customWidth="1"/>
    <col min="23" max="30" width="6.77734375" style="2882" customWidth="1"/>
    <col min="31" max="31" width="8" style="2882" customWidth="1"/>
    <col min="32" max="34" width="7.21875" style="2882" customWidth="1"/>
    <col min="35" max="39" width="8" style="2882" customWidth="1"/>
    <col min="40" max="40" width="13.77734375" style="2880"/>
    <col min="41" max="41" width="11.6640625" style="2880" customWidth="1"/>
    <col min="42" max="42" width="9.77734375" style="2880" customWidth="1"/>
    <col min="43" max="67" width="13.77734375" style="2880"/>
    <col min="68" max="16384" width="13.77734375" style="2882"/>
  </cols>
  <sheetData>
    <row r="1" spans="1:67" ht="17.399999999999999">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4.4">
      <c r="A2" s="2888" t="s">
        <v>610</v>
      </c>
      <c r="B2" s="2889">
        <f>项目基本情况!D3</f>
        <v>44196</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3.8">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4">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57.6">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3.8">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21.68</v>
      </c>
      <c r="G6" s="2908">
        <f>IF(ISERROR(ROUND(POWER(1+H6,D6-F6)*(POWER(1+H6,F6)-1)/(POWER(1+H6,D6)-1),3)),0,ROUND(POWER(1+H6,D6-F6)*(POWER(1+H6,F6)-1)/(POWER(1+H6,D6)-1),3))</f>
        <v>0.76100000000000001</v>
      </c>
      <c r="H6" s="2909">
        <v>0.05</v>
      </c>
      <c r="I6" s="2909">
        <v>5.5E-2</v>
      </c>
      <c r="J6" s="2910">
        <v>7.0000000000000007E-2</v>
      </c>
      <c r="K6" s="2997">
        <f>SUMIF('数据-汇总表'!C$19:C$33,A6,'数据-汇总表'!E$19:E$33)</f>
        <v>27298.22</v>
      </c>
      <c r="L6" s="2998">
        <v>5027</v>
      </c>
      <c r="M6" s="2999">
        <f t="shared" ref="M6:M14" si="0">ROUND(K6*L6/10000,0)</f>
        <v>13723</v>
      </c>
      <c r="N6" s="3000">
        <f>ROUND((N22+N23)/2,2)</f>
        <v>0.83</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12</v>
      </c>
      <c r="V6" s="3023">
        <v>0.02</v>
      </c>
      <c r="W6" s="3023">
        <v>0.15</v>
      </c>
      <c r="X6" s="3024"/>
      <c r="Y6" s="3043">
        <f>N6</f>
        <v>0.83</v>
      </c>
      <c r="Z6" s="3044">
        <v>12</v>
      </c>
      <c r="AA6" s="2910">
        <v>0.02</v>
      </c>
      <c r="AB6" s="2910">
        <v>0.05</v>
      </c>
      <c r="AC6" s="3024"/>
      <c r="AD6" s="3045">
        <f>Y6</f>
        <v>0.83</v>
      </c>
      <c r="AE6" s="3046">
        <f ca="1">IF(AN6="",0,SUMIF(INDIRECT("'"&amp;AN6&amp;"'"&amp;"!E:E"),$AE$5,INDIRECT("'"&amp;AN6&amp;"'"&amp;"!F:F")))</f>
        <v>21.68</v>
      </c>
      <c r="AF6" s="2525">
        <v>1</v>
      </c>
      <c r="AG6" s="1803">
        <f ca="1">IF(AF6="",0,AE6-AF6)</f>
        <v>20.68</v>
      </c>
      <c r="AH6" s="3055"/>
      <c r="AI6" s="3056">
        <v>365</v>
      </c>
      <c r="AJ6" s="3057"/>
      <c r="AK6" s="3058">
        <v>0.01</v>
      </c>
      <c r="AL6" s="3059">
        <v>1E-3</v>
      </c>
      <c r="AM6" s="3060">
        <v>0.02</v>
      </c>
      <c r="AN6" s="3061" t="s">
        <v>652</v>
      </c>
      <c r="AO6" s="1396">
        <f ca="1">SUMIF(INDIRECT("'"&amp;AN6&amp;"'"&amp;"!A:A"),"总价",INDIRECT("'"&amp;AN6&amp;"'"&amp;"!B:B"))</f>
        <v>132197</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3.8">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3.8">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3.8">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3.8">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3.8">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3.8">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3.8">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4">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8.8">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4.4">
      <c r="A16" s="2914" t="s">
        <v>607</v>
      </c>
      <c r="B16" s="2915"/>
      <c r="C16" s="2480"/>
      <c r="D16" s="2916"/>
      <c r="E16" s="2915"/>
      <c r="F16" s="2915"/>
      <c r="G16" s="2917">
        <f>ROUND(SUMPRODUCT(G6:G13,K6:K13)/SUMPRODUCT((G6:G13&gt;0)*(K6:K13)),3)</f>
        <v>0.76100000000000001</v>
      </c>
      <c r="H16" s="2918">
        <f>ROUND(SUMPRODUCT(H6:H13,K6:K13)/SUMPRODUCT((H6:H13&gt;0)*(K6:K13)),3)</f>
        <v>0.05</v>
      </c>
      <c r="I16" s="3006"/>
      <c r="J16" s="3006"/>
      <c r="K16" s="3007">
        <f>SUM(K6:K15)</f>
        <v>27298.22</v>
      </c>
      <c r="L16" s="3008">
        <f>ROUND(M16*10000/SUM(K6:K14),0)</f>
        <v>5027</v>
      </c>
      <c r="M16" s="3008">
        <f>SUM(M6:M14)</f>
        <v>13723</v>
      </c>
      <c r="N16" s="3009">
        <f>ROUND(SUMPRODUCT(M6:M14,N6:N14)/M16,3)</f>
        <v>0.83</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4">
      <c r="A18" s="1631" t="s">
        <v>654</v>
      </c>
      <c r="B18" s="2922"/>
      <c r="C18" s="2923"/>
      <c r="D18" s="2924"/>
      <c r="E18" s="2923"/>
      <c r="F18" s="2923"/>
      <c r="G18" s="2923"/>
      <c r="H18" s="2923"/>
      <c r="I18" s="2923"/>
      <c r="J18" s="2923"/>
      <c r="K18" s="3010"/>
      <c r="L18" s="3010"/>
      <c r="M18" s="2423"/>
      <c r="N18" s="2423"/>
      <c r="O18" s="2423"/>
      <c r="P18" s="2423"/>
      <c r="Q18" s="2423"/>
      <c r="R18" s="2423"/>
      <c r="S18" s="2423"/>
      <c r="T18" s="2423" t="s">
        <v>3749</v>
      </c>
      <c r="U18" s="2423">
        <f>ROUND(U6/365/K16,2)</f>
        <v>0</v>
      </c>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4">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t="s">
        <v>3750</v>
      </c>
      <c r="U19" s="2423">
        <f>ROUND(130000000/365/K16,2)</f>
        <v>13.05</v>
      </c>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4">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t="s">
        <v>3751</v>
      </c>
      <c r="U20" s="2423">
        <f>ROUND(135000000/365/K16,2)</f>
        <v>13.55</v>
      </c>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4">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4">
      <c r="A22" s="2928" t="s">
        <v>660</v>
      </c>
      <c r="B22" s="2932">
        <f>B19+B20</f>
        <v>2</v>
      </c>
      <c r="C22" s="2923"/>
      <c r="D22" s="2924"/>
      <c r="E22" s="2923"/>
      <c r="F22" s="2923"/>
      <c r="G22" s="2923"/>
      <c r="H22" s="2923"/>
      <c r="I22" s="2923"/>
      <c r="J22" s="2923"/>
      <c r="K22" s="3010"/>
      <c r="L22" s="3010"/>
      <c r="M22" s="2423"/>
      <c r="N22" s="2423">
        <f>ROUND(1-(2020-N21)/60,2)</f>
        <v>0.75</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4">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4">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3.8">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4">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8.8">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8.8">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8.8">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8.8">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8.8">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8.8">
      <c r="A32" s="2951" t="s">
        <v>676</v>
      </c>
      <c r="B32" s="2952">
        <v>0</v>
      </c>
      <c r="C32" s="2943"/>
      <c r="D32" s="2924"/>
      <c r="E32" s="2923"/>
      <c r="F32" s="2923"/>
      <c r="G32" s="2923"/>
      <c r="H32" s="2923"/>
      <c r="I32" s="2923"/>
      <c r="J32" s="2923"/>
      <c r="K32" s="3010">
        <f ca="1">结果表!G19</f>
        <v>146992</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4">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4">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4">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4">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4">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4">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4">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7.6">
      <c r="A40" s="2961" t="s">
        <v>690</v>
      </c>
      <c r="B40" s="2962">
        <f ca="1">IF(A40="利息：取LPR",存贷款利率!G1,存贷款利率!G1+C40)</f>
        <v>4.3499999999999997E-2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4">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4">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4">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4">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4">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4">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4">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4">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4">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4">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4">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4">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8.8">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4">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4">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4">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4">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4">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4">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4">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4">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4">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4">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08" customWidth="1"/>
    <col min="2" max="2" width="24.44140625" style="2809" customWidth="1"/>
    <col min="3" max="3" width="24.44140625" style="2810" customWidth="1"/>
    <col min="4" max="4" width="2.6640625" style="2810" customWidth="1"/>
    <col min="5" max="5" width="5.88671875" style="2810" customWidth="1"/>
    <col min="6" max="6" width="27" style="2809" customWidth="1"/>
    <col min="7" max="7" width="27" style="2811" customWidth="1"/>
    <col min="8" max="8" width="11.88671875" style="2812" customWidth="1"/>
    <col min="9" max="9" width="16.77734375" style="2813" customWidth="1"/>
    <col min="10" max="10" width="2.6640625" style="2812" customWidth="1"/>
    <col min="11" max="11" width="11.88671875" style="2812" customWidth="1"/>
    <col min="12" max="12" width="16.77734375" style="2813" customWidth="1"/>
    <col min="13" max="13" width="2.6640625" style="2812" customWidth="1"/>
    <col min="14" max="14" width="11.88671875" style="2812" customWidth="1"/>
    <col min="15" max="15" width="16.77734375" style="2813" customWidth="1"/>
    <col min="16" max="16" width="2.6640625" style="2812" customWidth="1"/>
    <col min="17" max="17" width="11.88671875" style="2812" customWidth="1"/>
    <col min="18" max="18" width="16.77734375" style="2814" customWidth="1"/>
    <col min="19" max="29" width="9" style="2412"/>
    <col min="30" max="16384" width="9" style="2808"/>
  </cols>
  <sheetData>
    <row r="1" spans="1:29" s="2806" customFormat="1" ht="17.399999999999999">
      <c r="A1" s="3712" t="s">
        <v>721</v>
      </c>
      <c r="B1" s="3713"/>
      <c r="C1" s="3713"/>
      <c r="D1" s="3713"/>
      <c r="E1" s="3713"/>
      <c r="F1" s="3713"/>
      <c r="G1" s="3713"/>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7.200000000000003">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7.200000000000003">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48">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36">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ht="24">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7.399999999999999">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4.4">
      <c r="A13" s="2843" t="s">
        <v>743</v>
      </c>
      <c r="B13" s="2841"/>
      <c r="C13" s="2841"/>
      <c r="D13" s="2839"/>
      <c r="E13" s="2841"/>
      <c r="F13" s="2841"/>
      <c r="G13" s="2841"/>
    </row>
    <row r="14" spans="1:29">
      <c r="A14" s="2844"/>
      <c r="B14" s="2844"/>
      <c r="C14" s="2845" t="s">
        <v>722</v>
      </c>
      <c r="D14" s="2824"/>
      <c r="E14" s="2846"/>
      <c r="F14" s="2846"/>
      <c r="G14" s="2818" t="s">
        <v>723</v>
      </c>
    </row>
    <row r="15" spans="1:29" ht="52.8">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9.6">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9.6">
      <c r="A17" s="2852"/>
      <c r="B17" s="2853" t="s">
        <v>733</v>
      </c>
      <c r="C17" s="2854" t="str">
        <f>C5</f>
        <v>估价对象位于XX商圈，周边办公楼项目较多，入驻率高，办公集聚程度较好</v>
      </c>
      <c r="D17" s="2831"/>
      <c r="E17" s="2855"/>
      <c r="F17" s="2856" t="s">
        <v>744</v>
      </c>
      <c r="G17" s="2858"/>
    </row>
    <row r="18" spans="1:18" ht="52.8">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6.4">
      <c r="A19" s="2852"/>
      <c r="B19" s="2856" t="s">
        <v>744</v>
      </c>
      <c r="C19" s="2858"/>
      <c r="D19" s="2824"/>
      <c r="E19" s="2855"/>
      <c r="F19" s="2107" t="s">
        <v>551</v>
      </c>
      <c r="G19" s="2857" t="str">
        <f>G5</f>
        <v>估价对象所在区域公共配套设施齐备情况</v>
      </c>
    </row>
    <row r="20" spans="1:18" ht="26.4">
      <c r="A20" s="2852"/>
      <c r="B20" s="2856" t="s">
        <v>745</v>
      </c>
      <c r="C20" s="2854" t="str">
        <f>C9</f>
        <v>区域自然环境：；人文环境；综合评价环境状况一般</v>
      </c>
      <c r="D20" s="2831"/>
      <c r="E20" s="2855"/>
      <c r="F20" s="2107" t="s">
        <v>736</v>
      </c>
      <c r="G20" s="2857" t="str">
        <f>G6</f>
        <v>估价对象所在区域基础设施水平</v>
      </c>
    </row>
    <row r="21" spans="1:18" ht="26.4">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I14"/>
    </sheetView>
  </sheetViews>
  <sheetFormatPr defaultColWidth="9" defaultRowHeight="14.4"/>
  <cols>
    <col min="1" max="1" width="25" style="2790" customWidth="1"/>
    <col min="2" max="9" width="15.77734375" style="2790" customWidth="1"/>
    <col min="10" max="16384" width="9" style="2790"/>
  </cols>
  <sheetData>
    <row r="1" spans="1:11" ht="16.2">
      <c r="A1" s="2791" t="s">
        <v>747</v>
      </c>
      <c r="B1" s="2791">
        <f>SUM(B14:B23)</f>
        <v>27298.22</v>
      </c>
      <c r="C1" s="2792"/>
      <c r="D1" s="2792"/>
      <c r="E1" s="2792"/>
      <c r="F1" s="2792"/>
      <c r="G1" s="2793"/>
      <c r="H1" s="2794"/>
      <c r="I1" s="2794"/>
      <c r="J1" s="2794"/>
      <c r="K1" s="2794"/>
    </row>
    <row r="2" spans="1:11" ht="16.2">
      <c r="A2" s="2791" t="s">
        <v>748</v>
      </c>
      <c r="B2" s="2791">
        <f>SUM(C14:C23)</f>
        <v>6123.19</v>
      </c>
      <c r="C2" s="2792"/>
      <c r="D2" s="2792"/>
      <c r="E2" s="2792"/>
      <c r="F2" s="2792"/>
      <c r="G2" s="2793"/>
      <c r="H2" s="2794"/>
      <c r="I2" s="2794"/>
      <c r="J2" s="2794"/>
      <c r="K2" s="2794"/>
    </row>
    <row r="3" spans="1:11" ht="15.6">
      <c r="A3" s="2791" t="s">
        <v>749</v>
      </c>
      <c r="B3" s="2795">
        <f>项目基本情况!D3</f>
        <v>44196</v>
      </c>
      <c r="C3" s="2792"/>
      <c r="D3" s="2792"/>
      <c r="E3" s="2792"/>
      <c r="F3" s="2792"/>
      <c r="G3" s="2793"/>
      <c r="H3" s="2794"/>
      <c r="I3" s="2794"/>
      <c r="J3" s="2794"/>
      <c r="K3" s="2794"/>
    </row>
    <row r="4" spans="1:11" ht="31.2">
      <c r="A4" s="2791" t="s">
        <v>750</v>
      </c>
      <c r="B4" s="2791" t="s">
        <v>751</v>
      </c>
      <c r="C4" s="2791" t="s">
        <v>752</v>
      </c>
      <c r="D4" s="2791" t="s">
        <v>753</v>
      </c>
      <c r="E4" s="2792"/>
      <c r="F4" s="2793"/>
      <c r="G4" s="2793"/>
      <c r="H4" s="2794"/>
      <c r="I4" s="2794"/>
      <c r="J4" s="2794"/>
      <c r="K4" s="2794"/>
    </row>
    <row r="5" spans="1:11" ht="15.6">
      <c r="A5" s="2791" t="s">
        <v>754</v>
      </c>
      <c r="B5" s="2791">
        <f ca="1">SUM(D14:D23)</f>
        <v>146992</v>
      </c>
      <c r="C5" s="2791">
        <f ca="1">IF(B5=D14,结果表!H102,ROUND(B5*10000/$B$1,0))</f>
        <v>53847</v>
      </c>
      <c r="D5" s="2791">
        <f ca="1">ROUND(B5*10000/$B$2,0)</f>
        <v>240058</v>
      </c>
      <c r="E5" s="2792"/>
      <c r="F5" s="2793"/>
      <c r="G5" s="2793"/>
      <c r="H5" s="2794"/>
      <c r="I5" s="2794"/>
      <c r="J5" s="2794"/>
      <c r="K5" s="2794"/>
    </row>
    <row r="6" spans="1:11" ht="15.6">
      <c r="A6" s="2791" t="s">
        <v>755</v>
      </c>
      <c r="B6" s="2791">
        <f>SUM(G14:G23)</f>
        <v>0</v>
      </c>
      <c r="C6" s="2791">
        <f ca="1">IF(B6=G14,结果表!H108,ROUND(B6*10000/$B$1,0))</f>
        <v>53847</v>
      </c>
      <c r="D6" s="2791">
        <f>ROUND(B6*10000/$B$2,0)</f>
        <v>0</v>
      </c>
      <c r="E6" s="2792"/>
      <c r="F6" s="2793"/>
      <c r="G6" s="2793"/>
      <c r="H6" s="2794"/>
      <c r="I6" s="2794"/>
      <c r="J6" s="2794"/>
      <c r="K6" s="2794"/>
    </row>
    <row r="7" spans="1:11" ht="15.6">
      <c r="A7" s="2791" t="s">
        <v>756</v>
      </c>
      <c r="B7" s="2791">
        <f>SUM(H14:H23)</f>
        <v>0</v>
      </c>
      <c r="C7" s="2791" t="str">
        <f>IF(B7=H14,结果表!H110,ROUND(B7*10000/$B$1,0))</f>
        <v>——</v>
      </c>
      <c r="D7" s="2791">
        <f>ROUND(B7*10000/$B$2,0)</f>
        <v>0</v>
      </c>
      <c r="E7" s="2792"/>
      <c r="F7" s="2793"/>
      <c r="G7" s="2793"/>
      <c r="H7" s="2794"/>
      <c r="I7" s="2794"/>
      <c r="J7" s="2794"/>
      <c r="K7" s="2794"/>
    </row>
    <row r="8" spans="1:11" ht="15.6">
      <c r="A8" s="2791" t="s">
        <v>337</v>
      </c>
      <c r="B8" s="2791">
        <f>SUM(I14:I23)</f>
        <v>0</v>
      </c>
      <c r="C8" s="2791">
        <f ca="1">IF(B8=I14,结果表!H112,ROUND(B8*10000/$B$1,0))</f>
        <v>49322</v>
      </c>
      <c r="D8" s="2791">
        <f>ROUND(B8*10000/$B$2,0)</f>
        <v>0</v>
      </c>
      <c r="E8" s="2792"/>
      <c r="F8" s="2793"/>
      <c r="G8" s="2793"/>
      <c r="H8" s="2794"/>
      <c r="I8" s="2794"/>
      <c r="J8" s="2794"/>
      <c r="K8" s="2794"/>
    </row>
    <row r="9" spans="1:11" ht="15.6">
      <c r="A9" s="2791" t="s">
        <v>757</v>
      </c>
      <c r="B9" s="2796"/>
      <c r="C9" s="2792"/>
      <c r="D9" s="2792"/>
      <c r="E9" s="2792"/>
      <c r="F9" s="2793"/>
      <c r="G9" s="2793"/>
      <c r="H9" s="2794"/>
      <c r="I9" s="2794"/>
      <c r="J9" s="2794"/>
      <c r="K9" s="2794"/>
    </row>
    <row r="10" spans="1:11" ht="15.6">
      <c r="A10" s="2791" t="s">
        <v>758</v>
      </c>
      <c r="B10" s="2791">
        <f>IF(E10="",0,ROUND(B1*(E10*365/G10)/10000,0))</f>
        <v>0</v>
      </c>
      <c r="C10" s="2791" t="s">
        <v>759</v>
      </c>
      <c r="D10" s="2791" t="s">
        <v>758</v>
      </c>
      <c r="E10" s="2797"/>
      <c r="F10" s="2798" t="s">
        <v>760</v>
      </c>
      <c r="G10" s="2799"/>
      <c r="H10" s="2794"/>
      <c r="I10" s="2794"/>
      <c r="J10" s="2794"/>
      <c r="K10" s="2794"/>
    </row>
    <row r="11" spans="1:11" ht="15.6">
      <c r="A11" s="2791" t="s">
        <v>761</v>
      </c>
      <c r="B11" s="2796"/>
      <c r="C11" s="2792"/>
      <c r="D11" s="2792"/>
      <c r="E11" s="2792"/>
      <c r="F11" s="2793"/>
      <c r="G11" s="2793"/>
      <c r="H11" s="2794"/>
      <c r="I11" s="2794"/>
      <c r="J11" s="2794"/>
      <c r="K11" s="2794"/>
    </row>
    <row r="12" spans="1:11" ht="15.6">
      <c r="A12" s="2792"/>
      <c r="B12" s="2792"/>
      <c r="C12" s="2792"/>
      <c r="D12" s="2792"/>
      <c r="E12" s="2792"/>
      <c r="F12" s="2793"/>
      <c r="G12" s="2793"/>
      <c r="H12" s="2794"/>
      <c r="I12" s="2794"/>
      <c r="J12" s="2794"/>
      <c r="K12" s="2794"/>
    </row>
    <row r="13" spans="1:11" ht="31.8">
      <c r="A13" s="2800" t="s">
        <v>762</v>
      </c>
      <c r="B13" s="2801" t="s">
        <v>747</v>
      </c>
      <c r="C13" s="2801" t="s">
        <v>748</v>
      </c>
      <c r="D13" s="2801" t="s">
        <v>763</v>
      </c>
      <c r="E13" s="2791" t="s">
        <v>752</v>
      </c>
      <c r="F13" s="2791" t="s">
        <v>753</v>
      </c>
      <c r="G13" s="2801" t="s">
        <v>764</v>
      </c>
      <c r="H13" s="2801" t="s">
        <v>765</v>
      </c>
      <c r="I13" s="2801" t="s">
        <v>766</v>
      </c>
      <c r="J13" s="2793"/>
      <c r="K13" s="2794"/>
    </row>
    <row r="14" spans="1:11" ht="15.6">
      <c r="A14" s="2802" t="s">
        <v>3768</v>
      </c>
      <c r="B14" s="2803">
        <f>结果表!B118</f>
        <v>27298.22</v>
      </c>
      <c r="C14" s="2803">
        <f>结果表!C118</f>
        <v>6123.19</v>
      </c>
      <c r="D14" s="2803">
        <f ca="1">结果表!H118</f>
        <v>146992</v>
      </c>
      <c r="E14" s="2803">
        <f ca="1">ROUND(D14*10000/B14,0)</f>
        <v>53847</v>
      </c>
      <c r="F14" s="2803">
        <f ca="1">ROUND(D14*10000/C14,0)</f>
        <v>240058</v>
      </c>
      <c r="G14" s="2803"/>
      <c r="H14" s="2803"/>
      <c r="I14" s="2803"/>
      <c r="J14" s="2793"/>
      <c r="K14" s="2794"/>
    </row>
    <row r="15" spans="1:11" ht="15.6">
      <c r="A15" s="2802" t="s">
        <v>767</v>
      </c>
      <c r="B15" s="2804"/>
      <c r="C15" s="2804"/>
      <c r="D15" s="2804"/>
      <c r="E15" s="2803" t="e">
        <f t="shared" ref="E15:E23" si="0">ROUND(D15*10000/B15,0)</f>
        <v>#DIV/0!</v>
      </c>
      <c r="F15" s="2803" t="e">
        <f t="shared" ref="F15:F23" si="1">ROUND(D15*10000/C15,0)</f>
        <v>#DIV/0!</v>
      </c>
      <c r="G15" s="2805"/>
      <c r="H15" s="2805"/>
      <c r="I15" s="2804"/>
      <c r="J15" s="2793"/>
      <c r="K15" s="2794"/>
    </row>
    <row r="16" spans="1:11" ht="15.6">
      <c r="A16" s="2802" t="s">
        <v>768</v>
      </c>
      <c r="B16" s="2804"/>
      <c r="C16" s="2804"/>
      <c r="D16" s="2804"/>
      <c r="E16" s="2803" t="e">
        <f t="shared" si="0"/>
        <v>#DIV/0!</v>
      </c>
      <c r="F16" s="2803" t="e">
        <f t="shared" si="1"/>
        <v>#DIV/0!</v>
      </c>
      <c r="G16" s="2805"/>
      <c r="H16" s="2805"/>
      <c r="I16" s="2804"/>
      <c r="J16" s="2794"/>
      <c r="K16" s="2794"/>
    </row>
    <row r="17" spans="1:11" ht="15.6">
      <c r="A17" s="2802" t="s">
        <v>769</v>
      </c>
      <c r="B17" s="2804"/>
      <c r="C17" s="2804"/>
      <c r="D17" s="2804"/>
      <c r="E17" s="2803" t="e">
        <f t="shared" si="0"/>
        <v>#DIV/0!</v>
      </c>
      <c r="F17" s="2803" t="e">
        <f t="shared" si="1"/>
        <v>#DIV/0!</v>
      </c>
      <c r="G17" s="2805"/>
      <c r="H17" s="2805"/>
      <c r="I17" s="2804"/>
      <c r="J17" s="2794"/>
      <c r="K17" s="2794"/>
    </row>
    <row r="18" spans="1:11" ht="15.6">
      <c r="A18" s="2802" t="s">
        <v>770</v>
      </c>
      <c r="B18" s="2804"/>
      <c r="C18" s="2804"/>
      <c r="D18" s="2804"/>
      <c r="E18" s="2803" t="e">
        <f t="shared" si="0"/>
        <v>#DIV/0!</v>
      </c>
      <c r="F18" s="2803" t="e">
        <f t="shared" si="1"/>
        <v>#DIV/0!</v>
      </c>
      <c r="G18" s="2804"/>
      <c r="H18" s="2804"/>
      <c r="I18" s="2804"/>
      <c r="J18" s="2794"/>
      <c r="K18" s="2794"/>
    </row>
    <row r="19" spans="1:11" ht="15.6">
      <c r="A19" s="2802" t="s">
        <v>771</v>
      </c>
      <c r="B19" s="2804"/>
      <c r="C19" s="2804"/>
      <c r="D19" s="2804"/>
      <c r="E19" s="2803" t="e">
        <f t="shared" si="0"/>
        <v>#DIV/0!</v>
      </c>
      <c r="F19" s="2803" t="e">
        <f t="shared" si="1"/>
        <v>#DIV/0!</v>
      </c>
      <c r="G19" s="2804"/>
      <c r="H19" s="2804"/>
      <c r="I19" s="2804"/>
      <c r="J19" s="2794"/>
      <c r="K19" s="2794"/>
    </row>
    <row r="20" spans="1:11" ht="15.6">
      <c r="A20" s="2802" t="s">
        <v>772</v>
      </c>
      <c r="B20" s="2804"/>
      <c r="C20" s="2804"/>
      <c r="D20" s="2804"/>
      <c r="E20" s="2803" t="e">
        <f t="shared" si="0"/>
        <v>#DIV/0!</v>
      </c>
      <c r="F20" s="2803" t="e">
        <f t="shared" si="1"/>
        <v>#DIV/0!</v>
      </c>
      <c r="G20" s="2804"/>
      <c r="H20" s="2804"/>
      <c r="I20" s="2804"/>
      <c r="J20" s="2794"/>
      <c r="K20" s="2794"/>
    </row>
    <row r="21" spans="1:11" ht="15.6">
      <c r="A21" s="2802" t="s">
        <v>773</v>
      </c>
      <c r="B21" s="2804"/>
      <c r="C21" s="2804"/>
      <c r="D21" s="2804"/>
      <c r="E21" s="2803" t="e">
        <f t="shared" si="0"/>
        <v>#DIV/0!</v>
      </c>
      <c r="F21" s="2803" t="e">
        <f t="shared" si="1"/>
        <v>#DIV/0!</v>
      </c>
      <c r="G21" s="2804"/>
      <c r="H21" s="2804"/>
      <c r="I21" s="2804"/>
      <c r="J21" s="2794"/>
      <c r="K21" s="2794"/>
    </row>
    <row r="22" spans="1:11" ht="15.6">
      <c r="A22" s="2802" t="s">
        <v>774</v>
      </c>
      <c r="B22" s="2804"/>
      <c r="C22" s="2804"/>
      <c r="D22" s="2804"/>
      <c r="E22" s="2803" t="e">
        <f t="shared" si="0"/>
        <v>#DIV/0!</v>
      </c>
      <c r="F22" s="2803" t="e">
        <f t="shared" si="1"/>
        <v>#DIV/0!</v>
      </c>
      <c r="G22" s="2804"/>
      <c r="H22" s="2804"/>
      <c r="I22" s="2804"/>
      <c r="J22" s="2794"/>
      <c r="K22" s="2794"/>
    </row>
    <row r="23" spans="1:11" ht="15.6">
      <c r="A23" s="2802" t="s">
        <v>775</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85" zoomScaleNormal="100" zoomScalePageLayoutView="80" workbookViewId="0">
      <selection activeCell="D119" sqref="D119:G119"/>
    </sheetView>
  </sheetViews>
  <sheetFormatPr defaultColWidth="12.6640625" defaultRowHeight="21.75" customHeight="1"/>
  <cols>
    <col min="1" max="2" width="12.6640625" style="2512"/>
    <col min="3" max="4" width="12.6640625" style="2512" customWidth="1"/>
    <col min="5" max="9" width="12.6640625" style="2512"/>
    <col min="10" max="11" width="12.6640625" style="1051" customWidth="1"/>
    <col min="12" max="12" width="12.6640625" style="1051"/>
    <col min="13" max="13" width="14.109375" style="1051" customWidth="1"/>
    <col min="14" max="26" width="12.6640625" style="1051"/>
    <col min="27" max="35" width="12.6640625" style="2511"/>
    <col min="36" max="16384" width="12.6640625" style="2512"/>
  </cols>
  <sheetData>
    <row r="1" spans="1:12" ht="21.75" customHeight="1">
      <c r="A1" s="2513" t="s">
        <v>776</v>
      </c>
      <c r="B1" s="2514"/>
      <c r="C1" s="2515"/>
      <c r="D1" s="2514"/>
      <c r="E1" s="2514"/>
      <c r="F1" s="2516" t="s">
        <v>777</v>
      </c>
      <c r="G1" s="2517"/>
      <c r="H1" s="2518" t="str">
        <f>IF(G1="现房","——","估价对象范围")</f>
        <v>估价对象范围</v>
      </c>
      <c r="I1" s="2650"/>
    </row>
    <row r="2" spans="1:12" ht="21.75" customHeight="1">
      <c r="A2" s="3714" t="str">
        <f>项目基本情况!S2</f>
        <v>北京市房地产</v>
      </c>
      <c r="B2" s="3715"/>
      <c r="C2" s="3715"/>
      <c r="D2" s="3715"/>
      <c r="E2" s="3715"/>
      <c r="F2" s="3715"/>
      <c r="G2" s="3715"/>
      <c r="H2" s="3715"/>
      <c r="I2" s="3716"/>
    </row>
    <row r="3" spans="1:12" ht="13.2">
      <c r="A3" s="3717" t="s">
        <v>778</v>
      </c>
      <c r="B3" s="3718"/>
      <c r="C3" s="3718"/>
      <c r="D3" s="3718"/>
      <c r="E3" s="3718"/>
      <c r="F3" s="3718"/>
      <c r="G3" s="3718"/>
      <c r="H3" s="3718"/>
      <c r="I3" s="3718"/>
    </row>
    <row r="4" spans="1:12" ht="14.4">
      <c r="A4" s="2519" t="s">
        <v>779</v>
      </c>
      <c r="B4" s="2520" t="s">
        <v>780</v>
      </c>
      <c r="C4" s="2521" t="s">
        <v>315</v>
      </c>
      <c r="D4" s="2521" t="s">
        <v>652</v>
      </c>
      <c r="E4" s="3719" t="s">
        <v>781</v>
      </c>
      <c r="F4" s="3720"/>
      <c r="G4" s="3720"/>
      <c r="H4" s="3720"/>
      <c r="I4" s="3721"/>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3.2">
      <c r="A5" s="3763" t="s">
        <v>782</v>
      </c>
      <c r="B5" s="3801">
        <v>25</v>
      </c>
      <c r="C5" s="3734"/>
      <c r="D5" s="3733"/>
      <c r="E5" s="2106" t="s">
        <v>783</v>
      </c>
      <c r="F5" s="2526"/>
      <c r="G5" s="2526"/>
      <c r="H5" s="2526"/>
      <c r="I5" s="2320"/>
    </row>
    <row r="6" spans="1:12" ht="13.2">
      <c r="A6" s="3763"/>
      <c r="B6" s="3801"/>
      <c r="C6" s="3735"/>
      <c r="D6" s="3733"/>
      <c r="E6" s="2106" t="s">
        <v>784</v>
      </c>
      <c r="F6" s="2526"/>
      <c r="G6" s="2526"/>
      <c r="H6" s="2526"/>
      <c r="I6" s="2320"/>
    </row>
    <row r="7" spans="1:12" ht="13.2">
      <c r="A7" s="3763"/>
      <c r="B7" s="3801"/>
      <c r="C7" s="3736"/>
      <c r="D7" s="3733"/>
      <c r="E7" s="2106" t="s">
        <v>785</v>
      </c>
      <c r="F7" s="2526"/>
      <c r="G7" s="2526"/>
      <c r="H7" s="2526"/>
      <c r="I7" s="2320"/>
    </row>
    <row r="8" spans="1:12" ht="13.2">
      <c r="A8" s="3763" t="s">
        <v>786</v>
      </c>
      <c r="B8" s="3801">
        <v>15</v>
      </c>
      <c r="C8" s="3734"/>
      <c r="D8" s="3733"/>
      <c r="E8" s="2106" t="s">
        <v>787</v>
      </c>
      <c r="F8" s="2526"/>
      <c r="G8" s="2526"/>
      <c r="H8" s="2526"/>
      <c r="I8" s="2320"/>
    </row>
    <row r="9" spans="1:12" ht="13.2">
      <c r="A9" s="3763"/>
      <c r="B9" s="3801"/>
      <c r="C9" s="3736"/>
      <c r="D9" s="3733"/>
      <c r="E9" s="2106" t="s">
        <v>788</v>
      </c>
      <c r="F9" s="2526"/>
      <c r="G9" s="2526"/>
      <c r="H9" s="2526"/>
      <c r="I9" s="2320"/>
    </row>
    <row r="10" spans="1:12" ht="13.2">
      <c r="A10" s="3763" t="s">
        <v>789</v>
      </c>
      <c r="B10" s="3801">
        <v>15</v>
      </c>
      <c r="C10" s="3734"/>
      <c r="D10" s="3733"/>
      <c r="E10" s="2106" t="s">
        <v>790</v>
      </c>
      <c r="F10" s="2526"/>
      <c r="G10" s="2526"/>
      <c r="H10" s="2526"/>
      <c r="I10" s="2320"/>
    </row>
    <row r="11" spans="1:12" ht="13.2">
      <c r="A11" s="3763"/>
      <c r="B11" s="3801"/>
      <c r="C11" s="3736"/>
      <c r="D11" s="3733"/>
      <c r="E11" s="2106" t="s">
        <v>791</v>
      </c>
      <c r="F11" s="2526"/>
      <c r="G11" s="2526"/>
      <c r="H11" s="2526"/>
      <c r="I11" s="2320"/>
    </row>
    <row r="12" spans="1:12" ht="13.2">
      <c r="A12" s="3763" t="s">
        <v>792</v>
      </c>
      <c r="B12" s="3801">
        <v>15</v>
      </c>
      <c r="C12" s="3734"/>
      <c r="D12" s="3733"/>
      <c r="E12" s="2106" t="s">
        <v>793</v>
      </c>
      <c r="F12" s="2526"/>
      <c r="G12" s="2526"/>
      <c r="H12" s="2526"/>
      <c r="I12" s="2320"/>
    </row>
    <row r="13" spans="1:12" ht="13.2">
      <c r="A13" s="3763"/>
      <c r="B13" s="3801"/>
      <c r="C13" s="3736"/>
      <c r="D13" s="3733"/>
      <c r="E13" s="2106" t="s">
        <v>794</v>
      </c>
      <c r="F13" s="2526"/>
      <c r="G13" s="2526"/>
      <c r="H13" s="2526"/>
      <c r="I13" s="2320"/>
    </row>
    <row r="14" spans="1:12" ht="13.2">
      <c r="A14" s="3763" t="s">
        <v>795</v>
      </c>
      <c r="B14" s="3801">
        <v>30</v>
      </c>
      <c r="C14" s="3734">
        <v>5</v>
      </c>
      <c r="D14" s="3733">
        <v>5</v>
      </c>
      <c r="E14" s="2106" t="s">
        <v>796</v>
      </c>
      <c r="F14" s="2526"/>
      <c r="G14" s="2526"/>
      <c r="H14" s="2526"/>
      <c r="I14" s="2320"/>
    </row>
    <row r="15" spans="1:12" ht="13.2">
      <c r="A15" s="3763"/>
      <c r="B15" s="3801"/>
      <c r="C15" s="3735"/>
      <c r="D15" s="3733"/>
      <c r="E15" s="2106" t="s">
        <v>797</v>
      </c>
      <c r="F15" s="2526"/>
      <c r="G15" s="2526"/>
      <c r="H15" s="2526"/>
      <c r="I15" s="2320"/>
    </row>
    <row r="16" spans="1:12" ht="13.2">
      <c r="A16" s="3763"/>
      <c r="B16" s="3801"/>
      <c r="C16" s="3736"/>
      <c r="D16" s="3733"/>
      <c r="E16" s="2106" t="s">
        <v>798</v>
      </c>
      <c r="F16" s="2526"/>
      <c r="G16" s="2526"/>
      <c r="H16" s="2526"/>
      <c r="I16" s="2320"/>
    </row>
    <row r="17" spans="1:36" ht="14.4">
      <c r="A17" s="2527" t="s">
        <v>799</v>
      </c>
      <c r="B17" s="2528"/>
      <c r="C17" s="2529">
        <f>SUM(C5:C16)</f>
        <v>5</v>
      </c>
      <c r="D17" s="2529">
        <f>SUM(D5:D16)</f>
        <v>5</v>
      </c>
      <c r="E17" s="1093"/>
      <c r="F17" s="1093"/>
      <c r="G17" s="1093"/>
      <c r="H17" s="1093"/>
      <c r="I17" s="1093"/>
      <c r="K17" s="2066"/>
      <c r="L17" s="2066" t="s">
        <v>800</v>
      </c>
      <c r="M17" s="2066" t="s">
        <v>801</v>
      </c>
    </row>
    <row r="18" spans="1:36" ht="31.95" customHeight="1">
      <c r="A18" s="2530" t="s">
        <v>802</v>
      </c>
      <c r="B18" s="2531"/>
      <c r="C18" s="2532">
        <f>ROUND(C17/SUM(C17:D17),2)</f>
        <v>0.5</v>
      </c>
      <c r="D18" s="2532">
        <f>1-C18</f>
        <v>0.5</v>
      </c>
      <c r="E18" s="3722" t="s">
        <v>803</v>
      </c>
      <c r="F18" s="3723"/>
      <c r="G18" s="3723"/>
      <c r="H18" s="3723"/>
      <c r="I18" s="3723"/>
      <c r="K18" s="2066" t="s">
        <v>457</v>
      </c>
      <c r="L18" s="2066">
        <f>IF(C1="",'数据-汇总表'!E3,SUMIF(项目类型,C1,'数据-汇总表'!E17:E26)+SUMIF(项目类型,C1,'数据-汇总表'!I17:I26))</f>
        <v>27298.22</v>
      </c>
      <c r="M18" s="2066">
        <f>IF(C1="",'数据-汇总表'!E3,SUMIF(项目类型,C1,'数据-汇总表'!E17:E26))</f>
        <v>27298.22</v>
      </c>
    </row>
    <row r="19" spans="1:36" ht="14.4">
      <c r="A19" s="2533" t="s">
        <v>804</v>
      </c>
      <c r="B19" s="2534" t="s">
        <v>805</v>
      </c>
      <c r="C19" s="2535">
        <f ca="1">SUMIF(INDIRECT("'"&amp;C4&amp;"'"&amp;"!A:A"),结果表!B19,INDIRECT("'"&amp;C4&amp;"'"&amp;"!B:B"))</f>
        <v>161786</v>
      </c>
      <c r="D19" s="1533">
        <f ca="1">SUMIF(INDIRECT("'"&amp;D4&amp;"'"&amp;"!A:A"),结果表!B19,INDIRECT("'"&amp;D4&amp;"'"&amp;"!B:B"))</f>
        <v>132197</v>
      </c>
      <c r="E19" s="2533" t="s">
        <v>806</v>
      </c>
      <c r="F19" s="2534" t="s">
        <v>805</v>
      </c>
      <c r="G19" s="2536">
        <f ca="1">ROUND(C19*$C$18+D19*$D$18,0)</f>
        <v>146992</v>
      </c>
      <c r="H19" s="2537" t="s">
        <v>807</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4.4">
      <c r="A20" s="2538"/>
      <c r="B20" s="2539" t="s">
        <v>808</v>
      </c>
      <c r="C20" s="1800">
        <f ca="1">ROUND(C19/'数据-汇总表'!E31*10000,0)</f>
        <v>59266</v>
      </c>
      <c r="D20" s="1803">
        <f ca="1">SUMIF(INDIRECT("'"&amp;D4&amp;"'"&amp;"!A:A"),结果表!B20,INDIRECT("'"&amp;D4&amp;"'"&amp;"!B:B"))</f>
        <v>48427</v>
      </c>
      <c r="E20" s="2538"/>
      <c r="F20" s="2539" t="s">
        <v>808</v>
      </c>
      <c r="G20" s="2540">
        <f ca="1">ROUND(C20*$C$18+D20*$D$18,0)</f>
        <v>53847</v>
      </c>
      <c r="H20" s="2222" t="s">
        <v>809</v>
      </c>
      <c r="I20" s="1093"/>
    </row>
    <row r="21" spans="1:36" ht="15" customHeight="1">
      <c r="A21" s="2487"/>
      <c r="B21" s="2541" t="s">
        <v>810</v>
      </c>
      <c r="C21" s="2542">
        <f ca="1">ROUND(C19*10000/L19,0)</f>
        <v>264218</v>
      </c>
      <c r="D21" s="2543">
        <f ca="1">ROUND(D19*10000/L19,0)</f>
        <v>215896</v>
      </c>
      <c r="E21" s="2487"/>
      <c r="F21" s="2541" t="s">
        <v>810</v>
      </c>
      <c r="G21" s="2544">
        <f ca="1">ROUND(G19*10000/L19,0)</f>
        <v>240058</v>
      </c>
      <c r="H21" s="2545" t="s">
        <v>809</v>
      </c>
      <c r="I21" s="1093"/>
    </row>
    <row r="22" spans="1:36" ht="14.4">
      <c r="A22" s="2546" t="s">
        <v>811</v>
      </c>
      <c r="B22" s="2547"/>
      <c r="C22" s="2548"/>
      <c r="D22" s="2549">
        <f ca="1">IF(C19&lt;D19,D19/C19-1,C19/D19-1)</f>
        <v>0.22382504897993138</v>
      </c>
      <c r="E22" s="1093"/>
      <c r="F22" s="1093"/>
      <c r="G22" s="1093"/>
      <c r="H22" s="1093"/>
      <c r="I22" s="1093"/>
      <c r="L22" s="1051">
        <v>0.6</v>
      </c>
      <c r="M22" s="1051">
        <v>0.4</v>
      </c>
    </row>
    <row r="23" spans="1:36" ht="13.2">
      <c r="A23" s="2514"/>
      <c r="B23" s="2514"/>
      <c r="C23" s="2514"/>
      <c r="D23" s="2514"/>
      <c r="E23" s="1093"/>
      <c r="F23" s="1093"/>
      <c r="G23" s="1093"/>
      <c r="H23" s="1093"/>
      <c r="I23" s="1093"/>
      <c r="L23" s="1051">
        <f ca="1">(160000-M23)/L22</f>
        <v>178535.33333333334</v>
      </c>
      <c r="M23" s="1051">
        <f ca="1">D19*M22</f>
        <v>52878.8</v>
      </c>
    </row>
    <row r="24" spans="1:36" ht="14.4">
      <c r="A24" s="3794" t="s">
        <v>812</v>
      </c>
      <c r="B24" s="2534" t="s">
        <v>805</v>
      </c>
      <c r="C24" s="2536">
        <f>IF(B30=0,0,D30)</f>
        <v>0</v>
      </c>
      <c r="D24" s="2550"/>
      <c r="E24" s="1093"/>
      <c r="F24" s="1093"/>
      <c r="G24" s="1093"/>
      <c r="H24" s="1093"/>
      <c r="I24" s="1093"/>
    </row>
    <row r="25" spans="1:36" ht="14.4">
      <c r="A25" s="3795"/>
      <c r="B25" s="2539" t="s">
        <v>808</v>
      </c>
      <c r="C25" s="2551">
        <f>IF(B30=0,0,C30)</f>
        <v>0</v>
      </c>
      <c r="D25" s="2552"/>
      <c r="E25" s="1093"/>
      <c r="F25" s="1093"/>
      <c r="G25" s="1093"/>
      <c r="H25" s="1093"/>
      <c r="I25" s="1093"/>
    </row>
    <row r="26" spans="1:36" ht="13.5" customHeight="1">
      <c r="A26" s="2553" t="s">
        <v>813</v>
      </c>
      <c r="B26" s="2554" t="s">
        <v>814</v>
      </c>
      <c r="C26" s="2554" t="s">
        <v>815</v>
      </c>
      <c r="D26" s="2555" t="s">
        <v>816</v>
      </c>
      <c r="E26" s="1093"/>
      <c r="F26" s="1093"/>
      <c r="G26" s="1093"/>
      <c r="H26" s="1093"/>
      <c r="I26" s="1093"/>
    </row>
    <row r="27" spans="1:36" ht="13.8">
      <c r="A27" s="2553"/>
      <c r="B27" s="2554">
        <v>0</v>
      </c>
      <c r="C27" s="2554">
        <v>0</v>
      </c>
      <c r="D27" s="2555">
        <f>ROUND(C27*B27/10000,0)</f>
        <v>0</v>
      </c>
      <c r="E27" s="1093"/>
      <c r="F27" s="1093"/>
      <c r="G27" s="1093"/>
      <c r="H27" s="1093"/>
      <c r="I27" s="1093"/>
    </row>
    <row r="28" spans="1:36" ht="13.8">
      <c r="A28" s="2553"/>
      <c r="B28" s="2554"/>
      <c r="C28" s="2554"/>
      <c r="D28" s="2555"/>
      <c r="E28" s="1093"/>
      <c r="F28" s="1093"/>
      <c r="G28" s="1093"/>
      <c r="H28" s="1093"/>
      <c r="I28" s="1093"/>
    </row>
    <row r="29" spans="1:36" ht="13.8">
      <c r="A29" s="2553"/>
      <c r="B29" s="2554"/>
      <c r="C29" s="2554"/>
      <c r="D29" s="2555"/>
      <c r="E29" s="1093"/>
      <c r="F29" s="1093"/>
      <c r="G29" s="1093"/>
      <c r="H29" s="1093"/>
      <c r="I29" s="1093"/>
    </row>
    <row r="30" spans="1:36" ht="14.4">
      <c r="A30" s="2554" t="s">
        <v>817</v>
      </c>
      <c r="B30" s="2554"/>
      <c r="C30" s="2554"/>
      <c r="D30" s="2554"/>
      <c r="E30" s="2556" t="s">
        <v>818</v>
      </c>
      <c r="F30" s="1093"/>
      <c r="G30" s="1093"/>
      <c r="H30" s="1093"/>
      <c r="I30" s="1093"/>
    </row>
    <row r="31" spans="1:36" s="2508" customFormat="1" ht="26.4" customHeight="1">
      <c r="A31" s="2557"/>
      <c r="B31" s="2558"/>
      <c r="C31" s="2558"/>
      <c r="D31" s="2558"/>
      <c r="E31" s="2558"/>
      <c r="F31" s="2558"/>
      <c r="G31" s="2558"/>
      <c r="H31" s="2558"/>
      <c r="I31" s="2652" t="s">
        <v>819</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4.4">
      <c r="A32" s="2559" t="s">
        <v>820</v>
      </c>
      <c r="B32" s="2560"/>
      <c r="C32" s="2561">
        <f ca="1">IF(D32="总价",G19-C24,G20-C25)</f>
        <v>146992</v>
      </c>
      <c r="D32" s="2562" t="s">
        <v>821</v>
      </c>
      <c r="E32" s="1093"/>
      <c r="F32" s="1093"/>
      <c r="G32" s="1093"/>
      <c r="H32" s="1093"/>
      <c r="I32" s="1093"/>
    </row>
    <row r="33" spans="1:15" ht="14.4">
      <c r="A33" s="2428" t="s">
        <v>822</v>
      </c>
      <c r="B33" s="2563"/>
      <c r="C33" s="2564" t="s">
        <v>3769</v>
      </c>
      <c r="D33" s="2565" t="s">
        <v>652</v>
      </c>
      <c r="E33" s="2566" t="s">
        <v>823</v>
      </c>
      <c r="F33" s="2567" t="str">
        <f>IF(D32="楼面单价","取值（单价）","取值（总价）")</f>
        <v>取值（总价）</v>
      </c>
      <c r="G33" s="1093"/>
      <c r="H33" s="1093"/>
      <c r="I33" s="1093"/>
    </row>
    <row r="34" spans="1:15" ht="14.4">
      <c r="A34" s="2568"/>
      <c r="B34" s="2569" t="s">
        <v>824</v>
      </c>
      <c r="C34" s="2570">
        <f ca="1">IF(C33="自定义",F34,C32-C35)</f>
        <v>128086</v>
      </c>
      <c r="D34" s="2571">
        <f ca="1">IF(C33="自定义",ROUND(C34/C32,3),IF(C33="收益比率",SUMIF(INDIRECT("'"&amp;D33&amp;"'"&amp;"!b:b"),"土地收益比率",INDIRECT("'"&amp;D33&amp;"'"&amp;"!c:c")),SUMIF(INDIRECT("'"&amp;D33&amp;"'"&amp;"!b:b"),"土地成本比率",INDIRECT("'"&amp;D33&amp;"'"&amp;"!c:c"))))</f>
        <v>0.871</v>
      </c>
      <c r="E34" s="2572" t="s">
        <v>825</v>
      </c>
      <c r="F34" s="2573">
        <f ca="1">G19-F35</f>
        <v>128086</v>
      </c>
      <c r="G34" s="1093"/>
      <c r="H34" s="1093"/>
      <c r="I34" s="1093"/>
    </row>
    <row r="35" spans="1:15" ht="14.4">
      <c r="A35" s="2574"/>
      <c r="B35" s="2575" t="s">
        <v>826</v>
      </c>
      <c r="C35" s="2576">
        <f ca="1">IF(C33="自定义",F35,ROUND(C32*D35,0))</f>
        <v>18906</v>
      </c>
      <c r="D35" s="2577">
        <f ca="1">IF(C33="自定义",ROUND(C35/C32,3),IF(C33="收益比率",SUMIF(INDIRECT("'"&amp;D33&amp;"'"&amp;"!b:b"),"建筑物收益比率",INDIRECT("'"&amp;D33&amp;"'"&amp;"!c:c")),SUMIF(INDIRECT("'"&amp;D33&amp;"'"&amp;"!b:b"),"建筑物成本比率",INDIRECT("'"&amp;D33&amp;"'"&amp;"!c:c"))))</f>
        <v>0.129</v>
      </c>
      <c r="E35" s="2578" t="s">
        <v>827</v>
      </c>
      <c r="F35" s="2579">
        <f ca="1">ROUND(C32*收益法!C13/D19,0)</f>
        <v>18906</v>
      </c>
      <c r="G35" s="1093"/>
      <c r="H35" s="1093"/>
      <c r="I35" s="1093"/>
    </row>
    <row r="36" spans="1:15" ht="14.4">
      <c r="A36" s="3796" t="s">
        <v>828</v>
      </c>
      <c r="B36" s="2580" t="s">
        <v>829</v>
      </c>
      <c r="C36" s="2581"/>
      <c r="D36" s="2582"/>
      <c r="E36" s="2583"/>
      <c r="F36" s="2584"/>
      <c r="G36" s="1093"/>
      <c r="H36" s="1093"/>
      <c r="I36" s="1093"/>
    </row>
    <row r="37" spans="1:15" ht="14.4">
      <c r="A37" s="3797"/>
      <c r="B37" s="2585" t="s">
        <v>830</v>
      </c>
      <c r="C37" s="2586"/>
      <c r="D37" s="2587"/>
      <c r="E37" s="2587"/>
      <c r="F37" s="2584"/>
      <c r="G37" s="1093"/>
      <c r="H37" s="1093"/>
      <c r="I37" s="1093"/>
    </row>
    <row r="38" spans="1:15" ht="14.4">
      <c r="A38" s="3798"/>
      <c r="B38" s="2588" t="s">
        <v>831</v>
      </c>
      <c r="C38" s="2589"/>
      <c r="D38" s="2590" t="s">
        <v>832</v>
      </c>
      <c r="E38" s="2587"/>
      <c r="F38" s="2584"/>
      <c r="G38" s="1093"/>
      <c r="H38" s="1093"/>
      <c r="I38" s="1093"/>
    </row>
    <row r="39" spans="1:15" ht="14.4">
      <c r="A39" s="2538" t="s">
        <v>833</v>
      </c>
      <c r="B39" s="2591" t="s">
        <v>814</v>
      </c>
      <c r="C39" s="2592" t="s">
        <v>815</v>
      </c>
      <c r="D39" s="2592" t="s">
        <v>834</v>
      </c>
      <c r="E39" s="2593" t="s">
        <v>816</v>
      </c>
      <c r="F39" s="2584"/>
      <c r="G39" s="1093"/>
      <c r="H39" s="1093"/>
      <c r="I39" s="1093"/>
    </row>
    <row r="40" spans="1:15" ht="13.8">
      <c r="A40" s="2594" t="s">
        <v>835</v>
      </c>
      <c r="B40" s="2595"/>
      <c r="C40" s="1111"/>
      <c r="D40" s="1111"/>
      <c r="E40" s="2596"/>
      <c r="F40" s="2584"/>
      <c r="G40" s="1093"/>
      <c r="H40" s="1093"/>
      <c r="I40" s="1093"/>
    </row>
    <row r="41" spans="1:15" ht="13.8">
      <c r="A41" s="2594" t="s">
        <v>836</v>
      </c>
      <c r="B41" s="2595"/>
      <c r="C41" s="1111"/>
      <c r="D41" s="1111"/>
      <c r="E41" s="2596"/>
      <c r="F41" s="2584"/>
      <c r="G41" s="1093"/>
      <c r="H41" s="1093"/>
      <c r="I41" s="1093"/>
    </row>
    <row r="42" spans="1:15" ht="13.8">
      <c r="A42" s="2597"/>
      <c r="B42" s="2598"/>
      <c r="C42" s="2599"/>
      <c r="D42" s="2599"/>
      <c r="E42" s="2579"/>
      <c r="F42" s="2584"/>
      <c r="G42" s="1093"/>
      <c r="H42" s="1093"/>
      <c r="I42" s="1093"/>
    </row>
    <row r="43" spans="1:15" ht="13.2">
      <c r="A43" s="2600"/>
      <c r="B43" s="2600"/>
      <c r="C43" s="2600"/>
      <c r="D43" s="2600"/>
      <c r="E43" s="2600"/>
      <c r="F43" s="2601"/>
      <c r="G43" s="2601"/>
      <c r="H43" s="2601"/>
      <c r="I43" s="2655"/>
    </row>
    <row r="44" spans="1:15" ht="17.399999999999999">
      <c r="A44" s="2602" t="s">
        <v>837</v>
      </c>
      <c r="B44" s="2603"/>
      <c r="C44" s="2603"/>
      <c r="D44" s="2604"/>
      <c r="E44" s="2604"/>
      <c r="F44" s="2605"/>
      <c r="G44" s="2605"/>
      <c r="H44" s="2605"/>
      <c r="I44" s="2605"/>
      <c r="J44" s="2656" t="s">
        <v>838</v>
      </c>
      <c r="K44" s="2657"/>
      <c r="L44" s="2657"/>
      <c r="M44" s="2657"/>
      <c r="N44" s="2657"/>
      <c r="O44" s="2657"/>
    </row>
    <row r="45" spans="1:15" ht="14.25" customHeight="1">
      <c r="A45" s="3724" t="s">
        <v>839</v>
      </c>
      <c r="B45" s="3725"/>
      <c r="C45" s="3726"/>
      <c r="D45" s="2065">
        <f ca="1">ROUND(H101*F45,0)</f>
        <v>82316</v>
      </c>
      <c r="E45" s="2606" t="s">
        <v>840</v>
      </c>
      <c r="F45" s="2607">
        <v>0.56000000000000005</v>
      </c>
      <c r="G45" s="2608" t="s">
        <v>841</v>
      </c>
      <c r="H45" s="1093"/>
      <c r="I45" s="1093"/>
      <c r="J45" s="3727" t="s">
        <v>842</v>
      </c>
      <c r="K45" s="3727"/>
      <c r="L45" s="3727"/>
      <c r="M45" s="3727"/>
      <c r="N45" s="3727"/>
      <c r="O45" s="3727"/>
    </row>
    <row r="46" spans="1:15" ht="14.25" customHeight="1">
      <c r="A46" s="3728" t="s">
        <v>843</v>
      </c>
      <c r="B46" s="3729"/>
      <c r="C46" s="3729"/>
      <c r="D46" s="3729"/>
      <c r="E46" s="3729"/>
      <c r="F46" s="3729"/>
      <c r="G46" s="3730"/>
      <c r="H46" s="2609"/>
      <c r="I46" s="1094"/>
      <c r="J46" s="708">
        <v>1</v>
      </c>
      <c r="K46" s="3731" t="s">
        <v>844</v>
      </c>
      <c r="L46" s="3731"/>
      <c r="M46" s="3732"/>
      <c r="N46" s="3732"/>
      <c r="O46" s="3732"/>
    </row>
    <row r="47" spans="1:15" ht="12" customHeight="1">
      <c r="A47" s="2610" t="s">
        <v>845</v>
      </c>
      <c r="B47" s="2611"/>
      <c r="C47" s="2612"/>
      <c r="D47" s="2116" t="s">
        <v>846</v>
      </c>
      <c r="E47" s="2066" t="s">
        <v>847</v>
      </c>
      <c r="F47" s="2613" t="s">
        <v>848</v>
      </c>
      <c r="G47" s="2614" t="s">
        <v>849</v>
      </c>
      <c r="H47" s="2615"/>
      <c r="I47" s="1094"/>
      <c r="J47" s="708">
        <v>2</v>
      </c>
      <c r="K47" s="3731" t="s">
        <v>850</v>
      </c>
      <c r="L47" s="3731"/>
      <c r="M47" s="3737">
        <f>'数据-取费表'!B2</f>
        <v>44196</v>
      </c>
      <c r="N47" s="3737"/>
      <c r="O47" s="3737"/>
    </row>
    <row r="48" spans="1:15" ht="26.4">
      <c r="A48" s="3738" t="s">
        <v>851</v>
      </c>
      <c r="B48" s="3739"/>
      <c r="C48" s="3739"/>
      <c r="D48" s="2220">
        <f ca="1">IF(H48="情况1",0,IF(H48="情况2",D52,IF(H48="情况3",D53,IF(H48="情况4",D54))))</f>
        <v>4390</v>
      </c>
      <c r="E48" s="2120" t="str">
        <f>IF(H48="情况4","(销售额-原购置价)×税（费）率","销售额×税（费）率")</f>
        <v>销售额×税（费）率</v>
      </c>
      <c r="F48" s="2617">
        <f>IF(H48="情况1","免征",'数据-取费表'!B41)</f>
        <v>5.6000000000000001E-2</v>
      </c>
      <c r="G48" s="2618" t="s">
        <v>852</v>
      </c>
      <c r="H48" s="2619" t="s">
        <v>853</v>
      </c>
      <c r="I48" s="2609"/>
      <c r="J48" s="708">
        <v>3</v>
      </c>
      <c r="K48" s="3731" t="s">
        <v>854</v>
      </c>
      <c r="L48" s="3731"/>
      <c r="M48" s="3727">
        <f ca="1">H101</f>
        <v>146992</v>
      </c>
      <c r="N48" s="3727"/>
      <c r="O48" s="3727"/>
    </row>
    <row r="49" spans="1:35" ht="25.5" customHeight="1">
      <c r="A49" s="2616" t="s">
        <v>855</v>
      </c>
      <c r="B49" s="3740" t="s">
        <v>856</v>
      </c>
      <c r="C49" s="3740"/>
      <c r="D49" s="2620">
        <v>0</v>
      </c>
      <c r="E49" s="2126" t="s">
        <v>857</v>
      </c>
      <c r="F49" s="2621" t="s">
        <v>124</v>
      </c>
      <c r="G49" s="3746"/>
      <c r="H49" s="2622" t="s">
        <v>858</v>
      </c>
      <c r="I49" s="2659"/>
      <c r="J49" s="708">
        <v>4</v>
      </c>
      <c r="K49" s="3731" t="str">
        <f>IF(项目基本情况!E8="房地产抵押价值","房地产抵押价值","抵押担保权已注销时的房地产抵押价值")</f>
        <v>房地产抵押价值</v>
      </c>
      <c r="L49" s="3731"/>
      <c r="M49" s="3727">
        <f ca="1">IF(项目基本情况!E8="房地产抵押价值",H107,H109)</f>
        <v>146992</v>
      </c>
      <c r="N49" s="3727"/>
      <c r="O49" s="3727"/>
    </row>
    <row r="50" spans="1:35" ht="25.5" customHeight="1">
      <c r="A50" s="2623"/>
      <c r="B50" s="3740" t="s">
        <v>859</v>
      </c>
      <c r="C50" s="3740"/>
      <c r="D50" s="2624"/>
      <c r="E50" s="2141"/>
      <c r="F50" s="2621"/>
      <c r="G50" s="3747"/>
      <c r="H50" s="2625" t="s">
        <v>860</v>
      </c>
      <c r="I50" s="2659"/>
      <c r="J50" s="3727" t="s">
        <v>861</v>
      </c>
      <c r="K50" s="3727"/>
      <c r="L50" s="3727"/>
      <c r="M50" s="3727"/>
      <c r="N50" s="3727"/>
      <c r="O50" s="3727"/>
    </row>
    <row r="51" spans="1:35" ht="20.399999999999999" customHeight="1">
      <c r="A51" s="2626"/>
      <c r="B51" s="3740" t="s">
        <v>862</v>
      </c>
      <c r="C51" s="3740"/>
      <c r="D51" s="2116"/>
      <c r="E51" s="2130"/>
      <c r="F51" s="2621"/>
      <c r="G51" s="3748"/>
      <c r="H51" s="2625" t="s">
        <v>863</v>
      </c>
      <c r="I51" s="2659"/>
      <c r="J51" s="2658" t="s">
        <v>864</v>
      </c>
      <c r="K51" s="3731" t="s">
        <v>865</v>
      </c>
      <c r="L51" s="3731"/>
      <c r="M51" s="2658" t="s">
        <v>866</v>
      </c>
      <c r="N51" s="2658" t="s">
        <v>867</v>
      </c>
      <c r="O51" s="2658" t="s">
        <v>868</v>
      </c>
    </row>
    <row r="52" spans="1:35" ht="24" customHeight="1">
      <c r="A52" s="2627" t="s">
        <v>869</v>
      </c>
      <c r="B52" s="3740" t="s">
        <v>870</v>
      </c>
      <c r="C52" s="3740"/>
      <c r="D52" s="2116">
        <f ca="1">ROUND(D45*'数据-取费表'!B41/(1+'数据-取费表'!C42),0)</f>
        <v>4390</v>
      </c>
      <c r="E52" s="2120" t="s">
        <v>871</v>
      </c>
      <c r="F52" s="2628">
        <f>'数据-取费表'!B41</f>
        <v>5.6000000000000001E-2</v>
      </c>
      <c r="G52" s="2629"/>
      <c r="H52" s="2235"/>
      <c r="I52" s="2660"/>
      <c r="J52" s="708">
        <v>1</v>
      </c>
      <c r="K52" s="3742" t="s">
        <v>872</v>
      </c>
      <c r="L52" s="3742"/>
      <c r="M52" s="708">
        <f ca="1">D48</f>
        <v>4390</v>
      </c>
      <c r="N52" s="708" t="str">
        <f>E48</f>
        <v>销售额×税（费）率</v>
      </c>
      <c r="O52" s="2661">
        <f>F48</f>
        <v>5.6000000000000001E-2</v>
      </c>
    </row>
    <row r="53" spans="1:35" ht="12" customHeight="1">
      <c r="A53" s="2627" t="s">
        <v>873</v>
      </c>
      <c r="B53" s="3743" t="s">
        <v>874</v>
      </c>
      <c r="C53" s="3744"/>
      <c r="D53" s="2116">
        <f ca="1">ROUND(D45*'数据-取费表'!B41/(1+'数据-取费表'!C42),0)</f>
        <v>4390</v>
      </c>
      <c r="E53" s="2120" t="s">
        <v>871</v>
      </c>
      <c r="F53" s="2628">
        <f>'数据-取费表'!B41</f>
        <v>5.6000000000000001E-2</v>
      </c>
      <c r="G53" s="2629"/>
      <c r="H53" s="2235"/>
      <c r="I53" s="2660"/>
      <c r="J53" s="708">
        <v>2</v>
      </c>
      <c r="K53" s="3742" t="s">
        <v>875</v>
      </c>
      <c r="L53" s="3742"/>
      <c r="M53" s="708">
        <f t="shared" ref="M53:O54" ca="1" si="0">D55</f>
        <v>41</v>
      </c>
      <c r="N53" s="708" t="str">
        <f t="shared" si="0"/>
        <v>销售额×税（费）率</v>
      </c>
      <c r="O53" s="2661">
        <f t="shared" si="0"/>
        <v>5.0000000000000001E-4</v>
      </c>
    </row>
    <row r="54" spans="1:35" ht="12" customHeight="1">
      <c r="A54" s="2627" t="s">
        <v>876</v>
      </c>
      <c r="B54" s="3743" t="s">
        <v>877</v>
      </c>
      <c r="C54" s="3744"/>
      <c r="D54" s="2116">
        <f ca="1">C68</f>
        <v>4390</v>
      </c>
      <c r="E54" s="2130" t="s">
        <v>878</v>
      </c>
      <c r="F54" s="2628">
        <f>'数据-取费表'!B41</f>
        <v>5.6000000000000001E-2</v>
      </c>
      <c r="G54" s="2629"/>
      <c r="H54" s="2630"/>
      <c r="I54" s="2660"/>
      <c r="J54" s="708">
        <v>3</v>
      </c>
      <c r="K54" s="3742" t="s">
        <v>879</v>
      </c>
      <c r="L54" s="3742"/>
      <c r="M54" s="708">
        <f t="shared" ca="1" si="0"/>
        <v>7920</v>
      </c>
      <c r="N54" s="708" t="str">
        <f t="shared" si="0"/>
        <v>增值额×税（费）率</v>
      </c>
      <c r="O54" s="2662" t="str">
        <f t="shared" si="0"/>
        <v>——</v>
      </c>
    </row>
    <row r="55" spans="1:35" ht="24" customHeight="1">
      <c r="A55" s="3745" t="s">
        <v>880</v>
      </c>
      <c r="B55" s="3739"/>
      <c r="C55" s="3739"/>
      <c r="D55" s="2220">
        <f ca="1">IF(H55="个人住宅",0,ROUND(D45*I55,0))</f>
        <v>41</v>
      </c>
      <c r="E55" s="2120" t="s">
        <v>881</v>
      </c>
      <c r="F55" s="2628">
        <f>IF(H55="正常",I55,"免征")</f>
        <v>5.0000000000000001E-4</v>
      </c>
      <c r="G55" s="2629"/>
      <c r="H55" s="2619" t="s">
        <v>882</v>
      </c>
      <c r="I55" s="2663">
        <f>'数据-取费表'!B49</f>
        <v>5.0000000000000001E-4</v>
      </c>
      <c r="J55" s="708" t="str">
        <f>IF(H59="非个人房产","",4)</f>
        <v/>
      </c>
      <c r="K55" s="3742" t="str">
        <f>IF(H59="非个人房产","——","个人所得税")</f>
        <v>——</v>
      </c>
      <c r="L55" s="3742"/>
      <c r="M55" s="689" t="str">
        <f>D59</f>
        <v>——</v>
      </c>
      <c r="N55" s="689" t="str">
        <f>E59</f>
        <v>——</v>
      </c>
      <c r="O55" s="2664" t="str">
        <f>F59</f>
        <v>——</v>
      </c>
    </row>
    <row r="56" spans="1:35" ht="25.2">
      <c r="A56" s="3745" t="s">
        <v>883</v>
      </c>
      <c r="B56" s="3739"/>
      <c r="C56" s="3739"/>
      <c r="D56" s="2220">
        <f ca="1">IF(H56="个人住宅",D57,D58)</f>
        <v>7920</v>
      </c>
      <c r="E56" s="2120" t="s">
        <v>884</v>
      </c>
      <c r="F56" s="2628" t="str">
        <f>IF(H56="正常",F58,"免征")</f>
        <v>——</v>
      </c>
      <c r="G56" s="2631" t="s">
        <v>885</v>
      </c>
      <c r="H56" s="2632" t="s">
        <v>882</v>
      </c>
      <c r="I56" s="2641"/>
      <c r="J56" s="708" t="str">
        <f>IF(项目基本情况!K6="上海银行",IF(J55="",4,J55+1),"")</f>
        <v/>
      </c>
      <c r="K56" s="3749" t="str">
        <f>IF(项目基本情况!K6="上海银行","其他处置费用","")</f>
        <v/>
      </c>
      <c r="L56" s="3750"/>
      <c r="M56" s="708" t="str">
        <f>IF(项目基本情况!K6="上海银行",M69,"")</f>
        <v/>
      </c>
      <c r="N56" s="3749" t="str">
        <f>IF(项目基本情况!K6="上海银行","包含处置中涉及的律师、诉讼、拍卖、评估等费用","")</f>
        <v/>
      </c>
      <c r="O56" s="3751"/>
    </row>
    <row r="57" spans="1:35" ht="13.2">
      <c r="A57" s="2627" t="s">
        <v>855</v>
      </c>
      <c r="B57" s="3743" t="s">
        <v>886</v>
      </c>
      <c r="C57" s="3744"/>
      <c r="D57" s="2620">
        <v>0</v>
      </c>
      <c r="E57" s="2126" t="s">
        <v>857</v>
      </c>
      <c r="F57" s="2066"/>
      <c r="G57" s="2629"/>
      <c r="H57" s="2633"/>
      <c r="I57" s="2641"/>
      <c r="J57" s="3742">
        <f>IF(AND(J55="",J56=""),4,IF(项目基本情况!K6="上海银行",结果表!J56+1,结果表!J55+1))</f>
        <v>4</v>
      </c>
      <c r="K57" s="3742" t="s">
        <v>887</v>
      </c>
      <c r="L57" s="2666" t="s">
        <v>888</v>
      </c>
      <c r="M57" s="2667"/>
      <c r="N57" s="2668">
        <f ca="1">SUMIF(M52:M56,"&lt;9e307")</f>
        <v>12351</v>
      </c>
      <c r="O57" s="2669"/>
      <c r="P57" s="2670">
        <f ca="1">N57/M49</f>
        <v>8.4024980951344294E-2</v>
      </c>
    </row>
    <row r="58" spans="1:35" ht="25.2">
      <c r="A58" s="2627" t="s">
        <v>869</v>
      </c>
      <c r="B58" s="3743" t="s">
        <v>889</v>
      </c>
      <c r="C58" s="3740"/>
      <c r="D58" s="2220">
        <f ca="1">IF(H58="转让取得",C81,C97)</f>
        <v>7920</v>
      </c>
      <c r="E58" s="2120" t="s">
        <v>884</v>
      </c>
      <c r="F58" s="2066" t="s">
        <v>124</v>
      </c>
      <c r="G58" s="2629"/>
      <c r="H58" s="2632" t="s">
        <v>890</v>
      </c>
      <c r="I58" s="2641"/>
      <c r="J58" s="3742"/>
      <c r="K58" s="3742"/>
      <c r="L58" s="2666" t="s">
        <v>891</v>
      </c>
      <c r="M58" s="2666"/>
      <c r="N58" s="2665" t="str">
        <f ca="1">NUMBERSTRING(INT(N57*10000),2)&amp;"元整"</f>
        <v>壹亿贰仟叁佰伍拾壹万元整</v>
      </c>
      <c r="O58" s="2671"/>
    </row>
    <row r="59" spans="1:35" ht="24">
      <c r="A59" s="3752" t="s">
        <v>892</v>
      </c>
      <c r="B59" s="3753"/>
      <c r="C59" s="3753"/>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885</v>
      </c>
      <c r="H59" s="2638" t="s">
        <v>893</v>
      </c>
      <c r="I59" s="2672" t="s">
        <v>894</v>
      </c>
      <c r="J59" s="3757">
        <f>J57+1</f>
        <v>5</v>
      </c>
      <c r="K59" s="3742" t="s">
        <v>895</v>
      </c>
      <c r="L59" s="708" t="s">
        <v>888</v>
      </c>
      <c r="M59" s="2673"/>
      <c r="N59" s="2674">
        <f ca="1">M49-N57</f>
        <v>134641</v>
      </c>
      <c r="O59" s="2675"/>
    </row>
    <row r="60" spans="1:35" ht="12" customHeight="1">
      <c r="A60" s="2639"/>
      <c r="B60" s="2514"/>
      <c r="C60" s="2514"/>
      <c r="D60" s="2514"/>
      <c r="E60" s="2640"/>
      <c r="F60" s="2641"/>
      <c r="G60" s="2641"/>
      <c r="H60" s="2642"/>
      <c r="I60" s="1093"/>
      <c r="J60" s="3758"/>
      <c r="K60" s="3742"/>
      <c r="L60" s="2666" t="s">
        <v>891</v>
      </c>
      <c r="M60" s="2666"/>
      <c r="N60" s="2665" t="str">
        <f ca="1">NUMBERSTRING(INT(N59*10000),2)&amp;"元整"</f>
        <v>壹拾叁亿肆仟陆佰肆拾壹万元整</v>
      </c>
      <c r="O60" s="2671"/>
    </row>
    <row r="61" spans="1:35" ht="13.2">
      <c r="A61" s="3754" t="s">
        <v>896</v>
      </c>
      <c r="B61" s="3754"/>
      <c r="C61" s="3754"/>
      <c r="D61" s="3754"/>
      <c r="E61" s="3754"/>
      <c r="F61" s="2641"/>
      <c r="G61" s="2641"/>
      <c r="H61" s="2642"/>
      <c r="I61" s="1093"/>
      <c r="J61" s="708">
        <f>J59+1</f>
        <v>6</v>
      </c>
      <c r="K61" s="3742" t="s">
        <v>897</v>
      </c>
      <c r="L61" s="3742"/>
      <c r="M61" s="2676"/>
      <c r="N61" s="2677">
        <f ca="1">ROUND(N59*10000/'数据-汇总表'!E3,0)</f>
        <v>49322</v>
      </c>
      <c r="O61" s="2678"/>
    </row>
    <row r="62" spans="1:35" ht="13.2">
      <c r="A62" s="3755" t="s">
        <v>898</v>
      </c>
      <c r="B62" s="3756"/>
      <c r="C62" s="659"/>
      <c r="D62" s="659" t="s">
        <v>899</v>
      </c>
      <c r="E62" s="2643" t="s">
        <v>849</v>
      </c>
      <c r="F62" s="2641"/>
      <c r="G62" s="2641"/>
      <c r="H62" s="2642"/>
      <c r="I62" s="1093"/>
    </row>
    <row r="63" spans="1:35" ht="13.2">
      <c r="A63" s="2644" t="s">
        <v>900</v>
      </c>
      <c r="B63" s="718" t="s">
        <v>901</v>
      </c>
      <c r="C63" s="2645">
        <f ca="1">ROUND((C64+C65)/(1+'数据-取费表'!C42),0)</f>
        <v>78396</v>
      </c>
      <c r="D63" s="718"/>
      <c r="E63" s="2646"/>
      <c r="F63" s="2641"/>
      <c r="G63" s="2641"/>
      <c r="H63" s="2642"/>
      <c r="I63" s="1093"/>
      <c r="J63" s="3741" t="s">
        <v>902</v>
      </c>
      <c r="K63" s="2679" t="s">
        <v>903</v>
      </c>
      <c r="L63" s="2679">
        <f ca="1">IF(M49&gt;10000,M49*0.5%,IF(AND(M49&gt;1000,M49&lt;=10000),M49*1%,IF(AND(M49&gt;100,M49&lt;=1000),M49*3%,IF(AND(M49&gt;10,M49&lt;=100),M49*5%,M49*8%))))</f>
        <v>734.96</v>
      </c>
      <c r="M63" s="2066">
        <f ca="1">ROUND(L63,1)</f>
        <v>735</v>
      </c>
      <c r="N63" s="2680"/>
      <c r="Z63" s="2511"/>
      <c r="AI63" s="2512"/>
    </row>
    <row r="64" spans="1:35" ht="14.25" customHeight="1">
      <c r="A64" s="2647" t="s">
        <v>904</v>
      </c>
      <c r="B64" s="645" t="s">
        <v>905</v>
      </c>
      <c r="C64" s="2648">
        <f ca="1">D45</f>
        <v>82316</v>
      </c>
      <c r="D64" s="645" t="s">
        <v>124</v>
      </c>
      <c r="E64" s="2649"/>
      <c r="F64" s="2641"/>
      <c r="G64" s="2641"/>
      <c r="H64" s="2642"/>
      <c r="I64" s="1093"/>
      <c r="J64" s="3741"/>
      <c r="K64" s="2679" t="s">
        <v>906</v>
      </c>
      <c r="L64" s="2679">
        <f ca="1">IF(M49&gt;2000,M49*0.5%,IF(AND(M49&gt;1000,M49&lt;=2000),M49*0.6%,IF(AND(M49&gt;500,M49&lt;=1000),M49*0.7%,IF(AND(M49&gt;200,M49&lt;=500),M49*0.8%,IF(AND(M49&gt;100,M49&lt;=200),M49*0.9%,IF(AND(M49&gt;50,M49&lt;=100),M49*1%,IF(AND(M49&gt;20,M49&lt;=50),M49*1.5%,IF(AND(M49&gt;10,M49&lt;=20),M49*2%,IF(AND(M49&gt;1,M49&lt;=10),M49*2.5%)))))))))</f>
        <v>734.96</v>
      </c>
      <c r="M64" s="2066">
        <f t="shared" ref="M64:M65" ca="1" si="1">ROUND(L64,1)</f>
        <v>735</v>
      </c>
      <c r="N64" s="2235" t="s">
        <v>907</v>
      </c>
      <c r="Z64" s="2511"/>
      <c r="AI64" s="2512"/>
    </row>
    <row r="65" spans="1:35" ht="14.25" customHeight="1">
      <c r="A65" s="2647" t="s">
        <v>908</v>
      </c>
      <c r="B65" s="645" t="s">
        <v>909</v>
      </c>
      <c r="C65" s="2682"/>
      <c r="D65" s="645"/>
      <c r="E65" s="2649"/>
      <c r="F65" s="2641"/>
      <c r="G65" s="2641"/>
      <c r="H65" s="2642"/>
      <c r="I65" s="1093"/>
      <c r="J65" s="3741"/>
      <c r="K65" s="2679" t="s">
        <v>910</v>
      </c>
      <c r="L65" s="2679">
        <f ca="1">IF(M49&gt;1000,M49*0.1%,IF(AND(M49&gt;500,M49&lt;=1000),M49*0.5%,IF(AND(M49&gt;50,M49&lt;=500),M49*1%,IF(AND(M49&gt;1,M49&lt;=50),M49*1.5%))))</f>
        <v>146.99199999999999</v>
      </c>
      <c r="M65" s="2066">
        <f t="shared" ca="1" si="1"/>
        <v>147</v>
      </c>
      <c r="N65" s="2235" t="s">
        <v>907</v>
      </c>
      <c r="Z65" s="2511"/>
      <c r="AI65" s="2512"/>
    </row>
    <row r="66" spans="1:35" ht="14.25" customHeight="1">
      <c r="A66" s="2644" t="s">
        <v>911</v>
      </c>
      <c r="B66" s="2683" t="s">
        <v>912</v>
      </c>
      <c r="C66" s="2684"/>
      <c r="D66" s="2683" t="s">
        <v>124</v>
      </c>
      <c r="E66" s="2685" t="s">
        <v>913</v>
      </c>
      <c r="F66" s="2641"/>
      <c r="G66" s="2641"/>
      <c r="H66" s="2642"/>
      <c r="I66" s="1093"/>
      <c r="J66" s="3741"/>
      <c r="K66" s="2679" t="s">
        <v>914</v>
      </c>
      <c r="L66" s="2679">
        <f ca="1">M49*0.5%</f>
        <v>734.96</v>
      </c>
      <c r="M66" s="2066">
        <f ca="1">IF(L66&gt;0.5,0.5,ROUND(L66,0))</f>
        <v>0.5</v>
      </c>
      <c r="N66" s="2235" t="s">
        <v>915</v>
      </c>
      <c r="Z66" s="2511"/>
      <c r="AI66" s="2512"/>
    </row>
    <row r="67" spans="1:35" ht="14.25" customHeight="1">
      <c r="A67" s="2644" t="s">
        <v>916</v>
      </c>
      <c r="B67" s="2683" t="s">
        <v>917</v>
      </c>
      <c r="C67" s="2686">
        <f ca="1">C63-C66</f>
        <v>78396</v>
      </c>
      <c r="D67" s="645" t="s">
        <v>124</v>
      </c>
      <c r="E67" s="2649"/>
      <c r="F67" s="2641"/>
      <c r="G67" s="2641"/>
      <c r="H67" s="2642"/>
      <c r="I67" s="1093"/>
      <c r="J67" s="3741"/>
      <c r="K67" s="2679" t="s">
        <v>918</v>
      </c>
      <c r="L67" s="2679">
        <f ca="1">IF(M49&gt;=10000,(8.25+(M49-10000)*0.01%),IF(AND(M49&gt;=8000,M49&lt;10000),(7.85+(M49-8000)*0.02%),IF(AND(M49&gt;=5000,M49&lt;8000),(6.65+(M49-5000)*0.04%),IF(AND(M49&gt;=2000,M49&lt;5000),(4.25+(PM49-2000)*0.08%),IF(AND(M49&gt;=1000,M49&lt;2000),(2.75+(M49-1000)*0.15%),IF(AND(M49&gt;=100,M49&lt;1000),(0.5+(M49-100)*0.25%),IF(AND(M49&gt;0,M49&lt;100),M49*0.5%)))))))</f>
        <v>21.949200000000001</v>
      </c>
      <c r="M67" s="2066">
        <f ca="1">ROUND(L67*0.9,1)</f>
        <v>19.8</v>
      </c>
      <c r="N67" s="2680"/>
      <c r="Z67" s="2511"/>
      <c r="AI67" s="2512"/>
    </row>
    <row r="68" spans="1:35" ht="14.25" customHeight="1">
      <c r="A68" s="2687" t="s">
        <v>919</v>
      </c>
      <c r="B68" s="2688" t="s">
        <v>920</v>
      </c>
      <c r="C68" s="2689">
        <f ca="1">IF(C67&lt;=0,0,ROUND(C67*D68,0))</f>
        <v>4390</v>
      </c>
      <c r="D68" s="911">
        <f>'数据-取费表'!B41</f>
        <v>5.6000000000000001E-2</v>
      </c>
      <c r="E68" s="2690"/>
      <c r="F68" s="2641"/>
      <c r="G68" s="2641"/>
      <c r="H68" s="2642"/>
      <c r="I68" s="1093"/>
      <c r="J68" s="3741"/>
      <c r="K68" s="2679" t="s">
        <v>921</v>
      </c>
      <c r="L68" s="2679">
        <f ca="1">IF(M49&gt;10000,M49*0.5%,IF(AND(M49&gt;5000,M49&lt;=10000),M49*1%,IF(AND(M49&gt;1000,M49&lt;=5000),M49*2%,IF(AND(M49&gt;200,M49&lt;=1000),M49*3%,M49*5%))))</f>
        <v>734.96</v>
      </c>
      <c r="M68" s="2066">
        <f ca="1">ROUND(L68,1)</f>
        <v>735</v>
      </c>
      <c r="N68" s="2680"/>
      <c r="Z68" s="2511"/>
      <c r="AI68" s="2512"/>
    </row>
    <row r="69" spans="1:35" s="2509" customFormat="1" ht="16.5" customHeight="1">
      <c r="A69" s="2691"/>
      <c r="B69" s="2692"/>
      <c r="C69" s="2693"/>
      <c r="D69" s="828"/>
      <c r="E69" s="2694"/>
      <c r="F69" s="2640"/>
      <c r="G69" s="2640"/>
      <c r="H69" s="2600"/>
      <c r="I69" s="2514"/>
      <c r="J69" s="3741"/>
      <c r="K69" s="2679" t="s">
        <v>922</v>
      </c>
      <c r="L69" s="2679"/>
      <c r="M69" s="2066">
        <f ca="1">ROUND(SUM(M63:M68),0)</f>
        <v>2372</v>
      </c>
      <c r="N69" s="2757">
        <f ca="1">M69/M49</f>
        <v>1.613693262218352E-2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3.8">
      <c r="A70" s="3779" t="s">
        <v>923</v>
      </c>
      <c r="B70" s="3780"/>
      <c r="C70" s="3780"/>
      <c r="D70" s="3780"/>
      <c r="E70" s="3780"/>
      <c r="F70" s="3780"/>
      <c r="G70" s="3780"/>
      <c r="H70" s="3780"/>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3.8">
      <c r="A71" s="3755" t="s">
        <v>898</v>
      </c>
      <c r="B71" s="3756"/>
      <c r="C71" s="659"/>
      <c r="D71" s="659" t="s">
        <v>899</v>
      </c>
      <c r="E71" s="2695" t="s">
        <v>849</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3.8">
      <c r="A72" s="2644" t="s">
        <v>900</v>
      </c>
      <c r="B72" s="2683" t="s">
        <v>924</v>
      </c>
      <c r="C72" s="2686">
        <f ca="1">ROUND(D45/(1+'数据-取费表'!C42),0)</f>
        <v>78396</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3.8">
      <c r="A73" s="2644" t="s">
        <v>911</v>
      </c>
      <c r="B73" s="2613" t="s">
        <v>925</v>
      </c>
      <c r="C73" s="2686">
        <f ca="1">C74+C78</f>
        <v>470</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904</v>
      </c>
      <c r="B74" s="645" t="s">
        <v>926</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28.8">
      <c r="A75" s="2647" t="s">
        <v>927</v>
      </c>
      <c r="B75" s="645" t="s">
        <v>928</v>
      </c>
      <c r="C75" s="2699"/>
      <c r="D75" s="645" t="s">
        <v>124</v>
      </c>
      <c r="E75" s="2700" t="s">
        <v>929</v>
      </c>
      <c r="F75" s="2701"/>
      <c r="G75" s="2700" t="s">
        <v>930</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931</v>
      </c>
      <c r="B76" s="2703" t="s">
        <v>932</v>
      </c>
      <c r="C76" s="645">
        <f>IF(F75="购房发票",ROUND(C75*H75*D76,0),0)</f>
        <v>0</v>
      </c>
      <c r="D76" s="2704">
        <v>0.05</v>
      </c>
      <c r="E76" s="3743" t="s">
        <v>933</v>
      </c>
      <c r="F76" s="3740"/>
      <c r="G76" s="3740"/>
      <c r="H76" s="3781"/>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934</v>
      </c>
      <c r="B77" s="645" t="s">
        <v>935</v>
      </c>
      <c r="C77" s="645">
        <f>ROUND(IF(G77="个人住宅",0,IF(G77="2016年5月1日前购买",C75*D77,C75*D77/(1+'数据-取费表'!C42))),0)</f>
        <v>0</v>
      </c>
      <c r="D77" s="2706">
        <f>'数据-取费表'!B48+'数据-取费表'!B49</f>
        <v>3.0499999999999999E-2</v>
      </c>
      <c r="E77" s="2220" t="s">
        <v>936</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908</v>
      </c>
      <c r="B78" s="645" t="s">
        <v>937</v>
      </c>
      <c r="C78" s="2709">
        <f ca="1">ROUND(D45*D78/(1+'数据-取费表'!C42),0)</f>
        <v>470</v>
      </c>
      <c r="D78" s="2710">
        <f>'数据-取费表'!B43</f>
        <v>6.000000000000001E-3</v>
      </c>
      <c r="E78" s="3782" t="s">
        <v>938</v>
      </c>
      <c r="F78" s="3783"/>
      <c r="G78" s="3783"/>
      <c r="H78" s="3784"/>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3.8">
      <c r="A79" s="2644" t="s">
        <v>916</v>
      </c>
      <c r="B79" s="2683" t="s">
        <v>939</v>
      </c>
      <c r="C79" s="2686">
        <f ca="1">C72-C73</f>
        <v>77926</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919</v>
      </c>
      <c r="B80" s="2683" t="s">
        <v>940</v>
      </c>
      <c r="C80" s="2714">
        <f ca="1">IF(C79&lt;=0,0,C79/C73)</f>
        <v>165.8</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941</v>
      </c>
      <c r="B81" s="2688" t="s">
        <v>942</v>
      </c>
      <c r="C81" s="2715">
        <f ca="1">ROUND(IF(C79&lt;=0,0,IF(C80&gt;=200%,C79*60%-C73*35%,IF(C80&gt;=100%,C79*50%-C73*15%,IF(C80&gt;=50%,C79*40%-C73*5%,IF(C80&lt;50%,C79*30%,0))))),0)</f>
        <v>46591</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3.8">
      <c r="A83" s="3779" t="s">
        <v>943</v>
      </c>
      <c r="B83" s="3780"/>
      <c r="C83" s="3780"/>
      <c r="D83" s="3780"/>
      <c r="E83" s="3780"/>
      <c r="F83" s="3780"/>
      <c r="G83" s="3780"/>
      <c r="H83" s="3780"/>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3.8">
      <c r="A84" s="3755" t="s">
        <v>898</v>
      </c>
      <c r="B84" s="3756"/>
      <c r="C84" s="659"/>
      <c r="D84" s="659" t="s">
        <v>899</v>
      </c>
      <c r="E84" s="2695" t="s">
        <v>849</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3.8">
      <c r="A85" s="2644" t="s">
        <v>900</v>
      </c>
      <c r="B85" s="2683" t="s">
        <v>924</v>
      </c>
      <c r="C85" s="2686">
        <f ca="1">ROUND(D45/(1+'数据-取费表'!C42),0)</f>
        <v>78396</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3.8">
      <c r="A86" s="2644" t="s">
        <v>911</v>
      </c>
      <c r="B86" s="2613" t="s">
        <v>925</v>
      </c>
      <c r="C86" s="2686">
        <f ca="1">IF(H88="仅含出让金",C87+C90+C91+C92+C93+C94,C87+C91+C92+C93+C94)</f>
        <v>52085.691093599999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3.8">
      <c r="A87" s="2647" t="s">
        <v>904</v>
      </c>
      <c r="B87" s="645" t="s">
        <v>944</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26.4">
      <c r="A88" s="2647" t="s">
        <v>927</v>
      </c>
      <c r="B88" s="645" t="s">
        <v>945</v>
      </c>
      <c r="C88" s="2726">
        <v>4091.3064380000001</v>
      </c>
      <c r="D88" s="2710"/>
      <c r="E88" s="2727" t="s">
        <v>946</v>
      </c>
      <c r="F88" s="2712"/>
      <c r="G88" s="2728" t="s">
        <v>947</v>
      </c>
      <c r="H88" s="2729" t="s">
        <v>948</v>
      </c>
      <c r="I88" s="930"/>
      <c r="J88" s="2763" t="s">
        <v>949</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3.8">
      <c r="A89" s="2647" t="s">
        <v>931</v>
      </c>
      <c r="B89" s="645" t="s">
        <v>935</v>
      </c>
      <c r="C89" s="2709">
        <f>ROUND(C88*D89,0)</f>
        <v>125</v>
      </c>
      <c r="D89" s="2710">
        <f>'数据-取费表'!B48+'数据-取费表'!B49</f>
        <v>3.0499999999999999E-2</v>
      </c>
      <c r="E89" s="2727" t="s">
        <v>950</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4">
      <c r="A90" s="2647" t="s">
        <v>908</v>
      </c>
      <c r="B90" s="645" t="s">
        <v>951</v>
      </c>
      <c r="C90" s="2726"/>
      <c r="D90" s="2710"/>
      <c r="E90" s="2727" t="str">
        <f>IF(H88="-","土地取得成本中已包含该笔费用"," ")</f>
        <v xml:space="preserve"> </v>
      </c>
      <c r="F90" s="2712"/>
      <c r="G90" s="3791" t="s">
        <v>952</v>
      </c>
      <c r="H90" s="3792"/>
      <c r="I90" s="930"/>
      <c r="J90" s="2763" t="s">
        <v>953</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954</v>
      </c>
      <c r="B91" s="645" t="s">
        <v>955</v>
      </c>
      <c r="C91" s="2709">
        <f>IF(H91="——",成本法!C33,I91)</f>
        <v>35488.436139999998</v>
      </c>
      <c r="D91" s="2710"/>
      <c r="E91" s="3782" t="s">
        <v>956</v>
      </c>
      <c r="F91" s="3783"/>
      <c r="G91" s="3783"/>
      <c r="H91" s="2730" t="s">
        <v>957</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958</v>
      </c>
      <c r="B92" s="645" t="s">
        <v>959</v>
      </c>
      <c r="C92" s="2709">
        <f>ROUND((C87+C90+C91)*D92,0)</f>
        <v>3970</v>
      </c>
      <c r="D92" s="2731">
        <v>0.1</v>
      </c>
      <c r="E92" s="3782" t="s">
        <v>960</v>
      </c>
      <c r="F92" s="3783"/>
      <c r="G92" s="3783"/>
      <c r="H92" s="3784"/>
      <c r="I92" s="930"/>
      <c r="J92" s="2765" t="s">
        <v>961</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962</v>
      </c>
      <c r="B93" s="645" t="s">
        <v>937</v>
      </c>
      <c r="C93" s="2709">
        <f ca="1">ROUND(D45*D93/(1+'数据-取费表'!C42),0)</f>
        <v>470</v>
      </c>
      <c r="D93" s="2710">
        <f>'数据-取费表'!B43</f>
        <v>6.000000000000001E-3</v>
      </c>
      <c r="E93" s="3782" t="s">
        <v>938</v>
      </c>
      <c r="F93" s="3783"/>
      <c r="G93" s="3783"/>
      <c r="H93" s="3784"/>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963</v>
      </c>
      <c r="B94" s="645" t="s">
        <v>964</v>
      </c>
      <c r="C94" s="2726">
        <f>(C87+C90+C91)*D94</f>
        <v>7940.9485156000001</v>
      </c>
      <c r="D94" s="2710">
        <v>0.2</v>
      </c>
      <c r="E94" s="3804" t="s">
        <v>965</v>
      </c>
      <c r="F94" s="3805"/>
      <c r="G94" s="3805"/>
      <c r="H94" s="3806"/>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3.8">
      <c r="A95" s="2644" t="s">
        <v>916</v>
      </c>
      <c r="B95" s="2683" t="s">
        <v>939</v>
      </c>
      <c r="C95" s="2686">
        <f ca="1">ROUND(C85-C86,0)</f>
        <v>26310</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919</v>
      </c>
      <c r="B96" s="2683" t="s">
        <v>940</v>
      </c>
      <c r="C96" s="2714">
        <f ca="1">IF(C95&lt;=0,0,C95/C86)</f>
        <v>0.50512913331071896</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941</v>
      </c>
      <c r="B97" s="2688" t="s">
        <v>942</v>
      </c>
      <c r="C97" s="2715">
        <f ca="1">ROUND(IF(C95&lt;=0,0,IF(C96&gt;=200%,C95*60%-C86*35%,IF(C96&gt;=100%,C95*50%-C86*15%,IF(C96&gt;=50%,C95*40%-C86*5%,IF(C96&lt;50%,C95*30%,0))))),0)</f>
        <v>7920</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966</v>
      </c>
      <c r="B99" s="2514"/>
      <c r="C99" s="2514"/>
      <c r="D99" s="2514"/>
      <c r="E99" s="2640"/>
      <c r="F99" s="2640"/>
      <c r="G99" s="2640"/>
      <c r="H99" s="2600"/>
      <c r="I99" s="1093"/>
    </row>
    <row r="100" spans="1:35" ht="18.75" customHeight="1">
      <c r="A100" s="3708" t="s">
        <v>967</v>
      </c>
      <c r="B100" s="3709"/>
      <c r="C100" s="3709"/>
      <c r="D100" s="3767"/>
      <c r="E100" s="3709" t="s">
        <v>968</v>
      </c>
      <c r="F100" s="3709"/>
      <c r="G100" s="3709"/>
      <c r="H100" s="3767"/>
      <c r="I100" s="1093"/>
    </row>
    <row r="101" spans="1:35" ht="18.75" customHeight="1">
      <c r="A101" s="3768" t="s">
        <v>969</v>
      </c>
      <c r="B101" s="3769"/>
      <c r="C101" s="2734" t="str">
        <f>C4</f>
        <v>比较法-商业-2021案例</v>
      </c>
      <c r="D101" s="2735" t="str">
        <f>D4</f>
        <v>收益法</v>
      </c>
      <c r="E101" s="3790" t="s">
        <v>970</v>
      </c>
      <c r="F101" s="3786"/>
      <c r="G101" s="2737" t="s">
        <v>971</v>
      </c>
      <c r="H101" s="2738">
        <f ca="1">H118</f>
        <v>146992</v>
      </c>
      <c r="I101" s="1093"/>
    </row>
    <row r="102" spans="1:35" ht="18.75" customHeight="1">
      <c r="A102" s="3799" t="s">
        <v>972</v>
      </c>
      <c r="B102" s="2739" t="s">
        <v>971</v>
      </c>
      <c r="C102" s="2734">
        <f ca="1">IF(D32="楼面单价",ROUND(C19,0),C19)</f>
        <v>161786</v>
      </c>
      <c r="D102" s="2735">
        <f ca="1">IF(D32="楼面单价",ROUND(D19,0),D19)</f>
        <v>132197</v>
      </c>
      <c r="E102" s="3790"/>
      <c r="F102" s="3786"/>
      <c r="G102" s="2737" t="s">
        <v>99</v>
      </c>
      <c r="H102" s="2629">
        <f ca="1">I118</f>
        <v>53847</v>
      </c>
      <c r="I102" s="1093"/>
    </row>
    <row r="103" spans="1:35" ht="42.75" customHeight="1">
      <c r="A103" s="3799"/>
      <c r="B103" s="2739" t="s">
        <v>99</v>
      </c>
      <c r="C103" s="2740">
        <f ca="1">C20</f>
        <v>59266</v>
      </c>
      <c r="D103" s="2741">
        <f ca="1">D20</f>
        <v>48427</v>
      </c>
      <c r="E103" s="3770" t="s">
        <v>973</v>
      </c>
      <c r="F103" s="3771"/>
      <c r="G103" s="2742" t="s">
        <v>102</v>
      </c>
      <c r="H103" s="2738">
        <f>IF(D36="正常操作",H104+H105+H106,H105+H106)</f>
        <v>0</v>
      </c>
      <c r="I103" s="1093"/>
    </row>
    <row r="104" spans="1:35" ht="18.75" customHeight="1">
      <c r="A104" s="3799" t="s">
        <v>974</v>
      </c>
      <c r="B104" s="2743" t="s">
        <v>971</v>
      </c>
      <c r="C104" s="2744">
        <f ca="1">H118</f>
        <v>146992</v>
      </c>
      <c r="D104" s="2745"/>
      <c r="E104" s="2585" t="s">
        <v>975</v>
      </c>
      <c r="F104" s="2746"/>
      <c r="G104" s="2742" t="s">
        <v>102</v>
      </c>
      <c r="H104" s="2747">
        <f>IF(D36="同一抵押权人同一抵押物续贷",C36&amp;"（续贷，未扣减，详见特别提示）",C36)</f>
        <v>0</v>
      </c>
      <c r="I104" s="1093"/>
    </row>
    <row r="105" spans="1:35" ht="18.75" customHeight="1">
      <c r="A105" s="3800"/>
      <c r="B105" s="2748" t="s">
        <v>99</v>
      </c>
      <c r="C105" s="2749">
        <f ca="1">I118</f>
        <v>53847</v>
      </c>
      <c r="D105" s="2750"/>
      <c r="E105" s="2585" t="s">
        <v>976</v>
      </c>
      <c r="F105" s="2746"/>
      <c r="G105" s="2742" t="s">
        <v>102</v>
      </c>
      <c r="H105" s="2751">
        <f>C37</f>
        <v>0</v>
      </c>
      <c r="I105" s="1093"/>
    </row>
    <row r="106" spans="1:35" ht="18.75" customHeight="1">
      <c r="A106" s="2514" t="s">
        <v>977</v>
      </c>
      <c r="B106" s="2514"/>
      <c r="C106" s="2514"/>
      <c r="D106" s="2514"/>
      <c r="E106" s="2752" t="s">
        <v>978</v>
      </c>
      <c r="F106" s="2746"/>
      <c r="G106" s="2742" t="s">
        <v>102</v>
      </c>
      <c r="H106" s="2751">
        <f>C38</f>
        <v>0</v>
      </c>
      <c r="I106" s="1093"/>
    </row>
    <row r="107" spans="1:35" ht="18.75" customHeight="1">
      <c r="A107" s="1093"/>
      <c r="B107" s="1093"/>
      <c r="C107" s="1093"/>
      <c r="D107" s="1093"/>
      <c r="E107" s="3785" t="str">
        <f>IF(项目基本情况!E8="已注销","——","3.房地产抵押价值")</f>
        <v>3.房地产抵押价值</v>
      </c>
      <c r="F107" s="3786"/>
      <c r="G107" s="2737" t="s">
        <v>971</v>
      </c>
      <c r="H107" s="2738">
        <f ca="1">IF(E107="——","——",H101-H103)</f>
        <v>146992</v>
      </c>
      <c r="I107" s="1093"/>
    </row>
    <row r="108" spans="1:35" ht="18.75" customHeight="1">
      <c r="A108" s="1093"/>
      <c r="B108" s="1093"/>
      <c r="C108" s="1093"/>
      <c r="D108" s="1093"/>
      <c r="E108" s="3785"/>
      <c r="F108" s="3786"/>
      <c r="G108" s="2737" t="s">
        <v>99</v>
      </c>
      <c r="H108" s="2629">
        <f ca="1">IF(H107=H101,H102,ROUND(H107*10000/'数据-汇总表'!E3,0))</f>
        <v>53847</v>
      </c>
      <c r="I108" s="1093"/>
    </row>
    <row r="109" spans="1:35" ht="18.75" customHeight="1">
      <c r="A109" s="1093"/>
      <c r="B109" s="1093"/>
      <c r="C109" s="1093"/>
      <c r="D109" s="1093"/>
      <c r="E109" s="3785" t="str">
        <f>IF(项目基本情况!E8="已注销及未注销","4.抵押担保权已注销时的房地产抵押价值",IF(项目基本情况!E8="已注销","3.抵押担保权已注销时的房地产抵押价值","——"))</f>
        <v>——</v>
      </c>
      <c r="F109" s="3786"/>
      <c r="G109" s="2737" t="s">
        <v>971</v>
      </c>
      <c r="H109" s="2753" t="str">
        <f>IF(E109="——","——",H101-H105-H106)</f>
        <v>——</v>
      </c>
      <c r="I109" s="1093"/>
    </row>
    <row r="110" spans="1:35" ht="18.75" customHeight="1">
      <c r="A110" s="1093"/>
      <c r="B110" s="1093"/>
      <c r="C110" s="1093"/>
      <c r="D110" s="1093"/>
      <c r="E110" s="3785"/>
      <c r="F110" s="3786"/>
      <c r="G110" s="2737" t="s">
        <v>99</v>
      </c>
      <c r="H110" s="2629" t="str">
        <f>IF(H109="——","——",ROUND(H109*10000/'数据-汇总表'!E3,0))</f>
        <v>——</v>
      </c>
      <c r="I110" s="1093"/>
    </row>
    <row r="111" spans="1:35" ht="18.75" customHeight="1">
      <c r="A111" s="1093"/>
      <c r="B111" s="1093"/>
      <c r="C111" s="1093"/>
      <c r="D111" s="1093"/>
      <c r="E111" s="3787" t="str">
        <f>IF(项目基本情况!E9="抵押净值",IF(OR(项目基本情况!E8="已注销",项目基本情况!E8="房地产抵押价值"),"4.抵押净值","5.抵押净值"),"——")</f>
        <v>4.抵押净值</v>
      </c>
      <c r="F111" s="3759"/>
      <c r="G111" s="2737" t="s">
        <v>971</v>
      </c>
      <c r="H111" s="2738">
        <f ca="1">IF(E111="——","——",N59)</f>
        <v>134641</v>
      </c>
      <c r="I111" s="1093"/>
    </row>
    <row r="112" spans="1:35" ht="18.75" customHeight="1">
      <c r="A112" s="1093"/>
      <c r="B112" s="1093"/>
      <c r="C112" s="1093"/>
      <c r="D112" s="1093"/>
      <c r="E112" s="3788"/>
      <c r="F112" s="3789"/>
      <c r="G112" s="2754" t="s">
        <v>99</v>
      </c>
      <c r="H112" s="2755">
        <f ca="1">IF(E111="——","——",N61)</f>
        <v>49322</v>
      </c>
      <c r="I112" s="1093"/>
    </row>
    <row r="113" spans="1:27" ht="18.75" customHeight="1">
      <c r="A113" s="1093"/>
      <c r="B113" s="1093"/>
      <c r="C113" s="1093"/>
      <c r="D113" s="1093"/>
      <c r="E113" s="3772" t="s">
        <v>977</v>
      </c>
      <c r="F113" s="3772"/>
      <c r="G113" s="3772"/>
      <c r="H113" s="3772"/>
      <c r="I113" s="1093"/>
    </row>
    <row r="114" spans="1:27" ht="3.75" customHeight="1">
      <c r="A114" s="2514"/>
      <c r="B114" s="2514"/>
      <c r="C114" s="2514"/>
      <c r="D114" s="2514"/>
      <c r="E114" s="2639"/>
      <c r="F114" s="2639"/>
      <c r="G114" s="2639"/>
      <c r="H114" s="2639"/>
      <c r="I114" s="2514"/>
    </row>
    <row r="115" spans="1:27" ht="18.75" customHeight="1">
      <c r="A115" s="3773" t="s">
        <v>979</v>
      </c>
      <c r="B115" s="3774"/>
      <c r="C115" s="3774"/>
      <c r="D115" s="3774"/>
      <c r="E115" s="3774"/>
      <c r="F115" s="3774"/>
      <c r="G115" s="3774"/>
      <c r="H115" s="3774"/>
      <c r="I115" s="3775"/>
    </row>
    <row r="116" spans="1:27" ht="27" customHeight="1">
      <c r="A116" s="3763" t="s">
        <v>980</v>
      </c>
      <c r="B116" s="3802" t="s">
        <v>981</v>
      </c>
      <c r="C116" s="3802" t="s">
        <v>982</v>
      </c>
      <c r="D116" s="3776" t="s">
        <v>983</v>
      </c>
      <c r="E116" s="3777"/>
      <c r="F116" s="3778" t="s">
        <v>984</v>
      </c>
      <c r="G116" s="3778"/>
      <c r="H116" s="3763" t="s">
        <v>985</v>
      </c>
      <c r="I116" s="3763"/>
    </row>
    <row r="117" spans="1:27" ht="18.75" customHeight="1">
      <c r="A117" s="3763"/>
      <c r="B117" s="3803"/>
      <c r="C117" s="3803"/>
      <c r="D117" s="2524" t="s">
        <v>986</v>
      </c>
      <c r="E117" s="2524" t="s">
        <v>808</v>
      </c>
      <c r="F117" s="2524" t="s">
        <v>986</v>
      </c>
      <c r="G117" s="2524" t="s">
        <v>808</v>
      </c>
      <c r="H117" s="2524" t="s">
        <v>986</v>
      </c>
      <c r="I117" s="2524" t="s">
        <v>808</v>
      </c>
    </row>
    <row r="118" spans="1:27" ht="24.75" customHeight="1">
      <c r="A118" s="2756" t="str">
        <f>项目基本情况!S2</f>
        <v>北京市房地产</v>
      </c>
      <c r="B118" s="2524">
        <f>M18</f>
        <v>27298.22</v>
      </c>
      <c r="C118" s="2524">
        <f>M19</f>
        <v>6123.19</v>
      </c>
      <c r="D118" s="2524">
        <f ca="1">ROUND(IF(D32="总价",C34,E118*B118/10000),0)</f>
        <v>128086</v>
      </c>
      <c r="E118" s="2524">
        <f ca="1">ROUND(IF(C33="自定义",IF(D32="楼面单价",C34,D118*10000/B118),I118-G118),0)</f>
        <v>46921</v>
      </c>
      <c r="F118" s="2524">
        <f ca="1">ROUND(IF(D32="总价",C35,G118*B118/10000),0)</f>
        <v>18906</v>
      </c>
      <c r="G118" s="2524">
        <f ca="1">ROUND(IF(D32="楼面单价",C35,F118*10000/B118),0)</f>
        <v>6926</v>
      </c>
      <c r="H118" s="2524">
        <f ca="1">ROUND(IF(D32="总价",C32,I118*B118/10000),0)</f>
        <v>146992</v>
      </c>
      <c r="I118" s="2524">
        <f ca="1">ROUND(IF(D32="楼面单价",C32,H118*10000/B118),0)</f>
        <v>53847</v>
      </c>
    </row>
    <row r="119" spans="1:27" ht="18.75" customHeight="1">
      <c r="A119" s="3763" t="s">
        <v>987</v>
      </c>
      <c r="B119" s="3763"/>
      <c r="C119" s="3763"/>
      <c r="D119" s="3764" t="str">
        <f ca="1">NUMBERSTRING(INT(D118*10000),2)&amp;"元整"</f>
        <v>壹拾贰亿捌仟零捌拾陆万元整</v>
      </c>
      <c r="E119" s="3766"/>
      <c r="F119" s="3764" t="str">
        <f ca="1">NUMBERSTRING(INT(F118*10000),2)&amp;"元整"</f>
        <v>壹亿捌仟玖佰零陆万元整</v>
      </c>
      <c r="G119" s="3766"/>
      <c r="H119" s="3764" t="str">
        <f ca="1">NUMBERSTRING(INT(H118*10000),2)&amp;"元整"</f>
        <v>壹拾肆亿陆仟玖佰玖拾贰万元整</v>
      </c>
      <c r="I119" s="3766"/>
    </row>
    <row r="120" spans="1:27" ht="18.75" customHeight="1">
      <c r="A120" s="3760" t="str">
        <f>IF(项目基本情况!B9="房地产市场价值","",MID(E103,3,LEN(E103)-2))</f>
        <v>估价师知悉的法定优先受偿款</v>
      </c>
      <c r="B120" s="3761"/>
      <c r="C120" s="3762"/>
      <c r="D120" s="3760">
        <f>H103</f>
        <v>0</v>
      </c>
      <c r="E120" s="3761"/>
      <c r="F120" s="3761"/>
      <c r="G120" s="3761"/>
      <c r="H120" s="3761"/>
      <c r="I120" s="3762"/>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64" t="s">
        <v>987</v>
      </c>
      <c r="B121" s="3765"/>
      <c r="C121" s="3766"/>
      <c r="D121" s="3764" t="str">
        <f>IF(D120=0,"零元整",NUMBERSTRING(INT(D120*10000),2)&amp;"元整")</f>
        <v>零元整</v>
      </c>
      <c r="E121" s="3765"/>
      <c r="F121" s="3765"/>
      <c r="G121" s="3765"/>
      <c r="H121" s="3765"/>
      <c r="I121" s="3766"/>
      <c r="AA121" s="1051"/>
    </row>
    <row r="122" spans="1:27" ht="18.75" customHeight="1">
      <c r="A122" s="3759" t="str">
        <f>IF(项目基本情况!B9="房地产市场价值","",MID(E107,3,LEN(E107)-2))</f>
        <v>房地产抵押价值</v>
      </c>
      <c r="B122" s="3759"/>
      <c r="C122" s="3759"/>
      <c r="D122" s="3760">
        <f ca="1">H107</f>
        <v>146992</v>
      </c>
      <c r="E122" s="3761"/>
      <c r="F122" s="3761"/>
      <c r="G122" s="3761"/>
      <c r="H122" s="3761"/>
      <c r="I122" s="3762"/>
      <c r="AA122" s="1051"/>
    </row>
    <row r="123" spans="1:27" ht="18.75" customHeight="1">
      <c r="A123" s="3763" t="s">
        <v>987</v>
      </c>
      <c r="B123" s="3763"/>
      <c r="C123" s="3763"/>
      <c r="D123" s="3764" t="str">
        <f ca="1">NUMBERSTRING(INT(D122*10000),2)&amp;"元整"</f>
        <v>壹拾肆亿陆仟玖佰玖拾贰万元整</v>
      </c>
      <c r="E123" s="3765"/>
      <c r="F123" s="3765"/>
      <c r="G123" s="3765"/>
      <c r="H123" s="3765"/>
      <c r="I123" s="3766"/>
      <c r="AA123" s="1051"/>
    </row>
    <row r="124" spans="1:27" ht="18.75" customHeight="1">
      <c r="A124" s="3759" t="str">
        <f>IF(项目基本情况!B9="房地产市场价值","",MID(E109,3,LEN(E109)-2))</f>
        <v/>
      </c>
      <c r="B124" s="3759"/>
      <c r="C124" s="3759"/>
      <c r="D124" s="3760" t="str">
        <f>H109</f>
        <v>——</v>
      </c>
      <c r="E124" s="3761"/>
      <c r="F124" s="3761"/>
      <c r="G124" s="3761"/>
      <c r="H124" s="3761"/>
      <c r="I124" s="3762"/>
      <c r="AA124" s="1051"/>
    </row>
    <row r="125" spans="1:27" ht="18.75" customHeight="1">
      <c r="A125" s="3763" t="s">
        <v>987</v>
      </c>
      <c r="B125" s="3763"/>
      <c r="C125" s="3763"/>
      <c r="D125" s="3764" t="e">
        <f>NUMBERSTRING(INT(D124*10000),2)&amp;"元整"</f>
        <v>#VALUE!</v>
      </c>
      <c r="E125" s="3765"/>
      <c r="F125" s="3765"/>
      <c r="G125" s="3765"/>
      <c r="H125" s="3765"/>
      <c r="I125" s="3766"/>
      <c r="AA125" s="1051"/>
    </row>
    <row r="126" spans="1:27" ht="18.75" customHeight="1">
      <c r="A126" s="3759" t="str">
        <f>IF(项目基本情况!B9="房地产市场价值","",MID(E111,3,LEN(E111)-2))</f>
        <v>抵押净值</v>
      </c>
      <c r="B126" s="3759"/>
      <c r="C126" s="3759"/>
      <c r="D126" s="3760">
        <f ca="1">H111</f>
        <v>134641</v>
      </c>
      <c r="E126" s="3761"/>
      <c r="F126" s="3761"/>
      <c r="G126" s="3761"/>
      <c r="H126" s="3761"/>
      <c r="I126" s="3762"/>
      <c r="AA126" s="1051"/>
    </row>
    <row r="127" spans="1:27" ht="18.75" customHeight="1">
      <c r="A127" s="3763" t="s">
        <v>987</v>
      </c>
      <c r="B127" s="3763"/>
      <c r="C127" s="3763"/>
      <c r="D127" s="3764" t="str">
        <f ca="1">NUMBERSTRING(INT(D126*10000),2)&amp;"元整"</f>
        <v>壹拾叁亿肆仟陆佰肆拾壹万元整</v>
      </c>
      <c r="E127" s="3765"/>
      <c r="F127" s="3765"/>
      <c r="G127" s="3765"/>
      <c r="H127" s="3765"/>
      <c r="I127" s="3766"/>
      <c r="AA127" s="1051"/>
    </row>
    <row r="128" spans="1:27" ht="21.75" customHeight="1">
      <c r="A128" s="3793" t="s">
        <v>113</v>
      </c>
      <c r="B128" s="3793"/>
      <c r="C128" s="3793"/>
      <c r="D128" s="3793"/>
      <c r="E128" s="3793"/>
      <c r="F128" s="3793"/>
      <c r="G128" s="3793"/>
      <c r="H128" s="3793"/>
      <c r="I128" s="3793"/>
      <c r="AA128" s="1051"/>
    </row>
    <row r="129" spans="1:35" ht="21.75" customHeight="1">
      <c r="A129" s="2767" t="s">
        <v>988</v>
      </c>
      <c r="B129" s="2768"/>
      <c r="C129" s="2769" t="s">
        <v>989</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990</v>
      </c>
      <c r="G135" s="2781"/>
      <c r="H135" s="2781"/>
      <c r="I135" s="2789" t="s">
        <v>991</v>
      </c>
    </row>
    <row r="136" spans="1:35" ht="21.75" customHeight="1">
      <c r="A136" s="1051"/>
      <c r="B136" s="2782" t="s">
        <v>992</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993</v>
      </c>
    </row>
    <row r="139" spans="1:35" ht="21.75" customHeight="1">
      <c r="A139" s="1051"/>
      <c r="B139" s="2782" t="s">
        <v>994</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993</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8" width="10.77734375" style="462" customWidth="1"/>
    <col min="9" max="254" width="9" style="462" customWidth="1"/>
    <col min="255" max="16384" width="8.33203125" style="462"/>
  </cols>
  <sheetData>
    <row r="1" spans="1:8" s="456" customFormat="1" ht="21">
      <c r="A1" s="464" t="s">
        <v>995</v>
      </c>
      <c r="B1" s="1019"/>
      <c r="C1" s="2504" t="s">
        <v>996</v>
      </c>
      <c r="D1" s="466"/>
      <c r="E1" s="466"/>
      <c r="F1" s="466"/>
      <c r="G1" s="1020">
        <f>MATCH(B1,'数据-取费表'!A6:A16,0)+5</f>
        <v>7</v>
      </c>
      <c r="H1" s="1786" t="str">
        <f>IF(ISERROR(FIND("住宅",B1)),"非住宅","住宅")</f>
        <v>非住宅</v>
      </c>
    </row>
    <row r="2" spans="1:8" s="456" customFormat="1" ht="18" customHeight="1">
      <c r="A2" s="468" t="s">
        <v>997</v>
      </c>
      <c r="B2" s="2505">
        <f ca="1">ROUND(IF(D2="——",C52/10000,C52/10000-E2),4)</f>
        <v>18557.225699999999</v>
      </c>
      <c r="C2" s="467" t="s">
        <v>998</v>
      </c>
      <c r="D2" s="1021" t="s">
        <v>124</v>
      </c>
      <c r="E2" s="1022" t="e">
        <f ca="1">SUMIF(INDIRECT("'"&amp;G2&amp;"'"&amp;"!A:A"),"承租人权益价值",INDIRECT("'"&amp;G2&amp;"'"&amp;"!c:c"))</f>
        <v>#REF!</v>
      </c>
      <c r="F2" s="1023" t="s">
        <v>998</v>
      </c>
      <c r="G2" s="1024"/>
    </row>
    <row r="3" spans="1:8" s="456" customFormat="1" ht="18" customHeight="1">
      <c r="A3" s="471" t="s">
        <v>999</v>
      </c>
      <c r="B3" s="472">
        <f ca="1">ROUND(B2*10000/(IF(B1="",'数据-汇总表'!E3,INDIRECT("'数据-取费表'!k"&amp;$G$1))),0)</f>
        <v>6798</v>
      </c>
      <c r="C3" s="467" t="s">
        <v>1000</v>
      </c>
      <c r="D3" s="467"/>
      <c r="E3" s="467"/>
      <c r="F3" s="467"/>
      <c r="G3" s="467"/>
    </row>
    <row r="4" spans="1:8" s="457" customFormat="1" ht="16.2">
      <c r="A4" s="473" t="s">
        <v>1001</v>
      </c>
      <c r="B4" s="474"/>
      <c r="C4" s="474"/>
      <c r="D4" s="474"/>
      <c r="E4" s="474"/>
      <c r="F4" s="474"/>
      <c r="G4" s="475"/>
    </row>
    <row r="5" spans="1:8" s="458" customFormat="1" ht="13.5" customHeight="1">
      <c r="A5" s="476" t="s">
        <v>1002</v>
      </c>
      <c r="B5" s="477" t="s">
        <v>1003</v>
      </c>
      <c r="C5" s="478">
        <f ca="1">C6+C7+C8</f>
        <v>5459644</v>
      </c>
      <c r="D5" s="478" t="s">
        <v>1004</v>
      </c>
      <c r="E5" s="479" t="s">
        <v>1005</v>
      </c>
      <c r="F5" s="479" t="s">
        <v>899</v>
      </c>
      <c r="G5" s="480"/>
    </row>
    <row r="6" spans="1:8" s="458" customFormat="1" ht="13.5" customHeight="1">
      <c r="A6" s="481" t="s">
        <v>1006</v>
      </c>
      <c r="B6" s="482" t="s">
        <v>1007</v>
      </c>
      <c r="C6" s="483"/>
      <c r="D6" s="484"/>
      <c r="E6" s="485"/>
      <c r="F6" s="485"/>
      <c r="G6" s="486"/>
    </row>
    <row r="7" spans="1:8" s="458" customFormat="1" ht="13.5" customHeight="1">
      <c r="A7" s="481" t="s">
        <v>1008</v>
      </c>
      <c r="B7" s="482" t="s">
        <v>1009</v>
      </c>
      <c r="C7" s="487">
        <f>ROUND(C6*F7,0)</f>
        <v>0</v>
      </c>
      <c r="D7" s="487"/>
      <c r="E7" s="485"/>
      <c r="F7" s="488">
        <f>IF(项目基本情况!B8="出让",0,'数据-取费表'!B48+'数据-取费表'!B49)</f>
        <v>3.0499999999999999E-2</v>
      </c>
      <c r="G7" s="486"/>
    </row>
    <row r="8" spans="1:8" s="459" customFormat="1">
      <c r="A8" s="481" t="s">
        <v>1010</v>
      </c>
      <c r="B8" s="482" t="s">
        <v>1011</v>
      </c>
      <c r="C8" s="487">
        <f ca="1">IF(G8="已包含在土地购买价格中",0,C9+C10)</f>
        <v>5459644</v>
      </c>
      <c r="D8" s="489"/>
      <c r="E8" s="487"/>
      <c r="F8" s="488"/>
      <c r="G8" s="1025"/>
    </row>
    <row r="9" spans="1:8" s="458" customFormat="1" ht="13.5" customHeight="1">
      <c r="A9" s="491" t="s">
        <v>1012</v>
      </c>
      <c r="B9" s="492" t="s">
        <v>1013</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1014</v>
      </c>
      <c r="B10" s="492" t="s">
        <v>1015</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1016</v>
      </c>
      <c r="B11" s="482" t="s">
        <v>1017</v>
      </c>
      <c r="C11" s="478"/>
      <c r="D11" s="497"/>
      <c r="E11" s="485"/>
      <c r="F11" s="485"/>
      <c r="G11" s="486"/>
    </row>
    <row r="12" spans="1:8" s="458" customFormat="1" ht="13.5" hidden="1" customHeight="1">
      <c r="A12" s="496" t="s">
        <v>1018</v>
      </c>
      <c r="B12" s="482" t="s">
        <v>935</v>
      </c>
      <c r="C12" s="478">
        <v>0</v>
      </c>
      <c r="D12" s="497"/>
      <c r="E12" s="498"/>
      <c r="F12" s="488">
        <v>3.0499999999999999E-2</v>
      </c>
      <c r="G12" s="486"/>
    </row>
    <row r="13" spans="1:8" s="458" customFormat="1" ht="13.5" hidden="1" customHeight="1">
      <c r="A13" s="496" t="s">
        <v>1019</v>
      </c>
      <c r="B13" s="482" t="s">
        <v>1020</v>
      </c>
      <c r="C13" s="478"/>
      <c r="D13" s="497"/>
      <c r="E13" s="485"/>
      <c r="F13" s="485"/>
      <c r="G13" s="486"/>
    </row>
    <row r="14" spans="1:8" s="458" customFormat="1" ht="13.5" hidden="1" customHeight="1">
      <c r="A14" s="496" t="s">
        <v>1021</v>
      </c>
      <c r="B14" s="482" t="s">
        <v>1011</v>
      </c>
      <c r="C14" s="478"/>
      <c r="D14" s="497"/>
      <c r="E14" s="485"/>
      <c r="F14" s="485"/>
      <c r="G14" s="486" t="s">
        <v>1022</v>
      </c>
    </row>
    <row r="15" spans="1:8" s="458" customFormat="1" ht="13.5" hidden="1" customHeight="1">
      <c r="A15" s="496" t="s">
        <v>1023</v>
      </c>
      <c r="B15" s="482" t="s">
        <v>1024</v>
      </c>
      <c r="C15" s="487"/>
      <c r="D15" s="497"/>
      <c r="E15" s="485"/>
      <c r="F15" s="485"/>
      <c r="G15" s="486" t="s">
        <v>1025</v>
      </c>
    </row>
    <row r="16" spans="1:8" s="458" customFormat="1" ht="13.5" hidden="1" customHeight="1">
      <c r="A16" s="496" t="s">
        <v>1026</v>
      </c>
      <c r="B16" s="482" t="s">
        <v>1011</v>
      </c>
      <c r="C16" s="487"/>
      <c r="D16" s="497"/>
      <c r="E16" s="485"/>
      <c r="F16" s="485"/>
      <c r="G16" s="486"/>
    </row>
    <row r="17" spans="1:7" s="458" customFormat="1" ht="13.5" hidden="1" customHeight="1">
      <c r="A17" s="496" t="s">
        <v>1027</v>
      </c>
      <c r="B17" s="482" t="s">
        <v>1028</v>
      </c>
      <c r="C17" s="499"/>
      <c r="D17" s="500"/>
      <c r="E17" s="499"/>
      <c r="F17" s="499"/>
      <c r="G17" s="486" t="s">
        <v>1025</v>
      </c>
    </row>
    <row r="18" spans="1:7" s="458" customFormat="1" ht="13.5" hidden="1" customHeight="1">
      <c r="A18" s="496" t="s">
        <v>1029</v>
      </c>
      <c r="B18" s="482" t="s">
        <v>1030</v>
      </c>
      <c r="C18" s="487">
        <v>0</v>
      </c>
      <c r="D18" s="497"/>
      <c r="E18" s="485"/>
      <c r="F18" s="488">
        <v>3.0499999999999999E-2</v>
      </c>
      <c r="G18" s="486" t="s">
        <v>1031</v>
      </c>
    </row>
    <row r="19" spans="1:7" s="459" customFormat="1" ht="13.5" customHeight="1">
      <c r="A19" s="476" t="s">
        <v>1032</v>
      </c>
      <c r="B19" s="477" t="s">
        <v>1033</v>
      </c>
      <c r="C19" s="478">
        <f ca="1">IF(G19="已包含在土地取得成本中","0",ROUND(D19*E19,0))</f>
        <v>5459644</v>
      </c>
      <c r="D19" s="502">
        <f ca="1">D9+D10</f>
        <v>27298.22</v>
      </c>
      <c r="E19" s="478">
        <f>'数据-取费表'!B31</f>
        <v>200</v>
      </c>
      <c r="F19" s="503"/>
      <c r="G19" s="1025"/>
    </row>
    <row r="20" spans="1:7" s="458" customFormat="1" ht="13.5" customHeight="1">
      <c r="A20" s="476" t="s">
        <v>1034</v>
      </c>
      <c r="B20" s="477" t="s">
        <v>1035</v>
      </c>
      <c r="C20" s="504">
        <f ca="1">ROUND((C5+C19)*F20,0)</f>
        <v>218386</v>
      </c>
      <c r="D20" s="504"/>
      <c r="E20" s="504"/>
      <c r="F20" s="505">
        <f>'数据-取费表'!B37</f>
        <v>0.02</v>
      </c>
      <c r="G20" s="509" t="s">
        <v>1036</v>
      </c>
    </row>
    <row r="21" spans="1:7" s="458" customFormat="1" ht="13.5" customHeight="1">
      <c r="A21" s="476" t="s">
        <v>1037</v>
      </c>
      <c r="B21" s="477" t="s">
        <v>1038</v>
      </c>
      <c r="C21" s="507">
        <f>F21</f>
        <v>0.02</v>
      </c>
      <c r="D21" s="508" t="s">
        <v>1039</v>
      </c>
      <c r="E21" s="504"/>
      <c r="F21" s="505">
        <f>'数据-取费表'!B38</f>
        <v>0.02</v>
      </c>
      <c r="G21" s="509" t="s">
        <v>1040</v>
      </c>
    </row>
    <row r="22" spans="1:7" s="458" customFormat="1" ht="13.5" customHeight="1">
      <c r="A22" s="476" t="s">
        <v>1041</v>
      </c>
      <c r="B22" s="477" t="s">
        <v>1042</v>
      </c>
      <c r="C22" s="2506">
        <f ca="1">ROUND(SUM(C23:C25),0)</f>
        <v>980140</v>
      </c>
      <c r="D22" s="507">
        <f ca="1">C26</f>
        <v>8.9999999999999998E-4</v>
      </c>
      <c r="E22" s="508" t="s">
        <v>1039</v>
      </c>
      <c r="F22" s="511">
        <f ca="1">'数据-取费表'!B40</f>
        <v>4.3499999999999997E-2</v>
      </c>
      <c r="G22" s="509" t="str">
        <f>IF('数据-取费表'!B22&lt;=1,"单利计息","复利计息")</f>
        <v>复利计息</v>
      </c>
    </row>
    <row r="23" spans="1:7" s="458" customFormat="1" ht="13.5" customHeight="1">
      <c r="A23" s="512" t="s">
        <v>1006</v>
      </c>
      <c r="B23" s="482" t="s">
        <v>1043</v>
      </c>
      <c r="C23" s="2507">
        <f ca="1">ROUND(IF('数据-取费表'!B22&lt;=1,C5*F22*'数据-取费表'!B22,C5*(POWER((1+F22),'数据-取费表'!B22)-1)),0)</f>
        <v>485320</v>
      </c>
      <c r="D23" s="514"/>
      <c r="E23" s="514"/>
      <c r="F23" s="515"/>
      <c r="G23" s="516" t="s">
        <v>1044</v>
      </c>
    </row>
    <row r="24" spans="1:7" s="458" customFormat="1" ht="13.5" customHeight="1">
      <c r="A24" s="512" t="s">
        <v>1008</v>
      </c>
      <c r="B24" s="482" t="s">
        <v>1045</v>
      </c>
      <c r="C24" s="2507">
        <f ca="1">ROUND(IF('数据-取费表'!B22&lt;=1,C19*F22*('数据-取费表'!B19/2+'数据-取费表'!B20),C19*(POWER((1+F22),('数据-取费表'!B19/2+'数据-取费表'!B20))-1)),0)</f>
        <v>485320</v>
      </c>
      <c r="D24" s="514"/>
      <c r="E24" s="514"/>
      <c r="F24" s="515"/>
      <c r="G24" s="516" t="s">
        <v>1046</v>
      </c>
    </row>
    <row r="25" spans="1:7" s="458" customFormat="1" ht="24">
      <c r="A25" s="512" t="s">
        <v>1010</v>
      </c>
      <c r="B25" s="482" t="s">
        <v>1047</v>
      </c>
      <c r="C25" s="2507">
        <f ca="1">ROUND(IF('数据-取费表'!B22&lt;=1,C20*F22*'数据-取费表'!B22/2,C20*(POWER((1+F22),'数据-取费表'!B22/2)-1)),0)</f>
        <v>9500</v>
      </c>
      <c r="D25" s="514"/>
      <c r="E25" s="517"/>
      <c r="F25" s="515"/>
      <c r="G25" s="518" t="s">
        <v>1048</v>
      </c>
    </row>
    <row r="26" spans="1:7" s="458" customFormat="1">
      <c r="A26" s="512" t="s">
        <v>1049</v>
      </c>
      <c r="B26" s="482" t="s">
        <v>1050</v>
      </c>
      <c r="C26" s="514">
        <f ca="1">ROUND(IF('数据-取费表'!B22&lt;=1,F21*F22*'数据-取费表'!B22/2,F21*(POWER((1+F22),'数据-取费表'!B22/2)-1)),4)</f>
        <v>8.9999999999999998E-4</v>
      </c>
      <c r="D26" s="514"/>
      <c r="E26" s="517"/>
      <c r="F26" s="515"/>
      <c r="G26" s="519"/>
    </row>
    <row r="27" spans="1:7" s="458" customFormat="1" ht="26.4">
      <c r="A27" s="476" t="s">
        <v>1051</v>
      </c>
      <c r="B27" s="520" t="s">
        <v>1052</v>
      </c>
      <c r="C27" s="521">
        <f ca="1">C28</f>
        <v>2227535</v>
      </c>
      <c r="D27" s="507">
        <f ca="1">C29</f>
        <v>4.0000000000000001E-3</v>
      </c>
      <c r="E27" s="508" t="s">
        <v>1039</v>
      </c>
      <c r="F27" s="522">
        <f ca="1">IF(B1="",'数据-取费表'!Q16,INDIRECT("'数据-取费表'!q"&amp;$G$1))</f>
        <v>0.2</v>
      </c>
      <c r="G27" s="523" t="s">
        <v>1053</v>
      </c>
    </row>
    <row r="28" spans="1:7" s="458" customFormat="1" ht="13.5" customHeight="1">
      <c r="A28" s="512" t="s">
        <v>1006</v>
      </c>
      <c r="B28" s="524" t="s">
        <v>1054</v>
      </c>
      <c r="C28" s="525">
        <f ca="1">ROUND((C5+C19+C20)*F27,0)</f>
        <v>2227535</v>
      </c>
      <c r="D28" s="507"/>
      <c r="E28" s="508"/>
      <c r="F28" s="522"/>
      <c r="G28" s="523"/>
    </row>
    <row r="29" spans="1:7" s="458" customFormat="1" ht="13.5" customHeight="1">
      <c r="A29" s="512" t="s">
        <v>1008</v>
      </c>
      <c r="B29" s="524" t="s">
        <v>1055</v>
      </c>
      <c r="C29" s="514">
        <f ca="1">ROUND(C21*F27,4)</f>
        <v>4.0000000000000001E-3</v>
      </c>
      <c r="D29" s="507"/>
      <c r="E29" s="508"/>
      <c r="F29" s="522"/>
      <c r="G29" s="523"/>
    </row>
    <row r="30" spans="1:7" s="458" customFormat="1" ht="13.5" customHeight="1">
      <c r="A30" s="476" t="s">
        <v>1056</v>
      </c>
      <c r="B30" s="477" t="s">
        <v>1057</v>
      </c>
      <c r="C30" s="507">
        <f>ROUND(F30/(1+'数据-取费表'!C42),4)</f>
        <v>5.33E-2</v>
      </c>
      <c r="D30" s="508" t="s">
        <v>1039</v>
      </c>
      <c r="E30" s="517"/>
      <c r="F30" s="511">
        <f>'数据-取费表'!B41</f>
        <v>5.6000000000000001E-2</v>
      </c>
      <c r="G30" s="509" t="s">
        <v>1058</v>
      </c>
    </row>
    <row r="31" spans="1:7" ht="16.5" customHeight="1">
      <c r="A31" s="526">
        <v>1</v>
      </c>
      <c r="B31" s="477" t="s">
        <v>1059</v>
      </c>
      <c r="C31" s="478">
        <f ca="1">ROUND((C5+C19+C20+C22+C27)/(1-C21-D22-D27-C30),0)</f>
        <v>15562323</v>
      </c>
      <c r="D31" s="527"/>
      <c r="E31" s="478"/>
      <c r="F31" s="528"/>
      <c r="G31" s="509" t="s">
        <v>1060</v>
      </c>
    </row>
    <row r="32" spans="1:7" s="457" customFormat="1" ht="16.2">
      <c r="A32" s="529" t="s">
        <v>1061</v>
      </c>
      <c r="B32" s="530"/>
      <c r="C32" s="530"/>
      <c r="D32" s="530"/>
      <c r="E32" s="530"/>
      <c r="F32" s="530"/>
      <c r="G32" s="531"/>
    </row>
    <row r="33" spans="1:7" s="458" customFormat="1" ht="13.5" customHeight="1">
      <c r="A33" s="476" t="s">
        <v>1002</v>
      </c>
      <c r="B33" s="477" t="s">
        <v>1062</v>
      </c>
      <c r="C33" s="532">
        <f ca="1">SUM(C34:C38)</f>
        <v>148863063</v>
      </c>
      <c r="D33" s="504"/>
      <c r="E33" s="479"/>
      <c r="F33" s="517"/>
      <c r="G33" s="509"/>
    </row>
    <row r="34" spans="1:7" s="460" customFormat="1" ht="13.5" customHeight="1">
      <c r="A34" s="512" t="s">
        <v>1006</v>
      </c>
      <c r="B34" s="482" t="s">
        <v>1063</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1008</v>
      </c>
      <c r="B35" s="482" t="s">
        <v>1064</v>
      </c>
      <c r="C35" s="487">
        <f ca="1">ROUND(C34*F35,0)</f>
        <v>4116845</v>
      </c>
      <c r="D35" s="487"/>
      <c r="E35" s="487"/>
      <c r="F35" s="534">
        <f>'数据-取费表'!B33</f>
        <v>0.03</v>
      </c>
      <c r="G35" s="486" t="s">
        <v>1065</v>
      </c>
    </row>
    <row r="36" spans="1:7" ht="24">
      <c r="A36" s="512" t="s">
        <v>1010</v>
      </c>
      <c r="B36" s="482" t="s">
        <v>1066</v>
      </c>
      <c r="C36" s="487">
        <f ca="1">ROUND(IF(B1="",SUM('数据-取费表'!AP6:AP13)*F36,IF(INDIRECT("'数据-取费表'!c"&amp;$G$1)="住宅",INDIRECT("'数据-取费表'!k"&amp;$G$1)*INDIRECT("'数据-取费表'!l"&amp;$G$1)*F36,0)),0)</f>
        <v>0</v>
      </c>
      <c r="D36" s="487"/>
      <c r="E36" s="487"/>
      <c r="F36" s="534">
        <f>'数据-取费表'!B34</f>
        <v>0.05</v>
      </c>
      <c r="G36" s="535" t="s">
        <v>1067</v>
      </c>
    </row>
    <row r="37" spans="1:7" s="460" customFormat="1" ht="13.5" customHeight="1">
      <c r="A37" s="512" t="s">
        <v>1049</v>
      </c>
      <c r="B37" s="482" t="s">
        <v>1068</v>
      </c>
      <c r="C37" s="525">
        <f ca="1">ROUND(E37*D37,0)</f>
        <v>5459644</v>
      </c>
      <c r="D37" s="484">
        <f ca="1">D19</f>
        <v>27298.22</v>
      </c>
      <c r="E37" s="525">
        <f>'数据-取费表'!B35</f>
        <v>200</v>
      </c>
      <c r="F37" s="534"/>
      <c r="G37" s="536"/>
    </row>
    <row r="38" spans="1:7" ht="13.5" customHeight="1">
      <c r="A38" s="512" t="s">
        <v>1069</v>
      </c>
      <c r="B38" s="482" t="s">
        <v>935</v>
      </c>
      <c r="C38" s="487">
        <f ca="1">ROUND(C34*F38,0)</f>
        <v>2058422</v>
      </c>
      <c r="D38" s="487"/>
      <c r="E38" s="487"/>
      <c r="F38" s="534">
        <f>'数据-取费表'!B36</f>
        <v>1.4999999999999999E-2</v>
      </c>
      <c r="G38" s="486" t="s">
        <v>1065</v>
      </c>
    </row>
    <row r="39" spans="1:7" s="458" customFormat="1" ht="13.5" customHeight="1">
      <c r="A39" s="476" t="s">
        <v>1032</v>
      </c>
      <c r="B39" s="477" t="s">
        <v>1035</v>
      </c>
      <c r="C39" s="504">
        <f ca="1">ROUND(C33*F20,0)</f>
        <v>2977261</v>
      </c>
      <c r="D39" s="504"/>
      <c r="E39" s="504"/>
      <c r="F39" s="505">
        <f>F20</f>
        <v>0.02</v>
      </c>
      <c r="G39" s="509" t="s">
        <v>1070</v>
      </c>
    </row>
    <row r="40" spans="1:7" s="458" customFormat="1" ht="13.5" customHeight="1">
      <c r="A40" s="476" t="s">
        <v>1034</v>
      </c>
      <c r="B40" s="477" t="s">
        <v>1038</v>
      </c>
      <c r="C40" s="1028">
        <f>F21</f>
        <v>0.02</v>
      </c>
      <c r="D40" s="508" t="s">
        <v>1071</v>
      </c>
      <c r="E40" s="504"/>
      <c r="F40" s="505">
        <f>F21</f>
        <v>0.02</v>
      </c>
      <c r="G40" s="509" t="s">
        <v>1072</v>
      </c>
    </row>
    <row r="41" spans="1:7" s="458" customFormat="1" ht="13.5" customHeight="1">
      <c r="A41" s="476" t="s">
        <v>1037</v>
      </c>
      <c r="B41" s="477" t="s">
        <v>1042</v>
      </c>
      <c r="C41" s="504">
        <f ca="1">ROUND(SUM(C42:C43),0)</f>
        <v>6605054</v>
      </c>
      <c r="D41" s="507">
        <f ca="1">C44</f>
        <v>8.9999999999999998E-4</v>
      </c>
      <c r="E41" s="508" t="s">
        <v>1071</v>
      </c>
      <c r="F41" s="511">
        <f ca="1">F22</f>
        <v>4.3499999999999997E-2</v>
      </c>
      <c r="G41" s="509" t="str">
        <f>IF('数据-取费表'!B22&lt;=1,"单利计息","复利计息")</f>
        <v>复利计息</v>
      </c>
    </row>
    <row r="42" spans="1:7" ht="13.5" customHeight="1">
      <c r="A42" s="512" t="s">
        <v>1006</v>
      </c>
      <c r="B42" s="482" t="s">
        <v>1043</v>
      </c>
      <c r="C42" s="514">
        <f ca="1">ROUND(IF('数据-取费表'!B22&lt;=1,C33*F22*'数据-取费表'!B20/2,C33*(POWER((1+F22),'数据-取费表'!B20/2)-1)),0)</f>
        <v>6475543</v>
      </c>
      <c r="D42" s="514"/>
      <c r="E42" s="514"/>
      <c r="F42" s="515"/>
      <c r="G42" s="3807" t="s">
        <v>1073</v>
      </c>
    </row>
    <row r="43" spans="1:7" ht="13.5" customHeight="1">
      <c r="A43" s="512" t="s">
        <v>1008</v>
      </c>
      <c r="B43" s="482" t="s">
        <v>1045</v>
      </c>
      <c r="C43" s="514">
        <f ca="1">ROUND(IF('数据-取费表'!B22&lt;=1,C39*F22*'数据-取费表'!B20/2,C39*(POWER((1+F22),'数据-取费表'!B20/2)-1)),0)</f>
        <v>129511</v>
      </c>
      <c r="D43" s="514"/>
      <c r="E43" s="514"/>
      <c r="F43" s="515"/>
      <c r="G43" s="3808"/>
    </row>
    <row r="44" spans="1:7" ht="13.5" customHeight="1">
      <c r="A44" s="512" t="s">
        <v>1010</v>
      </c>
      <c r="B44" s="482" t="s">
        <v>1047</v>
      </c>
      <c r="C44" s="514">
        <f ca="1">ROUND(IF('数据-取费表'!B22&lt;=1,C40*F22*'数据-取费表'!B20/2,C40*(POWER((1+F22),'数据-取费表'!B20/2)-1)),4)</f>
        <v>8.9999999999999998E-4</v>
      </c>
      <c r="D44" s="514"/>
      <c r="E44" s="514"/>
      <c r="F44" s="515"/>
      <c r="G44" s="3809"/>
    </row>
    <row r="45" spans="1:7" s="458" customFormat="1" ht="13.5" customHeight="1">
      <c r="A45" s="476" t="s">
        <v>1041</v>
      </c>
      <c r="B45" s="520" t="s">
        <v>1052</v>
      </c>
      <c r="C45" s="521">
        <f ca="1">C46</f>
        <v>30368065</v>
      </c>
      <c r="D45" s="507">
        <f ca="1">C47</f>
        <v>4.0000000000000001E-3</v>
      </c>
      <c r="E45" s="508" t="s">
        <v>1071</v>
      </c>
      <c r="F45" s="522">
        <f ca="1">F27</f>
        <v>0.2</v>
      </c>
      <c r="G45" s="523" t="s">
        <v>1074</v>
      </c>
    </row>
    <row r="46" spans="1:7" s="458" customFormat="1" ht="13.5" customHeight="1">
      <c r="A46" s="512" t="s">
        <v>1006</v>
      </c>
      <c r="B46" s="524" t="s">
        <v>1075</v>
      </c>
      <c r="C46" s="525">
        <f ca="1">ROUND((C33+C39)*F27,0)</f>
        <v>30368065</v>
      </c>
      <c r="D46" s="538"/>
      <c r="E46" s="508"/>
      <c r="F46" s="522"/>
      <c r="G46" s="523"/>
    </row>
    <row r="47" spans="1:7" s="458" customFormat="1" ht="13.5" customHeight="1">
      <c r="A47" s="512" t="s">
        <v>1008</v>
      </c>
      <c r="B47" s="524" t="s">
        <v>1076</v>
      </c>
      <c r="C47" s="514">
        <f ca="1">ROUND(C40*F27,4)</f>
        <v>4.0000000000000001E-3</v>
      </c>
      <c r="D47" s="538"/>
      <c r="E47" s="508"/>
      <c r="F47" s="522"/>
      <c r="G47" s="523"/>
    </row>
    <row r="48" spans="1:7" s="458" customFormat="1" ht="13.5" customHeight="1">
      <c r="A48" s="476" t="s">
        <v>1051</v>
      </c>
      <c r="B48" s="477" t="s">
        <v>1057</v>
      </c>
      <c r="C48" s="537">
        <f>ROUND(F30/(1+'数据-取费表'!C42),4)</f>
        <v>5.33E-2</v>
      </c>
      <c r="D48" s="508" t="s">
        <v>1071</v>
      </c>
      <c r="E48" s="504"/>
      <c r="F48" s="511">
        <f>F30</f>
        <v>5.6000000000000001E-2</v>
      </c>
      <c r="G48" s="509" t="s">
        <v>1077</v>
      </c>
    </row>
    <row r="49" spans="1:7" ht="16.5" customHeight="1">
      <c r="A49" s="476" t="s">
        <v>1056</v>
      </c>
      <c r="B49" s="477" t="s">
        <v>1078</v>
      </c>
      <c r="C49" s="504">
        <f ca="1">ROUND((C33+C39+C41+C45)/(1-C40-D41-D45-C48),0)</f>
        <v>204831246</v>
      </c>
      <c r="D49" s="504"/>
      <c r="E49" s="504"/>
      <c r="F49" s="539"/>
      <c r="G49" s="509" t="s">
        <v>1079</v>
      </c>
    </row>
    <row r="50" spans="1:7" s="460" customFormat="1">
      <c r="A50" s="476" t="s">
        <v>1080</v>
      </c>
      <c r="B50" s="477" t="s">
        <v>1081</v>
      </c>
      <c r="C50" s="504"/>
      <c r="D50" s="504"/>
      <c r="E50" s="504"/>
      <c r="F50" s="539">
        <f>IF('数据-取费表'!B24=0,'数据-取费表'!N16,1)</f>
        <v>0.83</v>
      </c>
      <c r="G50" s="523"/>
    </row>
    <row r="51" spans="1:7" ht="16.5" customHeight="1">
      <c r="A51" s="476" t="s">
        <v>1082</v>
      </c>
      <c r="B51" s="477" t="s">
        <v>1083</v>
      </c>
      <c r="C51" s="504">
        <f ca="1">ROUND(C49*F50,0)</f>
        <v>170009934</v>
      </c>
      <c r="D51" s="504"/>
      <c r="E51" s="504"/>
      <c r="F51" s="539"/>
      <c r="G51" s="509" t="s">
        <v>1084</v>
      </c>
    </row>
    <row r="52" spans="1:7" s="457" customFormat="1" ht="16.2">
      <c r="A52" s="540" t="s">
        <v>1085</v>
      </c>
      <c r="B52" s="541"/>
      <c r="C52" s="542">
        <f ca="1">C31+C51</f>
        <v>185572257</v>
      </c>
      <c r="D52" s="541"/>
      <c r="E52" s="541"/>
      <c r="F52" s="541"/>
      <c r="G52" s="543"/>
    </row>
    <row r="55" spans="1:7" ht="15">
      <c r="B55" s="544" t="s">
        <v>1086</v>
      </c>
      <c r="C55" s="545"/>
    </row>
    <row r="56" spans="1:7">
      <c r="B56" s="546" t="s">
        <v>1087</v>
      </c>
      <c r="C56" s="548">
        <f ca="1">1-C57</f>
        <v>8.3999999999999964E-2</v>
      </c>
    </row>
    <row r="57" spans="1:7">
      <c r="B57" s="546" t="s">
        <v>1088</v>
      </c>
      <c r="C57" s="547">
        <f ca="1">ROUND(C51/C52,3)</f>
        <v>0.91600000000000004</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564" customWidth="1"/>
    <col min="2" max="9" width="10" style="3564" customWidth="1"/>
    <col min="10" max="16384" width="9" style="3564"/>
  </cols>
  <sheetData>
    <row r="36" spans="1:9">
      <c r="A36" s="3563" t="s">
        <v>75</v>
      </c>
      <c r="B36" s="3563" t="s">
        <v>76</v>
      </c>
    </row>
    <row r="37" spans="1:9" ht="27.75" customHeight="1">
      <c r="A37" s="3563"/>
      <c r="B37" s="3625" t="str">
        <f>项目基本情况!B1</f>
        <v>北京市房地产抵押价值预评估</v>
      </c>
      <c r="C37" s="3625"/>
      <c r="D37" s="3625"/>
      <c r="E37" s="3625"/>
      <c r="F37" s="3625"/>
      <c r="G37" s="3625"/>
      <c r="H37" s="3625"/>
      <c r="I37" s="3625"/>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145" customWidth="1"/>
    <col min="2" max="2" width="25.77734375" style="2418" customWidth="1"/>
    <col min="3" max="3" width="10.33203125" style="2419" customWidth="1"/>
    <col min="4" max="4" width="9.88671875" style="2418" customWidth="1"/>
    <col min="5" max="5" width="9.44140625" style="1145" customWidth="1"/>
    <col min="6" max="6" width="10.109375" style="2418" customWidth="1"/>
    <col min="7" max="7" width="10.77734375" style="2418" customWidth="1"/>
    <col min="8" max="8" width="10" style="2418" customWidth="1"/>
    <col min="9" max="11" width="9.44140625" style="2418" customWidth="1"/>
    <col min="12" max="12" width="9" style="2418" customWidth="1"/>
    <col min="13" max="13" width="10.44140625" style="2418" customWidth="1"/>
    <col min="14" max="254" width="9" style="2418" customWidth="1"/>
    <col min="255" max="16384" width="6.6640625" style="2418"/>
  </cols>
  <sheetData>
    <row r="1" spans="1:33" ht="21">
      <c r="A1" s="464" t="s">
        <v>1089</v>
      </c>
      <c r="B1" s="2143"/>
      <c r="C1" s="2420"/>
      <c r="D1" s="2421"/>
      <c r="E1" s="2422"/>
      <c r="F1" s="2422"/>
      <c r="G1" s="2423"/>
      <c r="H1" s="2422"/>
      <c r="I1" s="2422"/>
      <c r="J1" s="2422"/>
      <c r="K1" s="2491">
        <f>MATCH(C1,'数据-取费表'!A6:A16,0)+5</f>
        <v>7</v>
      </c>
    </row>
    <row r="2" spans="1:33" ht="18" customHeight="1">
      <c r="A2" s="468" t="s">
        <v>997</v>
      </c>
      <c r="B2" s="472">
        <f ca="1">C32</f>
        <v>0</v>
      </c>
      <c r="C2" s="2424" t="s">
        <v>1090</v>
      </c>
      <c r="D2" s="2424"/>
      <c r="E2" s="2422"/>
      <c r="F2" s="2422"/>
      <c r="G2" s="2422"/>
      <c r="H2" s="2422"/>
      <c r="I2" s="2422"/>
      <c r="J2" s="2422"/>
      <c r="K2" s="2422"/>
    </row>
    <row r="3" spans="1:33" ht="18" customHeight="1">
      <c r="A3" s="471" t="s">
        <v>999</v>
      </c>
      <c r="B3" s="472">
        <f ca="1">ROUND(B2*10000/IF(C1="",'数据-汇总表'!E3,INDIRECT("'数据-取费表'!K"&amp;$K$1)),0)</f>
        <v>0</v>
      </c>
      <c r="C3" s="2424" t="s">
        <v>1091</v>
      </c>
      <c r="D3" s="2424"/>
      <c r="E3" s="2422"/>
      <c r="F3" s="2422"/>
      <c r="G3" s="2422"/>
      <c r="H3" s="2422"/>
      <c r="I3" s="2422"/>
      <c r="J3" s="2422"/>
      <c r="K3" s="2422"/>
    </row>
    <row r="4" spans="1:33" s="2409" customFormat="1" ht="16.5" customHeight="1">
      <c r="A4" s="2425" t="s">
        <v>1092</v>
      </c>
      <c r="B4" s="2426"/>
      <c r="C4" s="2427">
        <f>SUM(C8:K8)</f>
        <v>0</v>
      </c>
      <c r="D4" s="2426"/>
      <c r="E4" s="2426"/>
      <c r="F4" s="2426"/>
      <c r="G4" s="2426"/>
      <c r="H4" s="2426"/>
      <c r="I4" s="2426"/>
      <c r="J4" s="2426"/>
      <c r="K4" s="2492"/>
    </row>
    <row r="5" spans="1:33" s="2410" customFormat="1" ht="14.4">
      <c r="A5" s="2428" t="s">
        <v>1093</v>
      </c>
      <c r="B5" s="2429" t="s">
        <v>1094</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904</v>
      </c>
      <c r="B6" s="2106" t="s">
        <v>1095</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908</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954</v>
      </c>
      <c r="B8" s="2435" t="s">
        <v>1096</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1097</v>
      </c>
      <c r="B9" s="2426"/>
      <c r="C9" s="2426"/>
      <c r="D9" s="2426"/>
      <c r="E9" s="2426"/>
      <c r="F9" s="2426"/>
      <c r="G9" s="2426"/>
      <c r="H9" s="2426"/>
      <c r="I9" s="2426"/>
      <c r="J9" s="2426"/>
      <c r="K9" s="2492"/>
    </row>
    <row r="10" spans="1:33" s="2412" customFormat="1" ht="13.5" customHeight="1">
      <c r="A10" s="2428" t="s">
        <v>1093</v>
      </c>
      <c r="B10" s="2438" t="s">
        <v>1094</v>
      </c>
      <c r="C10" s="2439" t="s">
        <v>1098</v>
      </c>
      <c r="D10" s="2440" t="s">
        <v>1099</v>
      </c>
      <c r="E10" s="2440" t="s">
        <v>1100</v>
      </c>
      <c r="F10" s="2440" t="s">
        <v>1101</v>
      </c>
      <c r="G10" s="2438"/>
      <c r="H10" s="2441"/>
      <c r="I10" s="2441"/>
      <c r="J10" s="2441"/>
      <c r="K10" s="2498"/>
    </row>
    <row r="11" spans="1:33" s="2413" customFormat="1" ht="13.5" customHeight="1">
      <c r="A11" s="2442" t="s">
        <v>1012</v>
      </c>
      <c r="B11" s="2443" t="s">
        <v>1102</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1014</v>
      </c>
      <c r="B12" s="2443" t="s">
        <v>1103</v>
      </c>
      <c r="C12" s="1104">
        <f ca="1">ROUND(C11*F12,0)</f>
        <v>0</v>
      </c>
      <c r="D12" s="2445"/>
      <c r="E12" s="2109"/>
      <c r="F12" s="2446">
        <f>'数据-取费表'!B33</f>
        <v>0.03</v>
      </c>
      <c r="G12" s="2438" t="s">
        <v>1104</v>
      </c>
      <c r="H12" s="2441"/>
      <c r="I12" s="2441"/>
      <c r="J12" s="2441"/>
      <c r="K12" s="2498"/>
    </row>
    <row r="13" spans="1:33" s="2413" customFormat="1" ht="13.5" customHeight="1">
      <c r="A13" s="2442" t="s">
        <v>1105</v>
      </c>
      <c r="B13" s="2443" t="s">
        <v>1106</v>
      </c>
      <c r="C13" s="1104">
        <f ca="1">ROUND(IF(C1="",SUMIF('数据-取费表'!C:C,"住宅",'数据-取费表'!P:P)*F13,IF(INDIRECT("'数据-取费表'!c"&amp;$K$1)="住宅",INDIRECT("'数据-取费表'!P"&amp;$K$1)*F13,0)),0)</f>
        <v>0</v>
      </c>
      <c r="D13" s="2447"/>
      <c r="E13" s="2109"/>
      <c r="F13" s="2446">
        <f>'数据-取费表'!B34</f>
        <v>0.05</v>
      </c>
      <c r="G13" s="2438" t="s">
        <v>1107</v>
      </c>
      <c r="H13" s="2441"/>
      <c r="I13" s="2441"/>
      <c r="J13" s="2441"/>
      <c r="K13" s="2498"/>
    </row>
    <row r="14" spans="1:33" s="2414" customFormat="1" ht="13.5" customHeight="1">
      <c r="A14" s="2442" t="s">
        <v>1108</v>
      </c>
      <c r="B14" s="2443" t="s">
        <v>1109</v>
      </c>
      <c r="C14" s="1104">
        <f ca="1">ROUND(D14*E14*F11/10000,0)</f>
        <v>0</v>
      </c>
      <c r="D14" s="2447">
        <f ca="1">IF(C1="",'数据-汇总表'!E3,INDIRECT("'数据-取费表'!K"&amp;$K$1)+INDIRECT("'数据-取费表'!S"&amp;$K$1))</f>
        <v>27298.22</v>
      </c>
      <c r="E14" s="1104">
        <f>'数据-取费表'!B35</f>
        <v>200</v>
      </c>
      <c r="F14" s="2448"/>
      <c r="G14" s="2438" t="s">
        <v>1110</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1111</v>
      </c>
      <c r="B15" s="2443" t="s">
        <v>1112</v>
      </c>
      <c r="C15" s="2449">
        <f ca="1">ROUND(C11*F15,0)</f>
        <v>0</v>
      </c>
      <c r="D15" s="2450"/>
      <c r="E15" s="2449"/>
      <c r="F15" s="2446">
        <f>'数据-取费表'!B36</f>
        <v>1.4999999999999999E-2</v>
      </c>
      <c r="G15" s="2106" t="s">
        <v>1113</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927</v>
      </c>
      <c r="B16" s="2443" t="s">
        <v>1114</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931</v>
      </c>
      <c r="B17" s="2443" t="s">
        <v>1115</v>
      </c>
      <c r="C17" s="1104">
        <f ca="1">ROUND(D17*E17/10000,0)</f>
        <v>0</v>
      </c>
      <c r="D17" s="2447">
        <f ca="1">D14</f>
        <v>27298.22</v>
      </c>
      <c r="E17" s="1104">
        <f>'数据-取费表'!B32</f>
        <v>0</v>
      </c>
      <c r="F17" s="2450"/>
      <c r="G17" s="2106" t="s">
        <v>1116</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1117</v>
      </c>
      <c r="B18" s="2443" t="s">
        <v>1118</v>
      </c>
      <c r="C18" s="1104">
        <f ca="1">C19+C20-IF(C1="",'数据-取费表'!B29,IF(G18="已全部缴纳",C19+C20,H18))</f>
        <v>0</v>
      </c>
      <c r="D18" s="2447"/>
      <c r="E18" s="1104"/>
      <c r="F18" s="2448"/>
      <c r="G18" s="2452"/>
      <c r="H18" s="2453"/>
      <c r="I18" s="2499" t="s">
        <v>1119</v>
      </c>
      <c r="J18" s="2221"/>
      <c r="K18" s="2222"/>
    </row>
    <row r="19" spans="1:33" s="2413" customFormat="1" ht="13.5" customHeight="1">
      <c r="A19" s="2442" t="s">
        <v>1012</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1014</v>
      </c>
      <c r="B20" s="2443" t="s">
        <v>1120</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904</v>
      </c>
      <c r="B21" s="2456" t="s">
        <v>1121</v>
      </c>
      <c r="C21" s="2457">
        <f ca="1">C16+C17+C18</f>
        <v>0</v>
      </c>
      <c r="D21" s="2458"/>
      <c r="E21" s="2459"/>
      <c r="F21" s="2459"/>
      <c r="G21" s="2106" t="s">
        <v>1122</v>
      </c>
      <c r="H21" s="2221"/>
      <c r="I21" s="2221"/>
      <c r="J21" s="2221"/>
      <c r="K21" s="2222"/>
    </row>
    <row r="22" spans="1:33" s="2413" customFormat="1" ht="13.5" customHeight="1">
      <c r="A22" s="2431" t="s">
        <v>908</v>
      </c>
      <c r="B22" s="2456" t="s">
        <v>1123</v>
      </c>
      <c r="C22" s="2457">
        <f ca="1">ROUND(C21*F22,0)</f>
        <v>0</v>
      </c>
      <c r="D22" s="2459"/>
      <c r="E22" s="2459"/>
      <c r="F22" s="2460">
        <f>'数据-取费表'!B37</f>
        <v>0.02</v>
      </c>
      <c r="G22" s="2438" t="s">
        <v>1124</v>
      </c>
      <c r="H22" s="2441"/>
      <c r="I22" s="2441"/>
      <c r="J22" s="2441"/>
      <c r="K22" s="2498"/>
    </row>
    <row r="23" spans="1:33" s="2413" customFormat="1" ht="13.5" customHeight="1">
      <c r="A23" s="2431" t="s">
        <v>954</v>
      </c>
      <c r="B23" s="2456" t="s">
        <v>1125</v>
      </c>
      <c r="C23" s="2457">
        <f ca="1">ROUND(C4*F23*F11,0)</f>
        <v>0</v>
      </c>
      <c r="D23" s="2459"/>
      <c r="E23" s="2459"/>
      <c r="F23" s="2460">
        <f>'数据-取费表'!B38</f>
        <v>0.02</v>
      </c>
      <c r="G23" s="2438" t="s">
        <v>1126</v>
      </c>
      <c r="H23" s="2441"/>
      <c r="I23" s="2441"/>
      <c r="J23" s="2441"/>
      <c r="K23" s="2498"/>
    </row>
    <row r="24" spans="1:33" s="2413" customFormat="1" ht="13.5" customHeight="1">
      <c r="A24" s="2431" t="s">
        <v>958</v>
      </c>
      <c r="B24" s="2456" t="s">
        <v>1127</v>
      </c>
      <c r="C24" s="2461">
        <f>ROUND(F24/(1+'数据-取费表'!C42),4)</f>
        <v>2.9000000000000001E-2</v>
      </c>
      <c r="D24" s="2459" t="s">
        <v>1128</v>
      </c>
      <c r="E24" s="2459"/>
      <c r="F24" s="2460">
        <f>IF(项目基本情况!B8="出让",0,'数据-取费表'!B48+'数据-取费表'!B49)</f>
        <v>3.0499999999999999E-2</v>
      </c>
      <c r="G24" s="2438" t="s">
        <v>1129</v>
      </c>
      <c r="H24" s="2462"/>
      <c r="I24" s="2462"/>
      <c r="J24" s="2462"/>
      <c r="K24" s="2501"/>
    </row>
    <row r="25" spans="1:33" s="2413" customFormat="1" ht="13.5" customHeight="1">
      <c r="A25" s="2431" t="s">
        <v>962</v>
      </c>
      <c r="B25" s="2458" t="s">
        <v>1130</v>
      </c>
      <c r="C25" s="2463">
        <f ca="1">C27</f>
        <v>0</v>
      </c>
      <c r="D25" s="2461">
        <f ca="1">C26</f>
        <v>0</v>
      </c>
      <c r="E25" s="2464" t="s">
        <v>1128</v>
      </c>
      <c r="F25" s="2465">
        <f ca="1">'数据-取费表'!B40</f>
        <v>4.3499999999999997E-2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927</v>
      </c>
      <c r="B26" s="2466" t="s">
        <v>1131</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931</v>
      </c>
      <c r="B27" s="2466" t="s">
        <v>1132</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963</v>
      </c>
      <c r="B28" s="2473" t="s">
        <v>1133</v>
      </c>
      <c r="C28" s="2474">
        <f ca="1">C30</f>
        <v>0</v>
      </c>
      <c r="D28" s="2461">
        <f ca="1">C29</f>
        <v>0</v>
      </c>
      <c r="E28" s="2464" t="s">
        <v>1128</v>
      </c>
      <c r="F28" s="1404">
        <f ca="1">IF(C1="",'数据-取费表'!Q16,INDIRECT("'数据-取费表'!q"&amp;$K$1))</f>
        <v>0.2</v>
      </c>
      <c r="G28" s="2475"/>
      <c r="H28" s="2462"/>
      <c r="I28" s="2462"/>
      <c r="J28" s="2462"/>
      <c r="K28" s="2501"/>
    </row>
    <row r="29" spans="1:33" s="2417" customFormat="1" ht="13.5" customHeight="1">
      <c r="A29" s="2442" t="s">
        <v>927</v>
      </c>
      <c r="B29" s="2476" t="s">
        <v>1134</v>
      </c>
      <c r="C29" s="2468">
        <f ca="1">ROUND((1+C24)*F28*'数据-取费表'!B24/'数据-取费表'!B20,4)</f>
        <v>0</v>
      </c>
      <c r="D29" s="2468"/>
      <c r="E29" s="2469"/>
      <c r="F29" s="2477"/>
      <c r="G29" s="2106" t="s">
        <v>1135</v>
      </c>
      <c r="H29" s="2221"/>
      <c r="I29" s="2221"/>
      <c r="J29" s="2221"/>
      <c r="K29" s="2222"/>
    </row>
    <row r="30" spans="1:33" s="2417" customFormat="1" ht="13.5" customHeight="1">
      <c r="A30" s="2442" t="s">
        <v>931</v>
      </c>
      <c r="B30" s="2476" t="s">
        <v>1136</v>
      </c>
      <c r="C30" s="2478">
        <f ca="1">ROUND((C21+C22+C23)*F28,0)</f>
        <v>0</v>
      </c>
      <c r="D30" s="2468"/>
      <c r="E30" s="2469"/>
      <c r="F30" s="2477"/>
      <c r="G30" s="2106"/>
      <c r="H30" s="2221"/>
      <c r="I30" s="2221"/>
      <c r="J30" s="2221"/>
      <c r="K30" s="2222"/>
    </row>
    <row r="31" spans="1:33" s="2413" customFormat="1" ht="13.5" customHeight="1">
      <c r="A31" s="2479" t="s">
        <v>1137</v>
      </c>
      <c r="B31" s="2480" t="s">
        <v>1138</v>
      </c>
      <c r="C31" s="2481">
        <f>ROUND(C4*F31/(1+'数据-取费表'!C42),0)</f>
        <v>0</v>
      </c>
      <c r="D31" s="2482"/>
      <c r="E31" s="2483"/>
      <c r="F31" s="2484">
        <f>'数据-取费表'!B41</f>
        <v>5.6000000000000001E-2</v>
      </c>
      <c r="G31" s="2485" t="s">
        <v>1139</v>
      </c>
      <c r="H31" s="2486"/>
      <c r="I31" s="2486"/>
      <c r="J31" s="2486"/>
      <c r="K31" s="2502"/>
    </row>
    <row r="32" spans="1:33" s="2412" customFormat="1" ht="13.5" customHeight="1">
      <c r="A32" s="2487" t="s">
        <v>1140</v>
      </c>
      <c r="B32" s="2488"/>
      <c r="C32" s="2489">
        <f ca="1">ROUND((C4-C21-C22-C23-C25-C28-C31)/(1+C24+D25+D28),0)</f>
        <v>0</v>
      </c>
      <c r="D32" s="2488"/>
      <c r="E32" s="2488"/>
      <c r="F32" s="2488"/>
      <c r="G32" s="2490" t="s">
        <v>1141</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1143</v>
      </c>
      <c r="C1" s="1609" t="s">
        <v>1144</v>
      </c>
      <c r="D1" s="1552" t="s">
        <v>549</v>
      </c>
      <c r="E1" s="1750" t="s">
        <v>1145</v>
      </c>
      <c r="F1" s="1554" t="s">
        <v>1146</v>
      </c>
      <c r="G1" s="1555" t="s">
        <v>1147</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997</v>
      </c>
      <c r="B2" s="1558" t="e">
        <f>IF(E1="项目模式",IF(C2="——",ROUND(C49*D3/10000,0),ROUND(C49*D3/10000,0)-D2),IF(E1="单套模式",IF(C2="——",ROUND(C49*D3/10000,4),ROUND(C49*D3/10000,4)-D2)))</f>
        <v>#DIV/0!</v>
      </c>
      <c r="C2" s="1559" t="s">
        <v>124</v>
      </c>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999</v>
      </c>
      <c r="B3" s="1187" t="e">
        <f>IF(C2="——",C49,ROUND(B2*10000/D3,0))</f>
        <v>#DIV/0!</v>
      </c>
      <c r="C3" s="1562" t="s">
        <v>1148</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26" t="s">
        <v>1152</v>
      </c>
      <c r="AC4" s="3841" t="s">
        <v>1153</v>
      </c>
    </row>
    <row r="5" spans="1:29">
      <c r="A5" s="1191"/>
      <c r="B5" s="1192"/>
      <c r="C5" s="3814" t="s">
        <v>1156</v>
      </c>
      <c r="D5" s="3815"/>
      <c r="E5" s="3816" t="str">
        <f>'22年大宗'!B24</f>
        <v>通州富力中心</v>
      </c>
      <c r="F5" s="3817"/>
      <c r="G5" s="3814" t="str">
        <f>'22年大宗'!B17</f>
        <v>金茂广场1#楼</v>
      </c>
      <c r="H5" s="3815"/>
      <c r="I5" s="3814" t="str">
        <f>'22年大宗'!B20</f>
        <v>诺德中心</v>
      </c>
      <c r="J5" s="3815"/>
      <c r="K5" s="1336"/>
      <c r="L5" s="1337"/>
      <c r="M5" s="1338"/>
      <c r="N5" s="1338"/>
      <c r="O5" s="1338"/>
      <c r="P5" s="3846"/>
      <c r="Q5" s="3847"/>
      <c r="R5" s="3852"/>
      <c r="S5" s="3853"/>
      <c r="T5" s="3852"/>
      <c r="U5" s="3853"/>
      <c r="V5" s="3826"/>
      <c r="W5" s="3826"/>
      <c r="X5" s="1380"/>
      <c r="Y5" s="3852"/>
      <c r="Z5" s="3853"/>
      <c r="AA5" s="3842"/>
      <c r="AB5" s="3826"/>
      <c r="AC5" s="3842"/>
    </row>
    <row r="6" spans="1:29" ht="14.4">
      <c r="A6" s="1193"/>
      <c r="B6" s="1194"/>
      <c r="C6" s="3818" t="s">
        <v>1157</v>
      </c>
      <c r="D6" s="3819"/>
      <c r="E6" s="3820" t="s">
        <v>1157</v>
      </c>
      <c r="F6" s="3821"/>
      <c r="G6" s="3818" t="s">
        <v>1157</v>
      </c>
      <c r="H6" s="3819"/>
      <c r="I6" s="3818" t="s">
        <v>1157</v>
      </c>
      <c r="J6" s="3819"/>
      <c r="K6" s="1336" t="s">
        <v>1158</v>
      </c>
      <c r="L6" s="1337"/>
      <c r="M6" s="1338"/>
      <c r="N6" s="1338"/>
      <c r="O6" s="1338"/>
      <c r="P6" s="3848"/>
      <c r="Q6" s="3849"/>
      <c r="R6" s="3852"/>
      <c r="S6" s="3853"/>
      <c r="T6" s="3854"/>
      <c r="U6" s="3855"/>
      <c r="V6" s="3826"/>
      <c r="W6" s="3826"/>
      <c r="X6" s="1380"/>
      <c r="Y6" s="3854"/>
      <c r="Z6" s="3855"/>
      <c r="AA6" s="3843"/>
      <c r="AB6" s="3826"/>
      <c r="AC6" s="3843"/>
    </row>
    <row r="7" spans="1:29" s="1170" customFormat="1" ht="14.4">
      <c r="A7" s="1195" t="s">
        <v>1159</v>
      </c>
      <c r="B7" s="1196"/>
      <c r="C7" s="1197">
        <f>'数据-取费表'!B2</f>
        <v>44196</v>
      </c>
      <c r="D7" s="1198">
        <v>100</v>
      </c>
      <c r="E7" s="1199">
        <v>44805</v>
      </c>
      <c r="F7" s="1200">
        <f>SUMIF(58:58,YEAR(E7)&amp;"-"&amp;MONTH(E7),59:59)</f>
        <v>0</v>
      </c>
      <c r="G7" s="1199">
        <v>44805</v>
      </c>
      <c r="H7" s="1198">
        <f>SUMIF(58:58,YEAR(G7)&amp;"-"&amp;MONTH(G7),59:59)</f>
        <v>0</v>
      </c>
      <c r="I7" s="1199">
        <v>44896</v>
      </c>
      <c r="J7" s="1198">
        <f>SUMIF(58:58,YEAR(I7)&amp;"-"&amp;MONTH(I7),59:59)</f>
        <v>0</v>
      </c>
      <c r="K7" s="1339"/>
      <c r="L7" s="1340"/>
      <c r="M7" s="1341"/>
      <c r="N7" s="1341"/>
      <c r="O7" s="1341"/>
      <c r="P7" s="382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395" t="e">
        <f>D7/J7</f>
        <v>#DIV/0!</v>
      </c>
    </row>
    <row r="8" spans="1:29" s="1170" customFormat="1" ht="14.4">
      <c r="A8" s="1195" t="s">
        <v>1162</v>
      </c>
      <c r="B8" s="1196"/>
      <c r="C8" s="1202" t="s">
        <v>882</v>
      </c>
      <c r="D8" s="1198">
        <v>100</v>
      </c>
      <c r="E8" s="1202" t="s">
        <v>882</v>
      </c>
      <c r="F8" s="1200">
        <f>SUMIF(61:61,E8,62:62)-SUMIF(61:61,C8,62:62)+100</f>
        <v>100</v>
      </c>
      <c r="G8" s="1202" t="s">
        <v>882</v>
      </c>
      <c r="H8" s="1198">
        <f>SUMIF(61:61,G8,62:62)-SUMIF(61:61,C8,62:62)+100</f>
        <v>100</v>
      </c>
      <c r="I8" s="1202" t="s">
        <v>882</v>
      </c>
      <c r="J8" s="1198">
        <f>SUMIF(61:61,I8,62:62)-SUMIF(61:61,C8,62:62)+100</f>
        <v>100</v>
      </c>
      <c r="K8" s="1339"/>
      <c r="L8" s="1340"/>
      <c r="M8" s="1341"/>
      <c r="N8" s="1341"/>
      <c r="O8" s="1341"/>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46" si="3">D8/F8</f>
        <v>1</v>
      </c>
      <c r="AB8" s="1395">
        <f t="shared" ref="AB8:AB46" si="4">D8/H8</f>
        <v>1</v>
      </c>
      <c r="AC8" s="1395">
        <f t="shared" ref="AC8:AC46" si="5">D8/J8</f>
        <v>1</v>
      </c>
    </row>
    <row r="9" spans="1:29" s="1170" customFormat="1" ht="14.4">
      <c r="A9" s="1203" t="s">
        <v>1164</v>
      </c>
      <c r="B9" s="1204" t="s">
        <v>1165</v>
      </c>
      <c r="C9" s="2365" t="s">
        <v>549</v>
      </c>
      <c r="D9" s="1206">
        <v>100</v>
      </c>
      <c r="E9" s="2366" t="s">
        <v>1166</v>
      </c>
      <c r="F9" s="1566">
        <f>SUMIF(63:63,E9,64:64)-SUMIF(63:63,C9,64:64)+100</f>
        <v>90</v>
      </c>
      <c r="G9" s="2366" t="s">
        <v>1166</v>
      </c>
      <c r="H9" s="1206">
        <f>SUMIF(63:63,G9,64:64)-SUMIF(63:63,C9,64:64)+100</f>
        <v>90</v>
      </c>
      <c r="I9" s="2366" t="s">
        <v>1166</v>
      </c>
      <c r="J9" s="1206">
        <f>SUMIF(63:63,I9,64:64)-SUMIF(63:63,C9,64:64)+100</f>
        <v>90</v>
      </c>
      <c r="K9" s="1339"/>
      <c r="L9" s="1340"/>
      <c r="M9" s="1341"/>
      <c r="N9" s="1341"/>
      <c r="O9" s="1341"/>
      <c r="P9" s="3827" t="s">
        <v>1167</v>
      </c>
      <c r="Q9" s="1385" t="str">
        <f t="shared" ref="Q9:Q15" si="6">B9</f>
        <v>用途</v>
      </c>
      <c r="R9" s="1381" t="s">
        <v>1161</v>
      </c>
      <c r="S9" s="1382">
        <f t="shared" si="0"/>
        <v>90</v>
      </c>
      <c r="T9" s="1381" t="s">
        <v>1161</v>
      </c>
      <c r="U9" s="1382">
        <f t="shared" si="1"/>
        <v>90</v>
      </c>
      <c r="V9" s="1381" t="s">
        <v>1161</v>
      </c>
      <c r="W9" s="1382">
        <f t="shared" si="2"/>
        <v>90</v>
      </c>
      <c r="X9" s="1383"/>
      <c r="Y9" s="3801" t="s">
        <v>1168</v>
      </c>
      <c r="Z9" s="1396" t="str">
        <f t="shared" ref="Z9:Z15" si="7">Q9</f>
        <v>用途</v>
      </c>
      <c r="AA9" s="1395">
        <f t="shared" si="3"/>
        <v>1.1111111111111112</v>
      </c>
      <c r="AB9" s="1395">
        <f t="shared" si="4"/>
        <v>1.1111111111111112</v>
      </c>
      <c r="AC9" s="1395">
        <f t="shared" si="5"/>
        <v>1.1111111111111112</v>
      </c>
    </row>
    <row r="10" spans="1:29" s="1171" customFormat="1" ht="28.8">
      <c r="A10" s="1207"/>
      <c r="B10" s="1208" t="s">
        <v>1169</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827"/>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1170</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7"/>
      <c r="Q11" s="1385" t="str">
        <f t="shared" si="6"/>
        <v>容积率</v>
      </c>
      <c r="R11" s="1381" t="s">
        <v>1161</v>
      </c>
      <c r="S11" s="1382">
        <f t="shared" si="0"/>
        <v>100</v>
      </c>
      <c r="T11" s="1381" t="s">
        <v>1161</v>
      </c>
      <c r="U11" s="1382">
        <f t="shared" si="1"/>
        <v>100</v>
      </c>
      <c r="V11" s="1381" t="s">
        <v>1161</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7"/>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7"/>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7"/>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29" ht="69">
      <c r="A15" s="1225" t="s">
        <v>1171</v>
      </c>
      <c r="B15" s="1518" t="s">
        <v>1172</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828" t="s">
        <v>1173</v>
      </c>
      <c r="Q15" s="754" t="str">
        <f t="shared" si="6"/>
        <v>商业繁华度</v>
      </c>
      <c r="R15" s="1386" t="s">
        <v>1161</v>
      </c>
      <c r="S15" s="1387">
        <f t="shared" si="0"/>
        <v>95</v>
      </c>
      <c r="T15" s="1386" t="s">
        <v>1161</v>
      </c>
      <c r="U15" s="1387">
        <f t="shared" si="1"/>
        <v>95</v>
      </c>
      <c r="V15" s="1386" t="s">
        <v>1161</v>
      </c>
      <c r="W15" s="1387">
        <f t="shared" si="2"/>
        <v>95</v>
      </c>
      <c r="X15" s="1380"/>
      <c r="Y15" s="3833" t="s">
        <v>1173</v>
      </c>
      <c r="Z15" s="1370" t="str">
        <f t="shared" si="7"/>
        <v>商业繁华度</v>
      </c>
      <c r="AA15" s="1397">
        <f t="shared" si="3"/>
        <v>1.0526315789473684</v>
      </c>
      <c r="AB15" s="1397">
        <f t="shared" si="4"/>
        <v>1.0526315789473684</v>
      </c>
      <c r="AC15" s="1397">
        <f t="shared" si="5"/>
        <v>1.0526315789473684</v>
      </c>
    </row>
    <row r="16" spans="1:29" ht="15">
      <c r="A16" s="1211"/>
      <c r="B16" s="1520"/>
      <c r="C16" s="2370" t="s">
        <v>1174</v>
      </c>
      <c r="D16" s="1232"/>
      <c r="E16" s="2370" t="s">
        <v>1175</v>
      </c>
      <c r="F16" s="1572"/>
      <c r="G16" s="2370" t="s">
        <v>1175</v>
      </c>
      <c r="H16" s="1234"/>
      <c r="I16" s="2370" t="s">
        <v>1175</v>
      </c>
      <c r="J16" s="1232"/>
      <c r="K16" s="1611"/>
      <c r="L16" s="1350"/>
      <c r="M16" s="1338"/>
      <c r="N16" s="1338"/>
      <c r="O16" s="1338"/>
      <c r="P16" s="3829"/>
      <c r="Q16" s="754"/>
      <c r="R16" s="1386"/>
      <c r="S16" s="1387"/>
      <c r="T16" s="1386"/>
      <c r="U16" s="1387"/>
      <c r="V16" s="1386"/>
      <c r="W16" s="1387"/>
      <c r="X16" s="1380"/>
      <c r="Y16" s="3834"/>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9"/>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829"/>
      <c r="Q18" s="754"/>
      <c r="R18" s="1386"/>
      <c r="S18" s="1387"/>
      <c r="T18" s="1386"/>
      <c r="U18" s="1387"/>
      <c r="V18" s="1386"/>
      <c r="W18" s="1387"/>
      <c r="X18" s="1380"/>
      <c r="Y18" s="3834"/>
      <c r="Z18" s="1370"/>
      <c r="AA18" s="1397">
        <v>1</v>
      </c>
      <c r="AB18" s="1397">
        <v>1</v>
      </c>
      <c r="AC18" s="1397">
        <v>1</v>
      </c>
    </row>
    <row r="19" spans="1:29" ht="41.4">
      <c r="A19" s="1211"/>
      <c r="B19" s="1521" t="s">
        <v>1177</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9"/>
      <c r="Q19" s="754" t="str">
        <f>B19</f>
        <v>公共配套设施</v>
      </c>
      <c r="R19" s="1386" t="s">
        <v>1161</v>
      </c>
      <c r="S19" s="1387">
        <f>F19</f>
        <v>100</v>
      </c>
      <c r="T19" s="1386" t="s">
        <v>1161</v>
      </c>
      <c r="U19" s="1387">
        <f>H19</f>
        <v>100</v>
      </c>
      <c r="V19" s="1386" t="s">
        <v>1161</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829"/>
      <c r="Q20" s="754"/>
      <c r="R20" s="1386"/>
      <c r="S20" s="1387"/>
      <c r="T20" s="1386"/>
      <c r="U20" s="1387"/>
      <c r="V20" s="1386"/>
      <c r="W20" s="1387"/>
      <c r="X20" s="1380"/>
      <c r="Y20" s="3834"/>
      <c r="Z20" s="1370"/>
      <c r="AA20" s="1397">
        <v>1</v>
      </c>
      <c r="AB20" s="1397">
        <v>1</v>
      </c>
      <c r="AC20" s="1397">
        <v>1</v>
      </c>
    </row>
    <row r="21" spans="1:29" ht="27.6">
      <c r="A21" s="1211"/>
      <c r="B21" s="1525" t="s">
        <v>1178</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9"/>
      <c r="Q21" s="754" t="str">
        <f>B21</f>
        <v>基础设施水平</v>
      </c>
      <c r="R21" s="1386" t="s">
        <v>1161</v>
      </c>
      <c r="S21" s="1387">
        <f>F21</f>
        <v>100</v>
      </c>
      <c r="T21" s="1386" t="s">
        <v>1161</v>
      </c>
      <c r="U21" s="1387">
        <f>H21</f>
        <v>100</v>
      </c>
      <c r="V21" s="1386" t="s">
        <v>1161</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829"/>
      <c r="Q22" s="754"/>
      <c r="R22" s="1386"/>
      <c r="S22" s="1387"/>
      <c r="T22" s="1386"/>
      <c r="U22" s="1387"/>
      <c r="V22" s="1386"/>
      <c r="W22" s="1387"/>
      <c r="X22" s="1380"/>
      <c r="Y22" s="3834"/>
      <c r="Z22" s="1370"/>
      <c r="AA22" s="1397">
        <v>1</v>
      </c>
      <c r="AB22" s="1397">
        <v>1</v>
      </c>
      <c r="AC22" s="1397">
        <v>1</v>
      </c>
    </row>
    <row r="23" spans="1:29" ht="55.2">
      <c r="A23" s="1211"/>
      <c r="B23" s="1521" t="s">
        <v>1179</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9"/>
      <c r="Q23" s="754" t="str">
        <f>B23</f>
        <v>自然及人文环境</v>
      </c>
      <c r="R23" s="1386" t="s">
        <v>1161</v>
      </c>
      <c r="S23" s="1387">
        <f>F23</f>
        <v>100</v>
      </c>
      <c r="T23" s="1386" t="s">
        <v>1161</v>
      </c>
      <c r="U23" s="1387">
        <f>H23</f>
        <v>100</v>
      </c>
      <c r="V23" s="1386" t="s">
        <v>1161</v>
      </c>
      <c r="W23" s="1387">
        <f>J23</f>
        <v>100</v>
      </c>
      <c r="X23" s="1380"/>
      <c r="Y23" s="3834"/>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1180</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829"/>
      <c r="Q25" s="754" t="str">
        <f t="shared" ref="Q25:Q46" si="11">B25</f>
        <v>临街状况</v>
      </c>
      <c r="R25" s="1386" t="s">
        <v>1161</v>
      </c>
      <c r="S25" s="1387">
        <f>F25</f>
        <v>100</v>
      </c>
      <c r="T25" s="1386" t="s">
        <v>1161</v>
      </c>
      <c r="U25" s="1387">
        <f>H25</f>
        <v>100</v>
      </c>
      <c r="V25" s="1386" t="s">
        <v>1161</v>
      </c>
      <c r="W25" s="1387">
        <f>J25</f>
        <v>100</v>
      </c>
      <c r="X25" s="1380"/>
      <c r="Y25" s="3834"/>
      <c r="Z25" s="1370" t="str">
        <f>Q25</f>
        <v>临街状况</v>
      </c>
      <c r="AA25" s="1397">
        <f t="shared" si="3"/>
        <v>1</v>
      </c>
      <c r="AB25" s="1397">
        <f t="shared" si="4"/>
        <v>1</v>
      </c>
      <c r="AC25" s="1397">
        <f t="shared" si="5"/>
        <v>1</v>
      </c>
    </row>
    <row r="26" spans="1:29" ht="15">
      <c r="A26" s="1211"/>
      <c r="B26" s="1526" t="s">
        <v>1181</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9"/>
      <c r="Q26" s="754" t="str">
        <f t="shared" si="11"/>
        <v>平面位置/可视性</v>
      </c>
      <c r="R26" s="1386" t="s">
        <v>1161</v>
      </c>
      <c r="S26" s="1387">
        <f>F26</f>
        <v>100</v>
      </c>
      <c r="T26" s="1386" t="s">
        <v>1161</v>
      </c>
      <c r="U26" s="1387">
        <f>H26</f>
        <v>100</v>
      </c>
      <c r="V26" s="1386" t="s">
        <v>1161</v>
      </c>
      <c r="W26" s="1387">
        <f>J26</f>
        <v>100</v>
      </c>
      <c r="X26" s="1380"/>
      <c r="Y26" s="3834"/>
      <c r="Z26" s="1370" t="str">
        <f>Q26</f>
        <v>平面位置/可视性</v>
      </c>
      <c r="AA26" s="1397">
        <f t="shared" si="3"/>
        <v>1</v>
      </c>
      <c r="AB26" s="1397">
        <f t="shared" si="4"/>
        <v>1</v>
      </c>
      <c r="AC26" s="1397">
        <f t="shared" si="5"/>
        <v>1</v>
      </c>
    </row>
    <row r="27" spans="1:29" s="1170" customFormat="1" ht="15">
      <c r="A27" s="1214"/>
      <c r="B27" s="1521" t="s">
        <v>1182</v>
      </c>
      <c r="C27" s="2378" t="s">
        <v>1183</v>
      </c>
      <c r="D27" s="1687">
        <v>100</v>
      </c>
      <c r="E27" s="2378" t="s">
        <v>1184</v>
      </c>
      <c r="F27" s="1688">
        <f>SUMIF(90:90,E27,91:91)-SUMIF(90:90,C27,91:91)+100</f>
        <v>90</v>
      </c>
      <c r="G27" s="2378" t="s">
        <v>1185</v>
      </c>
      <c r="H27" s="1687">
        <f>SUMIF(90:90,G27,91:91)-SUMIF(90:90,C27,91:91)+100</f>
        <v>95</v>
      </c>
      <c r="I27" s="2378" t="s">
        <v>1185</v>
      </c>
      <c r="J27" s="1687">
        <f>SUMIF(90:90,I27,91:91)-SUMIF(90:90,C27,91:91)+100</f>
        <v>95</v>
      </c>
      <c r="K27" s="1356">
        <v>5</v>
      </c>
      <c r="L27" s="1340"/>
      <c r="M27" s="1341"/>
      <c r="N27" s="1341"/>
      <c r="O27" s="1341"/>
      <c r="P27" s="3829"/>
      <c r="Q27" s="1385" t="str">
        <f t="shared" si="11"/>
        <v>人流量</v>
      </c>
      <c r="R27" s="1381" t="s">
        <v>1161</v>
      </c>
      <c r="S27" s="1382">
        <f>F27</f>
        <v>90</v>
      </c>
      <c r="T27" s="1381" t="s">
        <v>1161</v>
      </c>
      <c r="U27" s="1382">
        <f>H27</f>
        <v>95</v>
      </c>
      <c r="V27" s="1381" t="s">
        <v>1161</v>
      </c>
      <c r="W27" s="1382">
        <f>J27</f>
        <v>95</v>
      </c>
      <c r="X27" s="1383"/>
      <c r="Y27" s="3834"/>
      <c r="Z27" s="1396" t="str">
        <f>Q27</f>
        <v>人流量</v>
      </c>
      <c r="AA27" s="1397">
        <f t="shared" si="3"/>
        <v>1.1111111111111112</v>
      </c>
      <c r="AB27" s="1397">
        <f t="shared" si="4"/>
        <v>1.0526315789473684</v>
      </c>
      <c r="AC27" s="1397">
        <f t="shared" si="5"/>
        <v>1.0526315789473684</v>
      </c>
    </row>
    <row r="28" spans="1:29" ht="15">
      <c r="A28" s="1211"/>
      <c r="B28" s="1208" t="s">
        <v>1186</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9"/>
      <c r="Q28" s="754" t="str">
        <f t="shared" si="11"/>
        <v>楼层</v>
      </c>
      <c r="R28" s="1386" t="s">
        <v>1161</v>
      </c>
      <c r="S28" s="1387">
        <f t="shared" ref="S28:S46" si="12">F28</f>
        <v>100</v>
      </c>
      <c r="T28" s="1386" t="s">
        <v>1161</v>
      </c>
      <c r="U28" s="1387">
        <f t="shared" ref="U28:U46" si="13">H28</f>
        <v>100</v>
      </c>
      <c r="V28" s="1386" t="s">
        <v>1161</v>
      </c>
      <c r="W28" s="1387">
        <f t="shared" ref="W28:W46" si="14">J28</f>
        <v>100</v>
      </c>
      <c r="X28" s="1380"/>
      <c r="Y28" s="3834"/>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9"/>
      <c r="Q29" s="754">
        <f t="shared" si="11"/>
        <v>111</v>
      </c>
      <c r="R29" s="1386" t="s">
        <v>1161</v>
      </c>
      <c r="S29" s="1387">
        <f t="shared" si="12"/>
        <v>100</v>
      </c>
      <c r="T29" s="1386" t="s">
        <v>1161</v>
      </c>
      <c r="U29" s="1387">
        <f t="shared" si="13"/>
        <v>100</v>
      </c>
      <c r="V29" s="1386" t="s">
        <v>1161</v>
      </c>
      <c r="W29" s="1387">
        <f t="shared" si="14"/>
        <v>100</v>
      </c>
      <c r="X29" s="1380"/>
      <c r="Y29" s="3834"/>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9"/>
      <c r="Q30" s="754">
        <f t="shared" si="11"/>
        <v>111</v>
      </c>
      <c r="R30" s="1386" t="s">
        <v>1161</v>
      </c>
      <c r="S30" s="1387">
        <f t="shared" si="12"/>
        <v>100</v>
      </c>
      <c r="T30" s="1386" t="s">
        <v>1161</v>
      </c>
      <c r="U30" s="1387">
        <f t="shared" si="13"/>
        <v>100</v>
      </c>
      <c r="V30" s="1386" t="s">
        <v>1161</v>
      </c>
      <c r="W30" s="1387">
        <f t="shared" si="14"/>
        <v>100</v>
      </c>
      <c r="X30" s="1380"/>
      <c r="Y30" s="3834"/>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9"/>
      <c r="Q31" s="754">
        <f t="shared" si="11"/>
        <v>111</v>
      </c>
      <c r="R31" s="1386" t="s">
        <v>1161</v>
      </c>
      <c r="S31" s="1387">
        <f t="shared" si="12"/>
        <v>100</v>
      </c>
      <c r="T31" s="1386" t="s">
        <v>1161</v>
      </c>
      <c r="U31" s="1387">
        <f t="shared" si="13"/>
        <v>100</v>
      </c>
      <c r="V31" s="1386" t="s">
        <v>1161</v>
      </c>
      <c r="W31" s="1387">
        <f t="shared" si="14"/>
        <v>100</v>
      </c>
      <c r="X31" s="1380"/>
      <c r="Y31" s="3834"/>
      <c r="Z31" s="1370">
        <f t="shared" si="15"/>
        <v>111</v>
      </c>
      <c r="AA31" s="1397">
        <f t="shared" si="3"/>
        <v>1</v>
      </c>
      <c r="AB31" s="1397">
        <f t="shared" si="4"/>
        <v>1</v>
      </c>
      <c r="AC31" s="1397">
        <f t="shared" si="5"/>
        <v>1</v>
      </c>
    </row>
    <row r="32" spans="1:29" ht="15">
      <c r="A32" s="1225" t="s">
        <v>1187</v>
      </c>
      <c r="B32" s="1204" t="s">
        <v>1188</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30" t="s">
        <v>1189</v>
      </c>
      <c r="Q32" s="754" t="str">
        <f t="shared" si="11"/>
        <v>商业类型</v>
      </c>
      <c r="R32" s="1386" t="s">
        <v>1161</v>
      </c>
      <c r="S32" s="1387">
        <f t="shared" si="12"/>
        <v>100</v>
      </c>
      <c r="T32" s="1386" t="s">
        <v>1161</v>
      </c>
      <c r="U32" s="1387">
        <f t="shared" si="13"/>
        <v>100</v>
      </c>
      <c r="V32" s="1386" t="s">
        <v>1161</v>
      </c>
      <c r="W32" s="1387">
        <f t="shared" si="14"/>
        <v>100</v>
      </c>
      <c r="X32" s="1380"/>
      <c r="Y32" s="3835" t="s">
        <v>1189</v>
      </c>
      <c r="Z32" s="1370" t="str">
        <f t="shared" si="15"/>
        <v>商业类型</v>
      </c>
      <c r="AA32" s="1397">
        <f t="shared" si="3"/>
        <v>1</v>
      </c>
      <c r="AB32" s="1397">
        <f t="shared" si="4"/>
        <v>1</v>
      </c>
      <c r="AC32" s="1397">
        <f t="shared" si="5"/>
        <v>1</v>
      </c>
    </row>
    <row r="33" spans="1:29" s="1172" customFormat="1" ht="15">
      <c r="A33" s="1267"/>
      <c r="B33" s="1208" t="s">
        <v>1190</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831"/>
      <c r="Q33" s="1614" t="str">
        <f t="shared" si="11"/>
        <v>项目建筑规模</v>
      </c>
      <c r="R33" s="1388" t="s">
        <v>1161</v>
      </c>
      <c r="S33" s="1389">
        <f t="shared" si="12"/>
        <v>103</v>
      </c>
      <c r="T33" s="1388" t="s">
        <v>1161</v>
      </c>
      <c r="U33" s="1389">
        <f t="shared" si="13"/>
        <v>98</v>
      </c>
      <c r="V33" s="1388" t="s">
        <v>1161</v>
      </c>
      <c r="W33" s="1389">
        <f t="shared" si="14"/>
        <v>98</v>
      </c>
      <c r="X33" s="1390"/>
      <c r="Y33" s="3835"/>
      <c r="Z33" s="1398" t="str">
        <f t="shared" si="15"/>
        <v>项目建筑规模</v>
      </c>
      <c r="AA33" s="1397">
        <f t="shared" si="3"/>
        <v>0.970873786407767</v>
      </c>
      <c r="AB33" s="1397">
        <f t="shared" si="4"/>
        <v>1.0204081632653061</v>
      </c>
      <c r="AC33" s="1397">
        <f t="shared" si="5"/>
        <v>1.0204081632653061</v>
      </c>
    </row>
    <row r="34" spans="1:29" ht="15">
      <c r="A34" s="1262"/>
      <c r="B34" s="1208" t="s">
        <v>1191</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31"/>
      <c r="Q34" s="754" t="str">
        <f t="shared" si="11"/>
        <v>建筑结构</v>
      </c>
      <c r="R34" s="1386" t="s">
        <v>1161</v>
      </c>
      <c r="S34" s="1387">
        <f t="shared" si="12"/>
        <v>100</v>
      </c>
      <c r="T34" s="1386" t="s">
        <v>1161</v>
      </c>
      <c r="U34" s="1387">
        <f t="shared" si="13"/>
        <v>100</v>
      </c>
      <c r="V34" s="1386" t="s">
        <v>1161</v>
      </c>
      <c r="W34" s="1387">
        <f t="shared" si="14"/>
        <v>100</v>
      </c>
      <c r="X34" s="1380"/>
      <c r="Y34" s="3835"/>
      <c r="Z34" s="1370" t="str">
        <f t="shared" si="15"/>
        <v>建筑结构</v>
      </c>
      <c r="AA34" s="1397">
        <f t="shared" si="3"/>
        <v>1</v>
      </c>
      <c r="AB34" s="1397">
        <f t="shared" si="4"/>
        <v>1</v>
      </c>
      <c r="AC34" s="1397">
        <f t="shared" si="5"/>
        <v>1</v>
      </c>
    </row>
    <row r="35" spans="1:29" ht="15">
      <c r="A35" s="1262"/>
      <c r="B35" s="1208" t="s">
        <v>1192</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31"/>
      <c r="Q35" s="754" t="str">
        <f t="shared" si="11"/>
        <v>公共部分装修</v>
      </c>
      <c r="R35" s="1386" t="s">
        <v>1161</v>
      </c>
      <c r="S35" s="1387">
        <f t="shared" si="12"/>
        <v>100</v>
      </c>
      <c r="T35" s="1386" t="s">
        <v>1161</v>
      </c>
      <c r="U35" s="1387">
        <f t="shared" si="13"/>
        <v>100</v>
      </c>
      <c r="V35" s="1386" t="s">
        <v>1161</v>
      </c>
      <c r="W35" s="1387">
        <f t="shared" si="14"/>
        <v>100</v>
      </c>
      <c r="X35" s="1380"/>
      <c r="Y35" s="3835"/>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31"/>
      <c r="Q36" s="754" t="str">
        <f t="shared" si="11"/>
        <v>成新度</v>
      </c>
      <c r="R36" s="1386" t="s">
        <v>1161</v>
      </c>
      <c r="S36" s="1387">
        <f t="shared" si="12"/>
        <v>100</v>
      </c>
      <c r="T36" s="1386" t="s">
        <v>1161</v>
      </c>
      <c r="U36" s="1387">
        <f t="shared" si="13"/>
        <v>100</v>
      </c>
      <c r="V36" s="1386" t="s">
        <v>1161</v>
      </c>
      <c r="W36" s="1387">
        <f t="shared" si="14"/>
        <v>100</v>
      </c>
      <c r="X36" s="1380"/>
      <c r="Y36" s="3835"/>
      <c r="Z36" s="1370" t="str">
        <f t="shared" si="15"/>
        <v>成新度</v>
      </c>
      <c r="AA36" s="1397">
        <f t="shared" si="3"/>
        <v>1</v>
      </c>
      <c r="AB36" s="1397">
        <f t="shared" si="4"/>
        <v>1</v>
      </c>
      <c r="AC36" s="1397">
        <f t="shared" si="5"/>
        <v>1</v>
      </c>
    </row>
    <row r="37" spans="1:29" s="1170" customFormat="1" ht="15">
      <c r="A37" s="1264"/>
      <c r="B37" s="1208" t="s">
        <v>1193</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31"/>
      <c r="Q37" s="1385" t="str">
        <f t="shared" si="11"/>
        <v>市政基础设施</v>
      </c>
      <c r="R37" s="1381" t="s">
        <v>1161</v>
      </c>
      <c r="S37" s="1382">
        <f t="shared" si="12"/>
        <v>100</v>
      </c>
      <c r="T37" s="1381" t="s">
        <v>1161</v>
      </c>
      <c r="U37" s="1382">
        <f t="shared" si="13"/>
        <v>100</v>
      </c>
      <c r="V37" s="1381" t="s">
        <v>1161</v>
      </c>
      <c r="W37" s="1382">
        <f t="shared" si="14"/>
        <v>100</v>
      </c>
      <c r="X37" s="1383"/>
      <c r="Y37" s="3835"/>
      <c r="Z37" s="1396" t="str">
        <f t="shared" si="15"/>
        <v>市政基础设施</v>
      </c>
      <c r="AA37" s="1395">
        <f t="shared" si="3"/>
        <v>1</v>
      </c>
      <c r="AB37" s="1395">
        <f t="shared" si="4"/>
        <v>1</v>
      </c>
      <c r="AC37" s="1395">
        <f t="shared" si="5"/>
        <v>1</v>
      </c>
    </row>
    <row r="38" spans="1:29" ht="15">
      <c r="A38" s="1262"/>
      <c r="B38" s="1208" t="s">
        <v>1194</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31" t="s">
        <v>1189</v>
      </c>
      <c r="Q38" s="754" t="str">
        <f t="shared" si="11"/>
        <v>业态</v>
      </c>
      <c r="R38" s="1386" t="s">
        <v>1161</v>
      </c>
      <c r="S38" s="1387">
        <f t="shared" si="12"/>
        <v>100</v>
      </c>
      <c r="T38" s="1386" t="s">
        <v>1161</v>
      </c>
      <c r="U38" s="1387">
        <f t="shared" si="13"/>
        <v>100</v>
      </c>
      <c r="V38" s="1386" t="s">
        <v>1161</v>
      </c>
      <c r="W38" s="1387">
        <f t="shared" si="14"/>
        <v>100</v>
      </c>
      <c r="X38" s="1380"/>
      <c r="Y38" s="3835" t="s">
        <v>1189</v>
      </c>
      <c r="Z38" s="1370" t="str">
        <f t="shared" si="15"/>
        <v>业态</v>
      </c>
      <c r="AA38" s="1397">
        <f t="shared" si="3"/>
        <v>1</v>
      </c>
      <c r="AB38" s="1397">
        <f t="shared" si="4"/>
        <v>1</v>
      </c>
      <c r="AC38" s="1397">
        <f t="shared" si="5"/>
        <v>1</v>
      </c>
    </row>
    <row r="39" spans="1:29" ht="15">
      <c r="A39" s="1262"/>
      <c r="B39" s="1208" t="s">
        <v>1195</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31"/>
      <c r="Q39" s="754" t="str">
        <f t="shared" si="11"/>
        <v>层高</v>
      </c>
      <c r="R39" s="1386" t="s">
        <v>1161</v>
      </c>
      <c r="S39" s="1387">
        <f t="shared" si="12"/>
        <v>100</v>
      </c>
      <c r="T39" s="1386" t="s">
        <v>1161</v>
      </c>
      <c r="U39" s="1387">
        <f t="shared" si="13"/>
        <v>100</v>
      </c>
      <c r="V39" s="1386" t="s">
        <v>1161</v>
      </c>
      <c r="W39" s="1387">
        <f t="shared" si="14"/>
        <v>100</v>
      </c>
      <c r="X39" s="1380"/>
      <c r="Y39" s="3835"/>
      <c r="Z39" s="1370" t="str">
        <f t="shared" si="15"/>
        <v>层高</v>
      </c>
      <c r="AA39" s="1397">
        <f t="shared" si="3"/>
        <v>1</v>
      </c>
      <c r="AB39" s="1397">
        <f t="shared" si="4"/>
        <v>1</v>
      </c>
      <c r="AC39" s="1397">
        <f t="shared" si="5"/>
        <v>1</v>
      </c>
    </row>
    <row r="40" spans="1:29" ht="15">
      <c r="A40" s="1262"/>
      <c r="B40" s="1208" t="s">
        <v>1196</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31"/>
      <c r="Q40" s="754" t="str">
        <f t="shared" si="11"/>
        <v>单套建筑面积</v>
      </c>
      <c r="R40" s="1386" t="s">
        <v>1161</v>
      </c>
      <c r="S40" s="1387">
        <f t="shared" si="12"/>
        <v>100</v>
      </c>
      <c r="T40" s="1386" t="s">
        <v>1161</v>
      </c>
      <c r="U40" s="1387">
        <f t="shared" si="13"/>
        <v>100</v>
      </c>
      <c r="V40" s="1386" t="s">
        <v>1161</v>
      </c>
      <c r="W40" s="1387">
        <f t="shared" si="14"/>
        <v>100</v>
      </c>
      <c r="X40" s="1380"/>
      <c r="Y40" s="3835"/>
      <c r="Z40" s="1370" t="str">
        <f t="shared" si="15"/>
        <v>单套建筑面积</v>
      </c>
      <c r="AA40" s="1397">
        <f t="shared" si="3"/>
        <v>1</v>
      </c>
      <c r="AB40" s="1397">
        <f t="shared" si="4"/>
        <v>1</v>
      </c>
      <c r="AC40" s="1397">
        <f t="shared" si="5"/>
        <v>1</v>
      </c>
    </row>
    <row r="41" spans="1:29" s="1172" customFormat="1" ht="15">
      <c r="A41" s="1267"/>
      <c r="B41" s="1365" t="s">
        <v>1197</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31"/>
      <c r="Q41" s="1614" t="str">
        <f t="shared" si="11"/>
        <v>进深比</v>
      </c>
      <c r="R41" s="1388" t="s">
        <v>1161</v>
      </c>
      <c r="S41" s="1389">
        <f t="shared" si="12"/>
        <v>100</v>
      </c>
      <c r="T41" s="1388" t="s">
        <v>1161</v>
      </c>
      <c r="U41" s="1389">
        <f t="shared" si="13"/>
        <v>100</v>
      </c>
      <c r="V41" s="1388" t="s">
        <v>1161</v>
      </c>
      <c r="W41" s="1389">
        <f t="shared" si="14"/>
        <v>100</v>
      </c>
      <c r="X41" s="1390"/>
      <c r="Y41" s="3835"/>
      <c r="Z41" s="1398" t="str">
        <f t="shared" si="15"/>
        <v>进深比</v>
      </c>
      <c r="AA41" s="1397">
        <f t="shared" si="3"/>
        <v>1</v>
      </c>
      <c r="AB41" s="1397">
        <f t="shared" si="4"/>
        <v>1</v>
      </c>
      <c r="AC41" s="1397">
        <f t="shared" si="5"/>
        <v>1</v>
      </c>
    </row>
    <row r="42" spans="1:29" ht="15">
      <c r="A42" s="1262"/>
      <c r="B42" s="1208" t="s">
        <v>1198</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31"/>
      <c r="Q42" s="754" t="str">
        <f t="shared" si="11"/>
        <v>内部装修</v>
      </c>
      <c r="R42" s="1386" t="s">
        <v>1161</v>
      </c>
      <c r="S42" s="1387">
        <f t="shared" si="12"/>
        <v>100</v>
      </c>
      <c r="T42" s="1386" t="s">
        <v>1161</v>
      </c>
      <c r="U42" s="1387">
        <f t="shared" si="13"/>
        <v>100</v>
      </c>
      <c r="V42" s="1386" t="s">
        <v>1161</v>
      </c>
      <c r="W42" s="1387">
        <f t="shared" si="14"/>
        <v>100</v>
      </c>
      <c r="X42" s="1380"/>
      <c r="Y42" s="3835"/>
      <c r="Z42" s="1370" t="str">
        <f t="shared" si="15"/>
        <v>内部装修</v>
      </c>
      <c r="AA42" s="1397">
        <f t="shared" si="3"/>
        <v>1</v>
      </c>
      <c r="AB42" s="1397">
        <f t="shared" si="4"/>
        <v>1</v>
      </c>
      <c r="AC42" s="1397">
        <f t="shared" si="5"/>
        <v>1</v>
      </c>
    </row>
    <row r="43" spans="1:29" ht="28.8">
      <c r="A43" s="1262"/>
      <c r="B43" s="1208" t="s">
        <v>1199</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31"/>
      <c r="Q43" s="754" t="str">
        <f t="shared" si="11"/>
        <v>内部装修维护情况</v>
      </c>
      <c r="R43" s="1386" t="s">
        <v>1161</v>
      </c>
      <c r="S43" s="1387">
        <f t="shared" si="12"/>
        <v>100</v>
      </c>
      <c r="T43" s="1386" t="s">
        <v>1161</v>
      </c>
      <c r="U43" s="1387">
        <f t="shared" si="13"/>
        <v>100</v>
      </c>
      <c r="V43" s="1386" t="s">
        <v>1161</v>
      </c>
      <c r="W43" s="1387">
        <f t="shared" si="14"/>
        <v>100</v>
      </c>
      <c r="X43" s="1380"/>
      <c r="Y43" s="3835"/>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831"/>
      <c r="Q44" s="1385">
        <f t="shared" si="11"/>
        <v>111</v>
      </c>
      <c r="R44" s="1381" t="s">
        <v>1161</v>
      </c>
      <c r="S44" s="1382">
        <f t="shared" si="12"/>
        <v>100</v>
      </c>
      <c r="T44" s="1381" t="s">
        <v>1161</v>
      </c>
      <c r="U44" s="1382">
        <f t="shared" si="13"/>
        <v>100</v>
      </c>
      <c r="V44" s="1381" t="s">
        <v>1161</v>
      </c>
      <c r="W44" s="1382">
        <f t="shared" si="14"/>
        <v>100</v>
      </c>
      <c r="X44" s="1383"/>
      <c r="Y44" s="3835"/>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831"/>
      <c r="Q45" s="754">
        <f t="shared" si="11"/>
        <v>111</v>
      </c>
      <c r="R45" s="1386" t="s">
        <v>1161</v>
      </c>
      <c r="S45" s="1387">
        <f t="shared" si="12"/>
        <v>100</v>
      </c>
      <c r="T45" s="1386" t="s">
        <v>1161</v>
      </c>
      <c r="U45" s="1387">
        <f t="shared" si="13"/>
        <v>100</v>
      </c>
      <c r="V45" s="1386" t="s">
        <v>1161</v>
      </c>
      <c r="W45" s="1387">
        <f t="shared" si="14"/>
        <v>100</v>
      </c>
      <c r="X45" s="1380"/>
      <c r="Y45" s="3835"/>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832"/>
      <c r="Q46" s="754">
        <f t="shared" si="11"/>
        <v>111</v>
      </c>
      <c r="R46" s="1386" t="s">
        <v>1161</v>
      </c>
      <c r="S46" s="1387">
        <f t="shared" si="12"/>
        <v>100</v>
      </c>
      <c r="T46" s="1386" t="s">
        <v>1161</v>
      </c>
      <c r="U46" s="1387">
        <f t="shared" si="13"/>
        <v>100</v>
      </c>
      <c r="V46" s="1386" t="s">
        <v>1161</v>
      </c>
      <c r="W46" s="1387">
        <f t="shared" si="14"/>
        <v>100</v>
      </c>
      <c r="X46" s="1380"/>
      <c r="Y46" s="3836"/>
      <c r="Z46" s="1370">
        <f t="shared" si="15"/>
        <v>111</v>
      </c>
      <c r="AA46" s="1397">
        <f t="shared" si="3"/>
        <v>1</v>
      </c>
      <c r="AB46" s="1397">
        <f t="shared" si="4"/>
        <v>1</v>
      </c>
      <c r="AC46" s="1397">
        <f t="shared" si="5"/>
        <v>1</v>
      </c>
    </row>
    <row r="47" spans="1:29" ht="14.4">
      <c r="A47" s="1269" t="s">
        <v>1200</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825" t="str">
        <f>A47</f>
        <v>成交单价（元/平方米）</v>
      </c>
      <c r="Q47" s="3825"/>
      <c r="R47" s="3826">
        <f>E47</f>
        <v>50000</v>
      </c>
      <c r="S47" s="3826"/>
      <c r="T47" s="3826">
        <f>G47</f>
        <v>56867</v>
      </c>
      <c r="U47" s="3826"/>
      <c r="V47" s="3826">
        <f>I47</f>
        <v>49683</v>
      </c>
      <c r="W47" s="3826"/>
      <c r="X47" s="1326"/>
      <c r="Y47" s="1399"/>
      <c r="Z47" s="1326"/>
      <c r="AA47" s="1326"/>
      <c r="AB47" s="1326"/>
      <c r="AC47" s="1326"/>
    </row>
    <row r="48" spans="1:29" ht="14.4">
      <c r="A48" s="1277" t="s">
        <v>1201</v>
      </c>
      <c r="B48" s="1596"/>
      <c r="C48" s="1597" t="e">
        <f>R49</f>
        <v>#DIV/0!</v>
      </c>
      <c r="D48" s="1280" t="s">
        <v>1202</v>
      </c>
      <c r="E48" s="1598" t="e">
        <f>R48</f>
        <v>#DIV/0!</v>
      </c>
      <c r="F48" s="1281"/>
      <c r="G48" s="1597" t="e">
        <f>T48</f>
        <v>#DIV/0!</v>
      </c>
      <c r="H48" s="1281"/>
      <c r="I48" s="1598" t="e">
        <f>V48</f>
        <v>#DIV/0!</v>
      </c>
      <c r="J48" s="1281"/>
      <c r="K48" s="1363">
        <f>F48+H48+J48</f>
        <v>0</v>
      </c>
      <c r="L48" s="1362"/>
      <c r="M48" s="1286"/>
      <c r="N48" s="1338"/>
      <c r="O48" s="1286"/>
      <c r="P48" s="3825" t="str">
        <f>A48</f>
        <v>比较价值（元/平方米）</v>
      </c>
      <c r="Q48" s="3825"/>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1326"/>
      <c r="Y48" s="1326"/>
      <c r="Z48" s="1326"/>
      <c r="AA48" s="1326"/>
      <c r="AB48" s="1326"/>
      <c r="AC48" s="1326"/>
    </row>
    <row r="49" spans="1:29" ht="14.4">
      <c r="A49" s="1283" t="s">
        <v>1203</v>
      </c>
      <c r="B49" s="1284"/>
      <c r="C49" s="1599" t="e">
        <f>R49</f>
        <v>#DIV/0!</v>
      </c>
      <c r="D49" s="1599"/>
      <c r="E49" s="1599"/>
      <c r="F49" s="1599"/>
      <c r="G49" s="1599"/>
      <c r="H49" s="1599"/>
      <c r="I49" s="1599"/>
      <c r="J49" s="1599"/>
      <c r="K49" s="1364"/>
      <c r="L49" s="1362"/>
      <c r="M49" s="1286"/>
      <c r="N49" s="1338"/>
      <c r="O49" s="1286"/>
      <c r="P49" s="3838" t="str">
        <f>A49</f>
        <v>估价对象XX用房的比较价值（楼面单价，元/平方米）</v>
      </c>
      <c r="Q49" s="3839"/>
      <c r="R49" s="3840" t="e">
        <f>IF(F1="售价",ROUND(IF(D48="简单平均",AVERAGE(R48:V48),R48*F48+T48*H48+V48*J48),0),ROUND(IF(D48="简单平均",AVERAGE(R48:V48),R48*F48+T48*H48+V48*J48),1))</f>
        <v>#DIV/0!</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1204</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1205</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1206</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1207</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1159</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408"/>
      <c r="Q58" s="1510"/>
      <c r="R58" s="1510"/>
      <c r="S58" s="1510"/>
      <c r="T58" s="1510"/>
      <c r="U58" s="1510"/>
      <c r="V58" s="1510"/>
      <c r="W58" s="1510"/>
      <c r="X58" s="1510"/>
      <c r="Y58" s="1510"/>
      <c r="Z58" s="1510"/>
      <c r="AA58" s="1510"/>
      <c r="AB58" s="1510"/>
      <c r="AC58" s="1510"/>
    </row>
    <row r="59" spans="1:29" s="1170" customFormat="1">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4.4">
      <c r="A60" s="1406" t="s">
        <v>1208</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1162</v>
      </c>
      <c r="B61" s="1411"/>
      <c r="C61" s="1412" t="s">
        <v>1209</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1210</v>
      </c>
      <c r="B63" s="1417" t="s">
        <v>1165</v>
      </c>
      <c r="C63" s="1439" t="str">
        <f>C9</f>
        <v>商业</v>
      </c>
      <c r="D63" s="2389" t="s">
        <v>1166</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1169</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1170</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1171</v>
      </c>
      <c r="B76" s="1417" t="s">
        <v>1211</v>
      </c>
      <c r="C76" s="1438" t="s">
        <v>1212</v>
      </c>
      <c r="D76" s="1438" t="s">
        <v>1213</v>
      </c>
      <c r="E76" s="1438" t="s">
        <v>1214</v>
      </c>
      <c r="F76" s="1438" t="s">
        <v>1215</v>
      </c>
      <c r="G76" s="1438" t="s">
        <v>1216</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1176</v>
      </c>
      <c r="C78" s="1440" t="s">
        <v>1212</v>
      </c>
      <c r="D78" s="1440" t="s">
        <v>1213</v>
      </c>
      <c r="E78" s="1440" t="s">
        <v>1214</v>
      </c>
      <c r="F78" s="1440" t="s">
        <v>1215</v>
      </c>
      <c r="G78" s="1440" t="s">
        <v>1216</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1177</v>
      </c>
      <c r="C80" s="1440" t="s">
        <v>1212</v>
      </c>
      <c r="D80" s="1440" t="s">
        <v>1213</v>
      </c>
      <c r="E80" s="1440" t="s">
        <v>1214</v>
      </c>
      <c r="F80" s="1440" t="s">
        <v>1215</v>
      </c>
      <c r="G80" s="1440" t="s">
        <v>1216</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1178</v>
      </c>
      <c r="C82" s="1445" t="s">
        <v>1217</v>
      </c>
      <c r="D82" s="1445" t="s">
        <v>1218</v>
      </c>
      <c r="E82" s="1445" t="s">
        <v>1219</v>
      </c>
      <c r="F82" s="1445" t="s">
        <v>1220</v>
      </c>
      <c r="G82" s="1445" t="s">
        <v>1221</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1179</v>
      </c>
      <c r="C84" s="1440" t="s">
        <v>1212</v>
      </c>
      <c r="D84" s="1440" t="s">
        <v>1213</v>
      </c>
      <c r="E84" s="1440" t="s">
        <v>1214</v>
      </c>
      <c r="F84" s="1440" t="s">
        <v>1215</v>
      </c>
      <c r="G84" s="1440" t="s">
        <v>1216</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1180</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1183</v>
      </c>
      <c r="D90" s="2402" t="s">
        <v>1185</v>
      </c>
      <c r="E90" s="2402" t="s">
        <v>1184</v>
      </c>
      <c r="F90" s="2402" t="s">
        <v>1222</v>
      </c>
      <c r="G90" s="2402" t="s">
        <v>1223</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1187</v>
      </c>
      <c r="B100" s="1417" t="s">
        <v>1188</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1190</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1191</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1192</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1193</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1194</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1195</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1196</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1224</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1198</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1199</v>
      </c>
      <c r="C124" s="1440" t="s">
        <v>1212</v>
      </c>
      <c r="D124" s="1440" t="s">
        <v>1213</v>
      </c>
      <c r="E124" s="1440" t="s">
        <v>1214</v>
      </c>
      <c r="F124" s="1440" t="s">
        <v>1215</v>
      </c>
      <c r="G124" s="1440" t="s">
        <v>1216</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M19" sqref="M19"/>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1143</v>
      </c>
      <c r="C1" s="1609" t="s">
        <v>1144</v>
      </c>
      <c r="D1" s="1552" t="s">
        <v>549</v>
      </c>
      <c r="E1" s="1750" t="s">
        <v>1145</v>
      </c>
      <c r="F1" s="1554" t="s">
        <v>1146</v>
      </c>
      <c r="G1" s="1555" t="s">
        <v>1147</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997</v>
      </c>
      <c r="B2" s="1558">
        <f>IF(E1="项目模式",IF(C2="——",ROUND(C49*D3/10000,0),ROUND(C49*D3/10000,0)-D2),IF(E1="单套模式",IF(C2="——",ROUND(C49*D3/10000,4),ROUND(C49*D3/10000,4)-D2)))</f>
        <v>161786</v>
      </c>
      <c r="C2" s="1559" t="s">
        <v>124</v>
      </c>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999</v>
      </c>
      <c r="B3" s="1187">
        <f>IF(C2="——",C49,ROUND(B2*10000/'数据-汇总表'!E31,0))</f>
        <v>59266</v>
      </c>
      <c r="C3" s="1562" t="s">
        <v>1148</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26" t="s">
        <v>1152</v>
      </c>
      <c r="AC4" s="3841" t="s">
        <v>1153</v>
      </c>
    </row>
    <row r="5" spans="1:29">
      <c r="A5" s="1191"/>
      <c r="B5" s="1192"/>
      <c r="C5" s="3814" t="s">
        <v>1156</v>
      </c>
      <c r="D5" s="3815"/>
      <c r="E5" s="3816" t="str">
        <f>'2020大宗案例'!A35</f>
        <v xml:space="preserve"> 双子座大厦   </v>
      </c>
      <c r="F5" s="3817"/>
      <c r="G5" s="3814" t="str">
        <f>'2020大宗案例'!A2</f>
        <v>中兴大厦</v>
      </c>
      <c r="H5" s="3815"/>
      <c r="I5" s="3814" t="str">
        <f>'2020大宗案例'!A41</f>
        <v xml:space="preserve"> 琨御府   </v>
      </c>
      <c r="J5" s="3815"/>
      <c r="K5" s="1336"/>
      <c r="L5" s="1337"/>
      <c r="M5" s="1338">
        <f ca="1">结果表!L23</f>
        <v>178535.33333333334</v>
      </c>
      <c r="N5" s="1338"/>
      <c r="O5" s="1338"/>
      <c r="P5" s="3846"/>
      <c r="Q5" s="3847"/>
      <c r="R5" s="3852"/>
      <c r="S5" s="3853"/>
      <c r="T5" s="3852"/>
      <c r="U5" s="3853"/>
      <c r="V5" s="3826"/>
      <c r="W5" s="3826"/>
      <c r="X5" s="1380"/>
      <c r="Y5" s="3852"/>
      <c r="Z5" s="3853"/>
      <c r="AA5" s="3842"/>
      <c r="AB5" s="3826"/>
      <c r="AC5" s="3842"/>
    </row>
    <row r="6" spans="1:29" ht="14.4">
      <c r="A6" s="1193"/>
      <c r="B6" s="1194"/>
      <c r="C6" s="3818" t="s">
        <v>1157</v>
      </c>
      <c r="D6" s="3819"/>
      <c r="E6" s="3820" t="s">
        <v>1157</v>
      </c>
      <c r="F6" s="3821"/>
      <c r="G6" s="3818" t="s">
        <v>1157</v>
      </c>
      <c r="H6" s="3819"/>
      <c r="I6" s="3818" t="s">
        <v>1157</v>
      </c>
      <c r="J6" s="3819"/>
      <c r="K6" s="1336" t="s">
        <v>1158</v>
      </c>
      <c r="L6" s="1337"/>
      <c r="M6" s="1338">
        <f ca="1">M5/D3*10000</f>
        <v>65401.822292198296</v>
      </c>
      <c r="N6" s="1338"/>
      <c r="O6" s="1338"/>
      <c r="P6" s="3848"/>
      <c r="Q6" s="3849"/>
      <c r="R6" s="3852"/>
      <c r="S6" s="3853"/>
      <c r="T6" s="3854"/>
      <c r="U6" s="3855"/>
      <c r="V6" s="3826"/>
      <c r="W6" s="3826"/>
      <c r="X6" s="1380"/>
      <c r="Y6" s="3854"/>
      <c r="Z6" s="3855"/>
      <c r="AA6" s="3843"/>
      <c r="AB6" s="3826"/>
      <c r="AC6" s="3843"/>
    </row>
    <row r="7" spans="1:29" s="1170" customFormat="1" ht="14.4">
      <c r="A7" s="1195" t="s">
        <v>1159</v>
      </c>
      <c r="B7" s="1196"/>
      <c r="C7" s="1197">
        <f>'数据-取费表'!B2</f>
        <v>44196</v>
      </c>
      <c r="D7" s="1198">
        <v>100</v>
      </c>
      <c r="E7" s="1199">
        <v>43891</v>
      </c>
      <c r="F7" s="1200">
        <f>SUMIF(58:58,YEAR(E7)&amp;"-"&amp;MONTH(E7),59:59)</f>
        <v>99.100000000000051</v>
      </c>
      <c r="G7" s="1199">
        <v>43891</v>
      </c>
      <c r="H7" s="1198">
        <f>SUMIF(58:58,YEAR(G7)&amp;"-"&amp;MONTH(G7),59:59)</f>
        <v>99.100000000000051</v>
      </c>
      <c r="I7" s="1199">
        <v>44044</v>
      </c>
      <c r="J7" s="1198">
        <f>SUMIF(58:58,YEAR(I7)&amp;"-"&amp;MONTH(I7),59:59)</f>
        <v>99.600000000000023</v>
      </c>
      <c r="K7" s="1339"/>
      <c r="L7" s="1340"/>
      <c r="M7" s="1341"/>
      <c r="N7" s="1341"/>
      <c r="O7" s="1341"/>
      <c r="P7" s="3822" t="s">
        <v>1160</v>
      </c>
      <c r="Q7" s="3823"/>
      <c r="R7" s="1381" t="s">
        <v>1161</v>
      </c>
      <c r="S7" s="1382">
        <f t="shared" ref="S7:S15" si="0">F7</f>
        <v>99.100000000000051</v>
      </c>
      <c r="T7" s="1381" t="s">
        <v>1161</v>
      </c>
      <c r="U7" s="1382">
        <f t="shared" ref="U7:U15" si="1">H7</f>
        <v>99.100000000000051</v>
      </c>
      <c r="V7" s="1381" t="s">
        <v>1161</v>
      </c>
      <c r="W7" s="1382">
        <f t="shared" ref="W7:W15" si="2">J7</f>
        <v>99.600000000000023</v>
      </c>
      <c r="X7" s="1383"/>
      <c r="Y7" s="3822" t="s">
        <v>1160</v>
      </c>
      <c r="Z7" s="3824"/>
      <c r="AA7" s="1395">
        <f>D7/F7</f>
        <v>1.0090817356205848</v>
      </c>
      <c r="AB7" s="1395">
        <f>D7/H7</f>
        <v>1.0090817356205848</v>
      </c>
      <c r="AC7" s="1395">
        <f>D7/J7</f>
        <v>1.0040160642570279</v>
      </c>
    </row>
    <row r="8" spans="1:29" s="1170" customFormat="1" ht="14.4">
      <c r="A8" s="1195" t="s">
        <v>1162</v>
      </c>
      <c r="B8" s="1196"/>
      <c r="C8" s="1202" t="s">
        <v>882</v>
      </c>
      <c r="D8" s="1198">
        <v>100</v>
      </c>
      <c r="E8" s="1202" t="s">
        <v>882</v>
      </c>
      <c r="F8" s="1200">
        <f>SUMIF(61:61,E8,62:62)-SUMIF(61:61,C8,62:62)+100</f>
        <v>100</v>
      </c>
      <c r="G8" s="1202" t="s">
        <v>882</v>
      </c>
      <c r="H8" s="1198">
        <f>SUMIF(61:61,G8,62:62)-SUMIF(61:61,C8,62:62)+100</f>
        <v>100</v>
      </c>
      <c r="I8" s="1202" t="s">
        <v>882</v>
      </c>
      <c r="J8" s="1198">
        <f>SUMIF(61:61,I8,62:62)-SUMIF(61:61,C8,62:62)+100</f>
        <v>100</v>
      </c>
      <c r="K8" s="1339"/>
      <c r="L8" s="1340"/>
      <c r="M8" s="1341">
        <f>'数据-基础表'!I13+'数据-基础表'!K13</f>
        <v>18688.46</v>
      </c>
      <c r="N8" s="1341">
        <f>B3*M8/10000</f>
        <v>110759.02703599998</v>
      </c>
      <c r="O8" s="1341"/>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46" si="3">D8/F8</f>
        <v>1</v>
      </c>
      <c r="AB8" s="1395">
        <f t="shared" ref="AB8:AB46" si="4">D8/H8</f>
        <v>1</v>
      </c>
      <c r="AC8" s="1395">
        <f t="shared" ref="AC8:AC46" si="5">D8/J8</f>
        <v>1</v>
      </c>
    </row>
    <row r="9" spans="1:29" s="1170" customFormat="1" ht="14.4">
      <c r="A9" s="1203" t="s">
        <v>1164</v>
      </c>
      <c r="B9" s="1204" t="s">
        <v>1165</v>
      </c>
      <c r="C9" s="2365" t="s">
        <v>549</v>
      </c>
      <c r="D9" s="1206">
        <v>100</v>
      </c>
      <c r="E9" s="2366" t="s">
        <v>1166</v>
      </c>
      <c r="F9" s="1566">
        <f>SUMIF(63:63,E9,64:64)-SUMIF(63:63,C9,64:64)+100</f>
        <v>98</v>
      </c>
      <c r="G9" s="2367" t="s">
        <v>3748</v>
      </c>
      <c r="H9" s="1206">
        <f>SUMIF(63:63,G9,64:64)-SUMIF(63:63,C9,64:64)+100</f>
        <v>98</v>
      </c>
      <c r="I9" s="2367" t="s">
        <v>1166</v>
      </c>
      <c r="J9" s="1206">
        <f>SUMIF(63:63,I9,64:64)-SUMIF(63:63,C9,64:64)+100</f>
        <v>98</v>
      </c>
      <c r="K9" s="1339"/>
      <c r="L9" s="1340"/>
      <c r="M9" s="1341">
        <f>'数据-汇总表'!E3</f>
        <v>27298.22</v>
      </c>
      <c r="N9" s="1341"/>
      <c r="O9" s="1341"/>
      <c r="P9" s="3827" t="s">
        <v>1167</v>
      </c>
      <c r="Q9" s="1385" t="str">
        <f t="shared" ref="Q9:Q15" si="6">B9</f>
        <v>用途</v>
      </c>
      <c r="R9" s="1381" t="s">
        <v>1161</v>
      </c>
      <c r="S9" s="1382">
        <f t="shared" si="0"/>
        <v>98</v>
      </c>
      <c r="T9" s="1381" t="s">
        <v>1161</v>
      </c>
      <c r="U9" s="1382">
        <f t="shared" si="1"/>
        <v>98</v>
      </c>
      <c r="V9" s="1381" t="s">
        <v>1161</v>
      </c>
      <c r="W9" s="1382">
        <f t="shared" si="2"/>
        <v>98</v>
      </c>
      <c r="X9" s="1383"/>
      <c r="Y9" s="3801" t="s">
        <v>1168</v>
      </c>
      <c r="Z9" s="1396" t="str">
        <f t="shared" ref="Z9:Z15" si="7">Q9</f>
        <v>用途</v>
      </c>
      <c r="AA9" s="1395">
        <f t="shared" si="3"/>
        <v>1.0204081632653061</v>
      </c>
      <c r="AB9" s="1395">
        <f t="shared" si="4"/>
        <v>1.0204081632653061</v>
      </c>
      <c r="AC9" s="1395">
        <f t="shared" si="5"/>
        <v>1.0204081632653061</v>
      </c>
    </row>
    <row r="10" spans="1:29" s="1171" customFormat="1" ht="28.8">
      <c r="A10" s="1207"/>
      <c r="B10" s="1208" t="s">
        <v>1169</v>
      </c>
      <c r="C10" s="2368" t="s">
        <v>1225</v>
      </c>
      <c r="D10" s="1210">
        <v>100</v>
      </c>
      <c r="E10" s="2369" t="s">
        <v>1225</v>
      </c>
      <c r="F10" s="1568">
        <f>SUMIF(65:65,E10,66:66)-SUMIF(65:65,C10,66:66)+100</f>
        <v>100</v>
      </c>
      <c r="G10" s="2368" t="s">
        <v>1226</v>
      </c>
      <c r="H10" s="1210">
        <f>SUMIF(65:65,G10,66:66)-SUMIF(65:65,C10,66:66)+100</f>
        <v>102</v>
      </c>
      <c r="I10" s="2368" t="s">
        <v>1226</v>
      </c>
      <c r="J10" s="1210">
        <f>SUMIF(65:65,I10,66:66)-SUMIF(65:65,C10,66:66)+100</f>
        <v>102</v>
      </c>
      <c r="K10" s="1339"/>
      <c r="L10" s="1344"/>
      <c r="M10" s="1345"/>
      <c r="N10" s="1345"/>
      <c r="O10" s="1345"/>
      <c r="P10" s="3827"/>
      <c r="Q10" s="1385" t="str">
        <f t="shared" si="6"/>
        <v>土地使用年限（年）</v>
      </c>
      <c r="R10" s="1381" t="s">
        <v>1161</v>
      </c>
      <c r="S10" s="1382">
        <f t="shared" si="0"/>
        <v>100</v>
      </c>
      <c r="T10" s="1381" t="s">
        <v>1161</v>
      </c>
      <c r="U10" s="1382">
        <f t="shared" si="1"/>
        <v>102</v>
      </c>
      <c r="V10" s="1381" t="s">
        <v>1161</v>
      </c>
      <c r="W10" s="1382">
        <f t="shared" si="2"/>
        <v>102</v>
      </c>
      <c r="X10" s="1383"/>
      <c r="Y10" s="3801"/>
      <c r="Z10" s="1396" t="str">
        <f t="shared" si="7"/>
        <v>土地使用年限（年）</v>
      </c>
      <c r="AA10" s="1395">
        <f t="shared" si="3"/>
        <v>1</v>
      </c>
      <c r="AB10" s="1395">
        <f t="shared" si="4"/>
        <v>0.98039215686274506</v>
      </c>
      <c r="AC10" s="1395">
        <f t="shared" si="5"/>
        <v>0.98039215686274506</v>
      </c>
    </row>
    <row r="11" spans="1:29" ht="15">
      <c r="A11" s="1211"/>
      <c r="B11" s="1208" t="s">
        <v>1170</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7"/>
      <c r="Q11" s="1385" t="str">
        <f t="shared" si="6"/>
        <v>容积率</v>
      </c>
      <c r="R11" s="1381" t="s">
        <v>1161</v>
      </c>
      <c r="S11" s="1382">
        <f t="shared" si="0"/>
        <v>100</v>
      </c>
      <c r="T11" s="1381" t="s">
        <v>1161</v>
      </c>
      <c r="U11" s="1382">
        <f t="shared" si="1"/>
        <v>100</v>
      </c>
      <c r="V11" s="1381" t="s">
        <v>1161</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7"/>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7"/>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7"/>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29" ht="69">
      <c r="A15" s="1225" t="s">
        <v>1171</v>
      </c>
      <c r="B15" s="1518" t="s">
        <v>1172</v>
      </c>
      <c r="C15" s="1519" t="str">
        <f>估价对象房地状况!C4</f>
        <v>估价对象位于XX商圈，周边商业氛围成熟，人流量大，商业繁华度好</v>
      </c>
      <c r="D15" s="1228">
        <v>100</v>
      </c>
      <c r="E15" s="1229"/>
      <c r="F15" s="1571">
        <f>SUMIF(76:76,E16,77:77)-SUMIF(76:76,C16,77:77)+100</f>
        <v>100</v>
      </c>
      <c r="G15" s="1351"/>
      <c r="H15" s="1228">
        <f>SUMIF(76:76,G16,77:77)-SUMIF(76:76,C16,77:77)+100</f>
        <v>95</v>
      </c>
      <c r="I15" s="1229"/>
      <c r="J15" s="1228">
        <f>SUMIF(76:76,I16,77:77)-SUMIF(76:76,C16,77:77)+100</f>
        <v>95</v>
      </c>
      <c r="K15" s="1610">
        <v>5</v>
      </c>
      <c r="L15" s="1350"/>
      <c r="M15" s="1338"/>
      <c r="N15" s="1338"/>
      <c r="O15" s="1338"/>
      <c r="P15" s="3828" t="s">
        <v>1173</v>
      </c>
      <c r="Q15" s="754" t="str">
        <f t="shared" si="6"/>
        <v>商业繁华度</v>
      </c>
      <c r="R15" s="1386" t="s">
        <v>1161</v>
      </c>
      <c r="S15" s="1387">
        <f t="shared" si="0"/>
        <v>100</v>
      </c>
      <c r="T15" s="1386" t="s">
        <v>1161</v>
      </c>
      <c r="U15" s="1387">
        <f t="shared" si="1"/>
        <v>95</v>
      </c>
      <c r="V15" s="1386" t="s">
        <v>1161</v>
      </c>
      <c r="W15" s="1387">
        <f t="shared" si="2"/>
        <v>95</v>
      </c>
      <c r="X15" s="1380"/>
      <c r="Y15" s="3833" t="s">
        <v>1173</v>
      </c>
      <c r="Z15" s="1370" t="str">
        <f t="shared" si="7"/>
        <v>商业繁华度</v>
      </c>
      <c r="AA15" s="1397">
        <f t="shared" si="3"/>
        <v>1</v>
      </c>
      <c r="AB15" s="1397">
        <f t="shared" si="4"/>
        <v>1.0526315789473684</v>
      </c>
      <c r="AC15" s="1397">
        <f t="shared" si="5"/>
        <v>1.0526315789473684</v>
      </c>
    </row>
    <row r="16" spans="1:29" ht="15">
      <c r="A16" s="1211"/>
      <c r="B16" s="1520"/>
      <c r="C16" s="2370" t="s">
        <v>1174</v>
      </c>
      <c r="D16" s="1232"/>
      <c r="E16" s="3624" t="s">
        <v>1174</v>
      </c>
      <c r="F16" s="1572"/>
      <c r="G16" s="2370" t="s">
        <v>1175</v>
      </c>
      <c r="H16" s="1234"/>
      <c r="I16" s="2370" t="s">
        <v>1175</v>
      </c>
      <c r="J16" s="1232"/>
      <c r="K16" s="1611"/>
      <c r="L16" s="1350"/>
      <c r="M16" s="1338"/>
      <c r="N16" s="1338"/>
      <c r="O16" s="1338"/>
      <c r="P16" s="3829"/>
      <c r="Q16" s="754"/>
      <c r="R16" s="1386"/>
      <c r="S16" s="1387"/>
      <c r="T16" s="1386"/>
      <c r="U16" s="1387"/>
      <c r="V16" s="1386"/>
      <c r="W16" s="1387"/>
      <c r="X16" s="1380"/>
      <c r="Y16" s="3834"/>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9"/>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397">
        <f t="shared" si="5"/>
        <v>1</v>
      </c>
    </row>
    <row r="18" spans="1:29" ht="15">
      <c r="A18" s="1211"/>
      <c r="B18" s="1259"/>
      <c r="C18" s="2371" t="s">
        <v>1175</v>
      </c>
      <c r="D18" s="1234"/>
      <c r="E18" s="2372" t="s">
        <v>1175</v>
      </c>
      <c r="F18" s="1574"/>
      <c r="G18" s="2373" t="s">
        <v>1175</v>
      </c>
      <c r="H18" s="1232"/>
      <c r="I18" s="2372" t="s">
        <v>1175</v>
      </c>
      <c r="J18" s="1232"/>
      <c r="K18" s="1611"/>
      <c r="L18" s="1350"/>
      <c r="M18" s="1338"/>
      <c r="N18" s="1338"/>
      <c r="O18" s="1338"/>
      <c r="P18" s="3829"/>
      <c r="Q18" s="754"/>
      <c r="R18" s="1386"/>
      <c r="S18" s="1387"/>
      <c r="T18" s="1386"/>
      <c r="U18" s="1387"/>
      <c r="V18" s="1386"/>
      <c r="W18" s="1387"/>
      <c r="X18" s="1380"/>
      <c r="Y18" s="3834"/>
      <c r="Z18" s="1370"/>
      <c r="AA18" s="1397">
        <v>1</v>
      </c>
      <c r="AB18" s="1397">
        <v>1</v>
      </c>
      <c r="AC18" s="1397">
        <v>1</v>
      </c>
    </row>
    <row r="19" spans="1:29" ht="41.4">
      <c r="A19" s="1211"/>
      <c r="B19" s="1521" t="s">
        <v>1177</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9"/>
      <c r="Q19" s="754" t="str">
        <f>B19</f>
        <v>公共配套设施</v>
      </c>
      <c r="R19" s="1386" t="s">
        <v>1161</v>
      </c>
      <c r="S19" s="1387">
        <f>F19</f>
        <v>100</v>
      </c>
      <c r="T19" s="1386" t="s">
        <v>1161</v>
      </c>
      <c r="U19" s="1387">
        <f>H19</f>
        <v>100</v>
      </c>
      <c r="V19" s="1386" t="s">
        <v>1161</v>
      </c>
      <c r="W19" s="1387">
        <f>J19</f>
        <v>100</v>
      </c>
      <c r="X19" s="1380"/>
      <c r="Y19" s="3834"/>
      <c r="Z19" s="1370" t="str">
        <f>Q19</f>
        <v>公共配套设施</v>
      </c>
      <c r="AA19" s="1397">
        <f t="shared" si="3"/>
        <v>1</v>
      </c>
      <c r="AB19" s="1397">
        <f t="shared" si="4"/>
        <v>1</v>
      </c>
      <c r="AC19" s="1397">
        <f t="shared" si="5"/>
        <v>1</v>
      </c>
    </row>
    <row r="20" spans="1:29" ht="15">
      <c r="A20" s="1211"/>
      <c r="B20" s="1259"/>
      <c r="C20" s="2370" t="s">
        <v>1175</v>
      </c>
      <c r="D20" s="1232"/>
      <c r="E20" s="2374" t="s">
        <v>1175</v>
      </c>
      <c r="F20" s="1572"/>
      <c r="G20" s="2375" t="s">
        <v>1175</v>
      </c>
      <c r="H20" s="1232"/>
      <c r="I20" s="2374" t="s">
        <v>1175</v>
      </c>
      <c r="J20" s="1232"/>
      <c r="K20" s="1611"/>
      <c r="L20" s="1350"/>
      <c r="M20" s="1338"/>
      <c r="N20" s="1338"/>
      <c r="O20" s="1338"/>
      <c r="P20" s="3829"/>
      <c r="Q20" s="754"/>
      <c r="R20" s="1386"/>
      <c r="S20" s="1387"/>
      <c r="T20" s="1386"/>
      <c r="U20" s="1387"/>
      <c r="V20" s="1386"/>
      <c r="W20" s="1387"/>
      <c r="X20" s="1380"/>
      <c r="Y20" s="3834"/>
      <c r="Z20" s="1370"/>
      <c r="AA20" s="1397">
        <v>1</v>
      </c>
      <c r="AB20" s="1397">
        <v>1</v>
      </c>
      <c r="AC20" s="1397">
        <v>1</v>
      </c>
    </row>
    <row r="21" spans="1:29" ht="27.6">
      <c r="A21" s="1211"/>
      <c r="B21" s="1525" t="s">
        <v>1178</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9"/>
      <c r="Q21" s="754" t="str">
        <f>B21</f>
        <v>基础设施水平</v>
      </c>
      <c r="R21" s="1386" t="s">
        <v>1161</v>
      </c>
      <c r="S21" s="1387">
        <f>F21</f>
        <v>100</v>
      </c>
      <c r="T21" s="1386" t="s">
        <v>1161</v>
      </c>
      <c r="U21" s="1387">
        <f>H21</f>
        <v>100</v>
      </c>
      <c r="V21" s="1386" t="s">
        <v>1161</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829"/>
      <c r="Q22" s="754"/>
      <c r="R22" s="1386"/>
      <c r="S22" s="1387"/>
      <c r="T22" s="1386"/>
      <c r="U22" s="1387"/>
      <c r="V22" s="1386"/>
      <c r="W22" s="1387"/>
      <c r="X22" s="1380"/>
      <c r="Y22" s="3834"/>
      <c r="Z22" s="1370"/>
      <c r="AA22" s="1397">
        <v>1</v>
      </c>
      <c r="AB22" s="1397">
        <v>1</v>
      </c>
      <c r="AC22" s="1397">
        <v>1</v>
      </c>
    </row>
    <row r="23" spans="1:29" ht="55.2">
      <c r="A23" s="1211"/>
      <c r="B23" s="1521" t="s">
        <v>1179</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9"/>
      <c r="Q23" s="754" t="str">
        <f>B23</f>
        <v>自然及人文环境</v>
      </c>
      <c r="R23" s="1386" t="s">
        <v>1161</v>
      </c>
      <c r="S23" s="1387">
        <f>F23</f>
        <v>100</v>
      </c>
      <c r="T23" s="1386" t="s">
        <v>1161</v>
      </c>
      <c r="U23" s="1387">
        <f>H23</f>
        <v>100</v>
      </c>
      <c r="V23" s="1386" t="s">
        <v>1161</v>
      </c>
      <c r="W23" s="1387">
        <f>J23</f>
        <v>100</v>
      </c>
      <c r="X23" s="1380"/>
      <c r="Y23" s="3834"/>
      <c r="Z23" s="1370" t="str">
        <f>Q23</f>
        <v>自然及人文环境</v>
      </c>
      <c r="AA23" s="1397">
        <f t="shared" si="3"/>
        <v>1</v>
      </c>
      <c r="AB23" s="1397">
        <f t="shared" si="4"/>
        <v>1</v>
      </c>
      <c r="AC23" s="1397">
        <f t="shared" si="5"/>
        <v>1</v>
      </c>
    </row>
    <row r="24" spans="1:29" ht="15">
      <c r="A24" s="1211"/>
      <c r="B24" s="1259"/>
      <c r="C24" s="2370" t="s">
        <v>1175</v>
      </c>
      <c r="D24" s="1232"/>
      <c r="E24" s="2374" t="s">
        <v>1175</v>
      </c>
      <c r="F24" s="1572"/>
      <c r="G24" s="2375" t="s">
        <v>1175</v>
      </c>
      <c r="H24" s="1232"/>
      <c r="I24" s="2374" t="s">
        <v>1175</v>
      </c>
      <c r="J24" s="1232"/>
      <c r="K24" s="1611"/>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1180</v>
      </c>
      <c r="C25" s="2376" t="s">
        <v>1227</v>
      </c>
      <c r="D25" s="1220">
        <v>100</v>
      </c>
      <c r="E25" s="2377" t="s">
        <v>1228</v>
      </c>
      <c r="F25" s="1575">
        <f>SUMIF(86:86,E25,87:87)-SUMIF(86:86,C25,87:87)+100</f>
        <v>102</v>
      </c>
      <c r="G25" s="2377" t="s">
        <v>1229</v>
      </c>
      <c r="H25" s="1220">
        <f>SUMIF(86:86,G25,87:87)-SUMIF(86:86,C25,87:87)+100</f>
        <v>101</v>
      </c>
      <c r="I25" s="2377" t="s">
        <v>1229</v>
      </c>
      <c r="J25" s="1220">
        <f>SUMIF(86:86,I25,87:87)-SUMIF(86:86,C25,87:87)+100</f>
        <v>101</v>
      </c>
      <c r="K25" s="1356">
        <v>1</v>
      </c>
      <c r="L25" s="1350"/>
      <c r="M25" s="1338"/>
      <c r="N25" s="1338"/>
      <c r="O25" s="1338"/>
      <c r="P25" s="3829"/>
      <c r="Q25" s="754" t="str">
        <f t="shared" ref="Q25:Q46" si="11">B25</f>
        <v>临街状况</v>
      </c>
      <c r="R25" s="1386" t="s">
        <v>1161</v>
      </c>
      <c r="S25" s="1387">
        <f>F25</f>
        <v>102</v>
      </c>
      <c r="T25" s="1386" t="s">
        <v>1161</v>
      </c>
      <c r="U25" s="1387">
        <f>H25</f>
        <v>101</v>
      </c>
      <c r="V25" s="1386" t="s">
        <v>1161</v>
      </c>
      <c r="W25" s="1387">
        <f>J25</f>
        <v>101</v>
      </c>
      <c r="X25" s="1380"/>
      <c r="Y25" s="3834"/>
      <c r="Z25" s="1370" t="str">
        <f>Q25</f>
        <v>临街状况</v>
      </c>
      <c r="AA25" s="1397">
        <f t="shared" si="3"/>
        <v>0.98039215686274506</v>
      </c>
      <c r="AB25" s="1397">
        <f t="shared" si="4"/>
        <v>0.99009900990099009</v>
      </c>
      <c r="AC25" s="1397">
        <f t="shared" si="5"/>
        <v>0.99009900990099009</v>
      </c>
    </row>
    <row r="26" spans="1:29" ht="15">
      <c r="A26" s="1211"/>
      <c r="B26" s="1526" t="s">
        <v>1181</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9"/>
      <c r="Q26" s="754" t="str">
        <f t="shared" si="11"/>
        <v>平面位置/可视性</v>
      </c>
      <c r="R26" s="1386" t="s">
        <v>1161</v>
      </c>
      <c r="S26" s="1387">
        <f>F26</f>
        <v>100</v>
      </c>
      <c r="T26" s="1386" t="s">
        <v>1161</v>
      </c>
      <c r="U26" s="1387">
        <f>H26</f>
        <v>100</v>
      </c>
      <c r="V26" s="1386" t="s">
        <v>1161</v>
      </c>
      <c r="W26" s="1387">
        <f>J26</f>
        <v>100</v>
      </c>
      <c r="X26" s="1380"/>
      <c r="Y26" s="3834"/>
      <c r="Z26" s="1370" t="str">
        <f>Q26</f>
        <v>平面位置/可视性</v>
      </c>
      <c r="AA26" s="1397">
        <f t="shared" si="3"/>
        <v>1</v>
      </c>
      <c r="AB26" s="1397">
        <f t="shared" si="4"/>
        <v>1</v>
      </c>
      <c r="AC26" s="1397">
        <f t="shared" si="5"/>
        <v>1</v>
      </c>
    </row>
    <row r="27" spans="1:29" s="1170" customFormat="1" ht="15">
      <c r="A27" s="1214"/>
      <c r="B27" s="1521" t="s">
        <v>1182</v>
      </c>
      <c r="C27" s="2378" t="s">
        <v>1183</v>
      </c>
      <c r="D27" s="1687">
        <v>100</v>
      </c>
      <c r="E27" s="2378" t="s">
        <v>1183</v>
      </c>
      <c r="F27" s="1688">
        <f>SUMIF(90:90,E27,91:91)-SUMIF(90:90,C27,91:91)+100</f>
        <v>100</v>
      </c>
      <c r="G27" s="2378" t="s">
        <v>1185</v>
      </c>
      <c r="H27" s="1687">
        <f>SUMIF(90:90,G27,91:91)-SUMIF(90:90,C27,91:91)+100</f>
        <v>95</v>
      </c>
      <c r="I27" s="2378" t="s">
        <v>1185</v>
      </c>
      <c r="J27" s="1687">
        <f>SUMIF(90:90,I27,91:91)-SUMIF(90:90,C27,91:91)+100</f>
        <v>95</v>
      </c>
      <c r="K27" s="1356">
        <v>5</v>
      </c>
      <c r="L27" s="1340"/>
      <c r="M27" s="1341"/>
      <c r="N27" s="1341"/>
      <c r="O27" s="1341"/>
      <c r="P27" s="3829"/>
      <c r="Q27" s="1385" t="str">
        <f t="shared" si="11"/>
        <v>人流量</v>
      </c>
      <c r="R27" s="1381" t="s">
        <v>1161</v>
      </c>
      <c r="S27" s="1382">
        <f>F27</f>
        <v>100</v>
      </c>
      <c r="T27" s="1381" t="s">
        <v>1161</v>
      </c>
      <c r="U27" s="1382">
        <f>H27</f>
        <v>95</v>
      </c>
      <c r="V27" s="1381" t="s">
        <v>1161</v>
      </c>
      <c r="W27" s="1382">
        <f>J27</f>
        <v>95</v>
      </c>
      <c r="X27" s="1383"/>
      <c r="Y27" s="3834"/>
      <c r="Z27" s="1396" t="str">
        <f>Q27</f>
        <v>人流量</v>
      </c>
      <c r="AA27" s="1397">
        <f t="shared" si="3"/>
        <v>1</v>
      </c>
      <c r="AB27" s="1397">
        <f t="shared" si="4"/>
        <v>1.0526315789473684</v>
      </c>
      <c r="AC27" s="1397">
        <f t="shared" si="5"/>
        <v>1.0526315789473684</v>
      </c>
    </row>
    <row r="28" spans="1:29" ht="15">
      <c r="A28" s="1211"/>
      <c r="B28" s="1208" t="s">
        <v>1186</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9"/>
      <c r="Q28" s="754" t="str">
        <f t="shared" si="11"/>
        <v>楼层</v>
      </c>
      <c r="R28" s="1386" t="s">
        <v>1161</v>
      </c>
      <c r="S28" s="1387">
        <f t="shared" ref="S28:S46" si="12">F28</f>
        <v>100</v>
      </c>
      <c r="T28" s="1386" t="s">
        <v>1161</v>
      </c>
      <c r="U28" s="1387">
        <f t="shared" ref="U28:U46" si="13">H28</f>
        <v>100</v>
      </c>
      <c r="V28" s="1386" t="s">
        <v>1161</v>
      </c>
      <c r="W28" s="1387">
        <f t="shared" ref="W28:W46" si="14">J28</f>
        <v>100</v>
      </c>
      <c r="X28" s="1380"/>
      <c r="Y28" s="3834"/>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9"/>
      <c r="Q29" s="754">
        <f t="shared" si="11"/>
        <v>111</v>
      </c>
      <c r="R29" s="1386" t="s">
        <v>1161</v>
      </c>
      <c r="S29" s="1387">
        <f t="shared" si="12"/>
        <v>100</v>
      </c>
      <c r="T29" s="1386" t="s">
        <v>1161</v>
      </c>
      <c r="U29" s="1387">
        <f t="shared" si="13"/>
        <v>100</v>
      </c>
      <c r="V29" s="1386" t="s">
        <v>1161</v>
      </c>
      <c r="W29" s="1387">
        <f t="shared" si="14"/>
        <v>100</v>
      </c>
      <c r="X29" s="1380"/>
      <c r="Y29" s="3834"/>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9"/>
      <c r="Q30" s="754">
        <f t="shared" si="11"/>
        <v>111</v>
      </c>
      <c r="R30" s="1386" t="s">
        <v>1161</v>
      </c>
      <c r="S30" s="1387">
        <f t="shared" si="12"/>
        <v>100</v>
      </c>
      <c r="T30" s="1386" t="s">
        <v>1161</v>
      </c>
      <c r="U30" s="1387">
        <f t="shared" si="13"/>
        <v>100</v>
      </c>
      <c r="V30" s="1386" t="s">
        <v>1161</v>
      </c>
      <c r="W30" s="1387">
        <f t="shared" si="14"/>
        <v>100</v>
      </c>
      <c r="X30" s="1380"/>
      <c r="Y30" s="3834"/>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9"/>
      <c r="Q31" s="754">
        <f t="shared" si="11"/>
        <v>111</v>
      </c>
      <c r="R31" s="1386" t="s">
        <v>1161</v>
      </c>
      <c r="S31" s="1387">
        <f t="shared" si="12"/>
        <v>100</v>
      </c>
      <c r="T31" s="1386" t="s">
        <v>1161</v>
      </c>
      <c r="U31" s="1387">
        <f t="shared" si="13"/>
        <v>100</v>
      </c>
      <c r="V31" s="1386" t="s">
        <v>1161</v>
      </c>
      <c r="W31" s="1387">
        <f t="shared" si="14"/>
        <v>100</v>
      </c>
      <c r="X31" s="1380"/>
      <c r="Y31" s="3834"/>
      <c r="Z31" s="1370">
        <f t="shared" si="15"/>
        <v>111</v>
      </c>
      <c r="AA31" s="1397">
        <f t="shared" si="3"/>
        <v>1</v>
      </c>
      <c r="AB31" s="1397">
        <f t="shared" si="4"/>
        <v>1</v>
      </c>
      <c r="AC31" s="1397">
        <f t="shared" si="5"/>
        <v>1</v>
      </c>
    </row>
    <row r="32" spans="1:29" ht="15">
      <c r="A32" s="1225" t="s">
        <v>1187</v>
      </c>
      <c r="B32" s="1204" t="s">
        <v>1188</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30" t="s">
        <v>1189</v>
      </c>
      <c r="Q32" s="754" t="str">
        <f t="shared" si="11"/>
        <v>商业类型</v>
      </c>
      <c r="R32" s="1386" t="s">
        <v>1161</v>
      </c>
      <c r="S32" s="1387">
        <f t="shared" si="12"/>
        <v>100</v>
      </c>
      <c r="T32" s="1386" t="s">
        <v>1161</v>
      </c>
      <c r="U32" s="1387">
        <f t="shared" si="13"/>
        <v>100</v>
      </c>
      <c r="V32" s="1386" t="s">
        <v>1161</v>
      </c>
      <c r="W32" s="1387">
        <f t="shared" si="14"/>
        <v>100</v>
      </c>
      <c r="X32" s="1380"/>
      <c r="Y32" s="3835" t="s">
        <v>1189</v>
      </c>
      <c r="Z32" s="1370" t="str">
        <f t="shared" si="15"/>
        <v>商业类型</v>
      </c>
      <c r="AA32" s="1397">
        <f t="shared" si="3"/>
        <v>1</v>
      </c>
      <c r="AB32" s="1397">
        <f t="shared" si="4"/>
        <v>1</v>
      </c>
      <c r="AC32" s="1397">
        <f t="shared" si="5"/>
        <v>1</v>
      </c>
    </row>
    <row r="33" spans="1:29" s="1172" customFormat="1" ht="15">
      <c r="A33" s="1267"/>
      <c r="B33" s="1208" t="s">
        <v>1190</v>
      </c>
      <c r="C33" s="1569">
        <f>'数据-汇总表'!E3</f>
        <v>27298.22</v>
      </c>
      <c r="D33" s="1210">
        <v>100</v>
      </c>
      <c r="E33" s="2379">
        <v>150400</v>
      </c>
      <c r="F33" s="1568">
        <f>LOOKUP(E33,103:103,104:104)-LOOKUP(C33,103:103,104:104)+100</f>
        <v>88</v>
      </c>
      <c r="G33" s="2380">
        <v>34364.15</v>
      </c>
      <c r="H33" s="1210">
        <f>LOOKUP(G33,103:103,104:104)-LOOKUP(C33,103:103,104:104)+100</f>
        <v>100</v>
      </c>
      <c r="I33" s="2380">
        <v>60700</v>
      </c>
      <c r="J33" s="1210">
        <f>LOOKUP(I33,103:103,104:104)-LOOKUP(C33,103:103,104:104)+100</f>
        <v>96</v>
      </c>
      <c r="K33" s="1355"/>
      <c r="L33" s="1348"/>
      <c r="M33" s="1357"/>
      <c r="N33" s="1357"/>
      <c r="O33" s="1357"/>
      <c r="P33" s="3831"/>
      <c r="Q33" s="1614" t="str">
        <f t="shared" si="11"/>
        <v>项目建筑规模</v>
      </c>
      <c r="R33" s="1388" t="s">
        <v>1161</v>
      </c>
      <c r="S33" s="1389">
        <f t="shared" si="12"/>
        <v>88</v>
      </c>
      <c r="T33" s="1388" t="s">
        <v>1161</v>
      </c>
      <c r="U33" s="1389">
        <f t="shared" si="13"/>
        <v>100</v>
      </c>
      <c r="V33" s="1388" t="s">
        <v>1161</v>
      </c>
      <c r="W33" s="1389">
        <f t="shared" si="14"/>
        <v>96</v>
      </c>
      <c r="X33" s="1390"/>
      <c r="Y33" s="3835"/>
      <c r="Z33" s="1398" t="str">
        <f t="shared" si="15"/>
        <v>项目建筑规模</v>
      </c>
      <c r="AA33" s="1397">
        <f t="shared" si="3"/>
        <v>1.1363636363636365</v>
      </c>
      <c r="AB33" s="1397">
        <f t="shared" si="4"/>
        <v>1</v>
      </c>
      <c r="AC33" s="1397">
        <f t="shared" si="5"/>
        <v>1.0416666666666667</v>
      </c>
    </row>
    <row r="34" spans="1:29" ht="15">
      <c r="A34" s="1262"/>
      <c r="B34" s="1208" t="s">
        <v>1191</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31"/>
      <c r="Q34" s="754" t="str">
        <f t="shared" si="11"/>
        <v>建筑结构</v>
      </c>
      <c r="R34" s="1386" t="s">
        <v>1161</v>
      </c>
      <c r="S34" s="1387">
        <f t="shared" si="12"/>
        <v>100</v>
      </c>
      <c r="T34" s="1386" t="s">
        <v>1161</v>
      </c>
      <c r="U34" s="1387">
        <f t="shared" si="13"/>
        <v>100</v>
      </c>
      <c r="V34" s="1386" t="s">
        <v>1161</v>
      </c>
      <c r="W34" s="1387">
        <f t="shared" si="14"/>
        <v>100</v>
      </c>
      <c r="X34" s="1380"/>
      <c r="Y34" s="3835"/>
      <c r="Z34" s="1370" t="str">
        <f t="shared" si="15"/>
        <v>建筑结构</v>
      </c>
      <c r="AA34" s="1397">
        <f t="shared" si="3"/>
        <v>1</v>
      </c>
      <c r="AB34" s="1397">
        <f t="shared" si="4"/>
        <v>1</v>
      </c>
      <c r="AC34" s="1397">
        <f t="shared" si="5"/>
        <v>1</v>
      </c>
    </row>
    <row r="35" spans="1:29" ht="15">
      <c r="A35" s="1262"/>
      <c r="B35" s="1208" t="s">
        <v>1192</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31"/>
      <c r="Q35" s="754" t="str">
        <f t="shared" si="11"/>
        <v>公共部分装修</v>
      </c>
      <c r="R35" s="1386" t="s">
        <v>1161</v>
      </c>
      <c r="S35" s="1387">
        <f t="shared" si="12"/>
        <v>100</v>
      </c>
      <c r="T35" s="1386" t="s">
        <v>1161</v>
      </c>
      <c r="U35" s="1387">
        <f t="shared" si="13"/>
        <v>100</v>
      </c>
      <c r="V35" s="1386" t="s">
        <v>1161</v>
      </c>
      <c r="W35" s="1387">
        <f t="shared" si="14"/>
        <v>100</v>
      </c>
      <c r="X35" s="1380"/>
      <c r="Y35" s="3835"/>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31"/>
      <c r="Q36" s="754" t="str">
        <f t="shared" si="11"/>
        <v>成新度</v>
      </c>
      <c r="R36" s="1386" t="s">
        <v>1161</v>
      </c>
      <c r="S36" s="1387">
        <f t="shared" si="12"/>
        <v>100</v>
      </c>
      <c r="T36" s="1386" t="s">
        <v>1161</v>
      </c>
      <c r="U36" s="1387">
        <f t="shared" si="13"/>
        <v>100</v>
      </c>
      <c r="V36" s="1386" t="s">
        <v>1161</v>
      </c>
      <c r="W36" s="1387">
        <f t="shared" si="14"/>
        <v>100</v>
      </c>
      <c r="X36" s="1380"/>
      <c r="Y36" s="3835"/>
      <c r="Z36" s="1370" t="str">
        <f t="shared" si="15"/>
        <v>成新度</v>
      </c>
      <c r="AA36" s="1397">
        <f t="shared" si="3"/>
        <v>1</v>
      </c>
      <c r="AB36" s="1397">
        <f t="shared" si="4"/>
        <v>1</v>
      </c>
      <c r="AC36" s="1397">
        <f t="shared" si="5"/>
        <v>1</v>
      </c>
    </row>
    <row r="37" spans="1:29" s="1170" customFormat="1" ht="15">
      <c r="A37" s="1264"/>
      <c r="B37" s="1208" t="s">
        <v>1193</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31"/>
      <c r="Q37" s="1385" t="str">
        <f t="shared" si="11"/>
        <v>市政基础设施</v>
      </c>
      <c r="R37" s="1381" t="s">
        <v>1161</v>
      </c>
      <c r="S37" s="1382">
        <f t="shared" si="12"/>
        <v>100</v>
      </c>
      <c r="T37" s="1381" t="s">
        <v>1161</v>
      </c>
      <c r="U37" s="1382">
        <f t="shared" si="13"/>
        <v>100</v>
      </c>
      <c r="V37" s="1381" t="s">
        <v>1161</v>
      </c>
      <c r="W37" s="1382">
        <f t="shared" si="14"/>
        <v>100</v>
      </c>
      <c r="X37" s="1383"/>
      <c r="Y37" s="3835"/>
      <c r="Z37" s="1396" t="str">
        <f t="shared" si="15"/>
        <v>市政基础设施</v>
      </c>
      <c r="AA37" s="1395">
        <f t="shared" si="3"/>
        <v>1</v>
      </c>
      <c r="AB37" s="1395">
        <f t="shared" si="4"/>
        <v>1</v>
      </c>
      <c r="AC37" s="1395">
        <f t="shared" si="5"/>
        <v>1</v>
      </c>
    </row>
    <row r="38" spans="1:29" ht="15">
      <c r="A38" s="1262"/>
      <c r="B38" s="1208" t="s">
        <v>1194</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31" t="s">
        <v>1189</v>
      </c>
      <c r="Q38" s="754" t="str">
        <f t="shared" si="11"/>
        <v>业态</v>
      </c>
      <c r="R38" s="1386" t="s">
        <v>1161</v>
      </c>
      <c r="S38" s="1387">
        <f t="shared" si="12"/>
        <v>100</v>
      </c>
      <c r="T38" s="1386" t="s">
        <v>1161</v>
      </c>
      <c r="U38" s="1387">
        <f t="shared" si="13"/>
        <v>100</v>
      </c>
      <c r="V38" s="1386" t="s">
        <v>1161</v>
      </c>
      <c r="W38" s="1387">
        <f t="shared" si="14"/>
        <v>100</v>
      </c>
      <c r="X38" s="1380"/>
      <c r="Y38" s="3835" t="s">
        <v>1189</v>
      </c>
      <c r="Z38" s="1370" t="str">
        <f t="shared" si="15"/>
        <v>业态</v>
      </c>
      <c r="AA38" s="1397">
        <f t="shared" si="3"/>
        <v>1</v>
      </c>
      <c r="AB38" s="1397">
        <f t="shared" si="4"/>
        <v>1</v>
      </c>
      <c r="AC38" s="1397">
        <f t="shared" si="5"/>
        <v>1</v>
      </c>
    </row>
    <row r="39" spans="1:29" ht="15">
      <c r="A39" s="1262"/>
      <c r="B39" s="1208" t="s">
        <v>1195</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31"/>
      <c r="Q39" s="754" t="str">
        <f t="shared" si="11"/>
        <v>层高</v>
      </c>
      <c r="R39" s="1386" t="s">
        <v>1161</v>
      </c>
      <c r="S39" s="1387">
        <f t="shared" si="12"/>
        <v>100</v>
      </c>
      <c r="T39" s="1386" t="s">
        <v>1161</v>
      </c>
      <c r="U39" s="1387">
        <f t="shared" si="13"/>
        <v>100</v>
      </c>
      <c r="V39" s="1386" t="s">
        <v>1161</v>
      </c>
      <c r="W39" s="1387">
        <f t="shared" si="14"/>
        <v>100</v>
      </c>
      <c r="X39" s="1380"/>
      <c r="Y39" s="3835"/>
      <c r="Z39" s="1370" t="str">
        <f t="shared" si="15"/>
        <v>层高</v>
      </c>
      <c r="AA39" s="1397">
        <f t="shared" si="3"/>
        <v>1</v>
      </c>
      <c r="AB39" s="1397">
        <f t="shared" si="4"/>
        <v>1</v>
      </c>
      <c r="AC39" s="1397">
        <f t="shared" si="5"/>
        <v>1</v>
      </c>
    </row>
    <row r="40" spans="1:29" ht="15">
      <c r="A40" s="1262"/>
      <c r="B40" s="1208" t="s">
        <v>1196</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31"/>
      <c r="Q40" s="754" t="str">
        <f t="shared" si="11"/>
        <v>单套建筑面积</v>
      </c>
      <c r="R40" s="1386" t="s">
        <v>1161</v>
      </c>
      <c r="S40" s="1387">
        <f t="shared" si="12"/>
        <v>100</v>
      </c>
      <c r="T40" s="1386" t="s">
        <v>1161</v>
      </c>
      <c r="U40" s="1387">
        <f t="shared" si="13"/>
        <v>100</v>
      </c>
      <c r="V40" s="1386" t="s">
        <v>1161</v>
      </c>
      <c r="W40" s="1387">
        <f t="shared" si="14"/>
        <v>100</v>
      </c>
      <c r="X40" s="1380"/>
      <c r="Y40" s="3835"/>
      <c r="Z40" s="1370" t="str">
        <f t="shared" si="15"/>
        <v>单套建筑面积</v>
      </c>
      <c r="AA40" s="1397">
        <f t="shared" si="3"/>
        <v>1</v>
      </c>
      <c r="AB40" s="1397">
        <f t="shared" si="4"/>
        <v>1</v>
      </c>
      <c r="AC40" s="1397">
        <f t="shared" si="5"/>
        <v>1</v>
      </c>
    </row>
    <row r="41" spans="1:29" s="1172" customFormat="1" ht="15">
      <c r="A41" s="1267"/>
      <c r="B41" s="1365" t="s">
        <v>1197</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31"/>
      <c r="Q41" s="1614" t="str">
        <f t="shared" si="11"/>
        <v>进深比</v>
      </c>
      <c r="R41" s="1388" t="s">
        <v>1161</v>
      </c>
      <c r="S41" s="1389">
        <f t="shared" si="12"/>
        <v>100</v>
      </c>
      <c r="T41" s="1388" t="s">
        <v>1161</v>
      </c>
      <c r="U41" s="1389">
        <f t="shared" si="13"/>
        <v>100</v>
      </c>
      <c r="V41" s="1388" t="s">
        <v>1161</v>
      </c>
      <c r="W41" s="1389">
        <f t="shared" si="14"/>
        <v>100</v>
      </c>
      <c r="X41" s="1390"/>
      <c r="Y41" s="3835"/>
      <c r="Z41" s="1398" t="str">
        <f t="shared" si="15"/>
        <v>进深比</v>
      </c>
      <c r="AA41" s="1397">
        <f t="shared" si="3"/>
        <v>1</v>
      </c>
      <c r="AB41" s="1397">
        <f t="shared" si="4"/>
        <v>1</v>
      </c>
      <c r="AC41" s="1397">
        <f t="shared" si="5"/>
        <v>1</v>
      </c>
    </row>
    <row r="42" spans="1:29" ht="15">
      <c r="A42" s="1262"/>
      <c r="B42" s="1208" t="s">
        <v>1198</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31"/>
      <c r="Q42" s="754" t="str">
        <f t="shared" si="11"/>
        <v>内部装修</v>
      </c>
      <c r="R42" s="1386" t="s">
        <v>1161</v>
      </c>
      <c r="S42" s="1387">
        <f t="shared" si="12"/>
        <v>100</v>
      </c>
      <c r="T42" s="1386" t="s">
        <v>1161</v>
      </c>
      <c r="U42" s="1387">
        <f t="shared" si="13"/>
        <v>100</v>
      </c>
      <c r="V42" s="1386" t="s">
        <v>1161</v>
      </c>
      <c r="W42" s="1387">
        <f t="shared" si="14"/>
        <v>100</v>
      </c>
      <c r="X42" s="1380"/>
      <c r="Y42" s="3835"/>
      <c r="Z42" s="1370" t="str">
        <f t="shared" si="15"/>
        <v>内部装修</v>
      </c>
      <c r="AA42" s="1397">
        <f t="shared" si="3"/>
        <v>1</v>
      </c>
      <c r="AB42" s="1397">
        <f t="shared" si="4"/>
        <v>1</v>
      </c>
      <c r="AC42" s="1397">
        <f t="shared" si="5"/>
        <v>1</v>
      </c>
    </row>
    <row r="43" spans="1:29" ht="28.8">
      <c r="A43" s="1262"/>
      <c r="B43" s="1208" t="s">
        <v>1199</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31"/>
      <c r="Q43" s="754" t="str">
        <f t="shared" si="11"/>
        <v>内部装修维护情况</v>
      </c>
      <c r="R43" s="1386" t="s">
        <v>1161</v>
      </c>
      <c r="S43" s="1387">
        <f t="shared" si="12"/>
        <v>100</v>
      </c>
      <c r="T43" s="1386" t="s">
        <v>1161</v>
      </c>
      <c r="U43" s="1387">
        <f t="shared" si="13"/>
        <v>100</v>
      </c>
      <c r="V43" s="1386" t="s">
        <v>1161</v>
      </c>
      <c r="W43" s="1387">
        <f t="shared" si="14"/>
        <v>100</v>
      </c>
      <c r="X43" s="1380"/>
      <c r="Y43" s="3835"/>
      <c r="Z43" s="1370" t="str">
        <f t="shared" si="15"/>
        <v>内部装修维护情况</v>
      </c>
      <c r="AA43" s="1397">
        <f t="shared" si="3"/>
        <v>1</v>
      </c>
      <c r="AB43" s="1397">
        <f t="shared" si="4"/>
        <v>1</v>
      </c>
      <c r="AC43" s="1397">
        <f t="shared" si="5"/>
        <v>1</v>
      </c>
    </row>
    <row r="44" spans="1:29" s="1170" customFormat="1" ht="15">
      <c r="A44" s="1264"/>
      <c r="B44" s="2384">
        <v>111</v>
      </c>
      <c r="C44" s="1582" t="s">
        <v>3407</v>
      </c>
      <c r="D44" s="1210">
        <v>100</v>
      </c>
      <c r="E44" s="2385" t="s">
        <v>3408</v>
      </c>
      <c r="F44" s="1568">
        <f>SUMIF(126:126,E44,127:127)-SUMIF(126:126,C44,127:127)+100</f>
        <v>100</v>
      </c>
      <c r="G44" s="2385" t="s">
        <v>3407</v>
      </c>
      <c r="H44" s="1210">
        <f>SUMIF(126:126,G44,127:127)-SUMIF(126:126,C44,127:127)+100</f>
        <v>100</v>
      </c>
      <c r="I44" s="2385" t="s">
        <v>3409</v>
      </c>
      <c r="J44" s="1210">
        <f>SUMIF(126:126,I44,127:127)-SUMIF(126:126,C44,127:127)+100</f>
        <v>105</v>
      </c>
      <c r="K44" s="1355"/>
      <c r="L44" s="1340"/>
      <c r="M44" s="1341"/>
      <c r="N44" s="1341"/>
      <c r="O44" s="1341"/>
      <c r="P44" s="3831"/>
      <c r="Q44" s="1385">
        <f t="shared" si="11"/>
        <v>111</v>
      </c>
      <c r="R44" s="1381" t="s">
        <v>1161</v>
      </c>
      <c r="S44" s="1382">
        <f t="shared" si="12"/>
        <v>100</v>
      </c>
      <c r="T44" s="1381" t="s">
        <v>1161</v>
      </c>
      <c r="U44" s="1382">
        <f t="shared" si="13"/>
        <v>100</v>
      </c>
      <c r="V44" s="1381" t="s">
        <v>1161</v>
      </c>
      <c r="W44" s="1382">
        <f t="shared" si="14"/>
        <v>105</v>
      </c>
      <c r="X44" s="1383"/>
      <c r="Y44" s="3835"/>
      <c r="Z44" s="1396">
        <f t="shared" si="15"/>
        <v>111</v>
      </c>
      <c r="AA44" s="1395">
        <f t="shared" si="3"/>
        <v>1</v>
      </c>
      <c r="AB44" s="1395">
        <f t="shared" si="4"/>
        <v>1</v>
      </c>
      <c r="AC44" s="1395">
        <f t="shared" si="5"/>
        <v>0.95238095238095233</v>
      </c>
    </row>
    <row r="45" spans="1:29" ht="15">
      <c r="A45" s="1262"/>
      <c r="B45" s="1526">
        <v>111</v>
      </c>
      <c r="C45" s="1219">
        <v>2005</v>
      </c>
      <c r="D45" s="1220">
        <v>100</v>
      </c>
      <c r="E45" s="2386">
        <v>2004</v>
      </c>
      <c r="F45" s="1575">
        <f>SUMIF(128:128,E45,129:129)-SUMIF(128:128,C45,129:129)+100</f>
        <v>100</v>
      </c>
      <c r="G45" s="1219">
        <v>2012</v>
      </c>
      <c r="H45" s="1220">
        <f>SUMIF(128:128,G45,129:129)-SUMIF(128:128,C45,129:129)+100</f>
        <v>100</v>
      </c>
      <c r="I45" s="1219">
        <v>2015</v>
      </c>
      <c r="J45" s="1220">
        <f>SUMIF(128:128,I45,129:129)-SUMIF(128:128,C45,129:129)+100</f>
        <v>100</v>
      </c>
      <c r="K45" s="1355"/>
      <c r="L45" s="1350"/>
      <c r="M45" s="1338"/>
      <c r="N45" s="1338"/>
      <c r="O45" s="1338"/>
      <c r="P45" s="3831"/>
      <c r="Q45" s="754">
        <f t="shared" si="11"/>
        <v>111</v>
      </c>
      <c r="R45" s="1386" t="s">
        <v>1161</v>
      </c>
      <c r="S45" s="1387">
        <f t="shared" si="12"/>
        <v>100</v>
      </c>
      <c r="T45" s="1386" t="s">
        <v>1161</v>
      </c>
      <c r="U45" s="1387">
        <f t="shared" si="13"/>
        <v>100</v>
      </c>
      <c r="V45" s="1386" t="s">
        <v>1161</v>
      </c>
      <c r="W45" s="1387">
        <f t="shared" si="14"/>
        <v>100</v>
      </c>
      <c r="X45" s="1380"/>
      <c r="Y45" s="3835"/>
      <c r="Z45" s="1370">
        <f t="shared" si="15"/>
        <v>111</v>
      </c>
      <c r="AA45" s="1397">
        <f t="shared" si="3"/>
        <v>1</v>
      </c>
      <c r="AB45" s="1397">
        <f t="shared" si="4"/>
        <v>1</v>
      </c>
      <c r="AC45" s="1397">
        <f t="shared" si="5"/>
        <v>1</v>
      </c>
    </row>
    <row r="46" spans="1:29" ht="15">
      <c r="A46" s="1587"/>
      <c r="B46" s="1222">
        <v>111</v>
      </c>
      <c r="C46" s="1223"/>
      <c r="D46" s="1224">
        <v>100</v>
      </c>
      <c r="E46" s="3585" t="s">
        <v>3406</v>
      </c>
      <c r="F46" s="1588">
        <f>SUMIF(130:130,E46,131:131)-SUMIF(130:130,C46,131:131)+100</f>
        <v>100</v>
      </c>
      <c r="G46" s="3585" t="s">
        <v>3747</v>
      </c>
      <c r="H46" s="1224">
        <f>SUMIF(130:130,G46,131:131)-SUMIF(130:130,C46,131:131)+100</f>
        <v>100</v>
      </c>
      <c r="I46" s="3586" t="s">
        <v>3405</v>
      </c>
      <c r="J46" s="1224">
        <f>SUMIF(130:130,I46,131:131)-SUMIF(130:130,C46,131:131)+100</f>
        <v>100</v>
      </c>
      <c r="K46" s="1355"/>
      <c r="L46" s="1350"/>
      <c r="M46" s="1338"/>
      <c r="N46" s="1338"/>
      <c r="O46" s="1338"/>
      <c r="P46" s="3832"/>
      <c r="Q46" s="754">
        <f t="shared" si="11"/>
        <v>111</v>
      </c>
      <c r="R46" s="1386" t="s">
        <v>1161</v>
      </c>
      <c r="S46" s="1387">
        <f t="shared" si="12"/>
        <v>100</v>
      </c>
      <c r="T46" s="1386" t="s">
        <v>1161</v>
      </c>
      <c r="U46" s="1387">
        <f t="shared" si="13"/>
        <v>100</v>
      </c>
      <c r="V46" s="1386" t="s">
        <v>1161</v>
      </c>
      <c r="W46" s="1387">
        <f t="shared" si="14"/>
        <v>100</v>
      </c>
      <c r="X46" s="1380"/>
      <c r="Y46" s="3836"/>
      <c r="Z46" s="1370">
        <f t="shared" si="15"/>
        <v>111</v>
      </c>
      <c r="AA46" s="1397">
        <f t="shared" si="3"/>
        <v>1</v>
      </c>
      <c r="AB46" s="1397">
        <f t="shared" si="4"/>
        <v>1</v>
      </c>
      <c r="AC46" s="1397">
        <f t="shared" si="5"/>
        <v>1</v>
      </c>
    </row>
    <row r="47" spans="1:29" ht="14.4">
      <c r="A47" s="1269" t="s">
        <v>1200</v>
      </c>
      <c r="B47" s="1589"/>
      <c r="C47" s="1590" t="s">
        <v>124</v>
      </c>
      <c r="D47" s="1591"/>
      <c r="E47" s="2387">
        <v>53497</v>
      </c>
      <c r="F47" s="1593"/>
      <c r="G47" s="2388">
        <v>50052</v>
      </c>
      <c r="H47" s="1595"/>
      <c r="I47" s="2387">
        <v>55800</v>
      </c>
      <c r="J47" s="1595"/>
      <c r="K47" s="1361"/>
      <c r="L47" s="1362"/>
      <c r="M47" s="1286"/>
      <c r="N47" s="1338"/>
      <c r="O47" s="1286"/>
      <c r="P47" s="3825" t="str">
        <f>A47</f>
        <v>成交单价（元/平方米）</v>
      </c>
      <c r="Q47" s="3825"/>
      <c r="R47" s="3826">
        <f>E47</f>
        <v>53497</v>
      </c>
      <c r="S47" s="3826"/>
      <c r="T47" s="3826">
        <f>G47</f>
        <v>50052</v>
      </c>
      <c r="U47" s="3826"/>
      <c r="V47" s="3826">
        <f>I47</f>
        <v>55800</v>
      </c>
      <c r="W47" s="3826"/>
      <c r="X47" s="1326"/>
      <c r="Y47" s="1399"/>
      <c r="Z47" s="1326"/>
      <c r="AA47" s="1326"/>
      <c r="AB47" s="1326"/>
      <c r="AC47" s="1326"/>
    </row>
    <row r="48" spans="1:29" ht="14.4">
      <c r="A48" s="1277" t="s">
        <v>1201</v>
      </c>
      <c r="B48" s="1596"/>
      <c r="C48" s="1597">
        <f>R49</f>
        <v>59266</v>
      </c>
      <c r="D48" s="1280" t="s">
        <v>1202</v>
      </c>
      <c r="E48" s="1598">
        <f>R48</f>
        <v>61369</v>
      </c>
      <c r="F48" s="1281"/>
      <c r="G48" s="1597">
        <f>T48</f>
        <v>55431</v>
      </c>
      <c r="H48" s="1281"/>
      <c r="I48" s="1598">
        <f>V48</f>
        <v>60999</v>
      </c>
      <c r="J48" s="1281"/>
      <c r="K48" s="1363">
        <f>F48+H48+J48</f>
        <v>0</v>
      </c>
      <c r="L48" s="1362"/>
      <c r="M48" s="1286"/>
      <c r="N48" s="1338"/>
      <c r="O48" s="1286"/>
      <c r="P48" s="3825" t="str">
        <f>A48</f>
        <v>比较价值（元/平方米）</v>
      </c>
      <c r="Q48" s="3825"/>
      <c r="R48" s="3837">
        <f>IF(F1="售价",ROUND(PRODUCT(R47,AA7:AA46),0),ROUND(PRODUCT(R47,AA7:AA46),1))</f>
        <v>61369</v>
      </c>
      <c r="S48" s="3837"/>
      <c r="T48" s="3837">
        <f>IF(F1="售价",ROUND(PRODUCT(T47,AB7:AB46),0),ROUND(PRODUCT(T47,AB7:AB46),1))</f>
        <v>55431</v>
      </c>
      <c r="U48" s="3837"/>
      <c r="V48" s="3837">
        <f>IF(F1="售价",ROUND(PRODUCT(V47,AC7:AC46),0),ROUND(PRODUCT(V47,AC7:AC46),1))</f>
        <v>60999</v>
      </c>
      <c r="W48" s="3837"/>
      <c r="X48" s="1326"/>
      <c r="Y48" s="1326"/>
      <c r="Z48" s="1326"/>
      <c r="AA48" s="1326"/>
      <c r="AB48" s="1326"/>
      <c r="AC48" s="1326"/>
    </row>
    <row r="49" spans="1:29" ht="14.4">
      <c r="A49" s="1283" t="s">
        <v>1203</v>
      </c>
      <c r="B49" s="1284"/>
      <c r="C49" s="1599">
        <f>R49</f>
        <v>59266</v>
      </c>
      <c r="D49" s="1599"/>
      <c r="E49" s="1599"/>
      <c r="F49" s="1599"/>
      <c r="G49" s="1599"/>
      <c r="H49" s="1599"/>
      <c r="I49" s="1599"/>
      <c r="J49" s="1599"/>
      <c r="K49" s="1364"/>
      <c r="L49" s="1362"/>
      <c r="M49" s="1286">
        <f>C49*'数据-汇总表'!E3/10000</f>
        <v>161785.63065199999</v>
      </c>
      <c r="N49" s="1338"/>
      <c r="O49" s="1286"/>
      <c r="P49" s="3838" t="str">
        <f>A49</f>
        <v>估价对象XX用房的比较价值（楼面单价，元/平方米）</v>
      </c>
      <c r="Q49" s="3839"/>
      <c r="R49" s="3840">
        <f>IF(F1="售价",ROUND(IF(D48="简单平均",AVERAGE(R48:V48),R48*F48+T48*H48+V48*J48),0),ROUND(IF(D48="简单平均",AVERAGE(R48:V48),R48*F48+T48*H48+V48*J48),1))</f>
        <v>59266</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1204</v>
      </c>
      <c r="D52" s="798"/>
      <c r="E52" s="1289">
        <f>IF(E47&lt;E48,E48/E47-1,E47/E48-1)</f>
        <v>0.14714843823018109</v>
      </c>
      <c r="F52" s="1290" t="str">
        <f>IF(OR(E52&gt;=0.3,E52&lt;=-0.3),"超过30%","")</f>
        <v/>
      </c>
      <c r="G52" s="1289">
        <f>IF(G47&lt;G48,G48/G47-1,G47/G48-1)</f>
        <v>0.10746823303764086</v>
      </c>
      <c r="H52" s="1290" t="str">
        <f>IF(OR(G52&gt;=0.3,G52&lt;=-0.3),"超过30%","")</f>
        <v/>
      </c>
      <c r="I52" s="1289">
        <f>IF(I47&lt;I48,I48/I47-1,I47/I48-1)</f>
        <v>9.317204301075277E-2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1205</v>
      </c>
      <c r="D53" s="797"/>
      <c r="E53" s="1289">
        <f>IF(E48&lt;G48,G48/E48-1,E48/G48-1)</f>
        <v>0.10712417239450844</v>
      </c>
      <c r="F53" s="1290" t="str">
        <f>IF(OR(E53&gt;=0.2,E53&lt;=-0.2),"超过20%","")</f>
        <v/>
      </c>
      <c r="G53" s="1289">
        <f>IF(G48&lt;I48,I48/G48-1,G48/I48-1)</f>
        <v>0.10044920712236838</v>
      </c>
      <c r="H53" s="1290" t="str">
        <f>IF(OR(G53&gt;=0.2,G53&lt;=-0.2),"超过20%","")</f>
        <v/>
      </c>
      <c r="I53" s="1289">
        <f>IF(I48&lt;E48,E48/I48-1,I48/E48-1)</f>
        <v>6.0656732077575271E-3</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1206</v>
      </c>
      <c r="D54" s="797"/>
      <c r="E54" s="1289">
        <f>IF(E47&lt;G47,G47/E47-1,E47/G47-1)</f>
        <v>6.8828418444817352E-2</v>
      </c>
      <c r="F54" s="1290" t="str">
        <f>IF(OR(E54&gt;=0.3,E54&lt;=-0.3),"超过30%","")</f>
        <v/>
      </c>
      <c r="G54" s="1289">
        <f>IF(G47&lt;I47,I47/G47-1,G47/I47-1)</f>
        <v>0.11484056581155588</v>
      </c>
      <c r="H54" s="1290" t="str">
        <f>IF(OR(G54&gt;=0.3,G54&lt;=-0.3),"超过30%","")</f>
        <v/>
      </c>
      <c r="I54" s="1289">
        <f>IF(I47&lt;E47,E47/I47-1,I47/E47-1)</f>
        <v>4.3049142942594987E-2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1207</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1159</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395">
        <f t="shared" ref="P58:Q58" si="17">EDATE(O58,-1)</f>
        <v>43770</v>
      </c>
      <c r="Q58" s="2395">
        <f t="shared" si="17"/>
        <v>43739</v>
      </c>
      <c r="R58" s="2395">
        <f t="shared" ref="R58:S58" si="18">EDATE(Q58,-1)</f>
        <v>43709</v>
      </c>
      <c r="S58" s="2395">
        <f t="shared" si="18"/>
        <v>43678</v>
      </c>
      <c r="T58" s="2395">
        <f t="shared" ref="T58:U58" si="19">EDATE(S58,-1)</f>
        <v>43647</v>
      </c>
      <c r="U58" s="2395">
        <f t="shared" si="19"/>
        <v>43617</v>
      </c>
      <c r="V58" s="2395">
        <f t="shared" ref="V58:W58" si="20">EDATE(U58,-1)</f>
        <v>43586</v>
      </c>
      <c r="W58" s="2395">
        <f t="shared" si="20"/>
        <v>43556</v>
      </c>
      <c r="X58" s="2395">
        <f t="shared" ref="X58:Y58" si="21">EDATE(W58,-1)</f>
        <v>43525</v>
      </c>
      <c r="Y58" s="2395">
        <f t="shared" si="21"/>
        <v>43497</v>
      </c>
      <c r="Z58" s="2395">
        <f t="shared" ref="Z58:AA58" si="22">EDATE(Y58,-1)</f>
        <v>43466</v>
      </c>
      <c r="AA58" s="2395">
        <f t="shared" si="22"/>
        <v>43435</v>
      </c>
      <c r="AB58" s="2395">
        <f t="shared" ref="AB58" si="23">EDATE(AA58,-1)</f>
        <v>43405</v>
      </c>
      <c r="AC58" s="1510"/>
    </row>
    <row r="59" spans="1:29" s="1170" customFormat="1">
      <c r="A59" s="1605"/>
      <c r="B59" s="1411"/>
      <c r="C59" s="1606">
        <v>100</v>
      </c>
      <c r="D59" s="1415">
        <f>C59-0.1</f>
        <v>99.9</v>
      </c>
      <c r="E59" s="1415">
        <f t="shared" ref="E59:AB59" si="24">D59-0.1</f>
        <v>99.800000000000011</v>
      </c>
      <c r="F59" s="1415">
        <f t="shared" si="24"/>
        <v>99.700000000000017</v>
      </c>
      <c r="G59" s="1415">
        <f t="shared" si="24"/>
        <v>99.600000000000023</v>
      </c>
      <c r="H59" s="1415">
        <f t="shared" si="24"/>
        <v>99.500000000000028</v>
      </c>
      <c r="I59" s="1415">
        <f t="shared" si="24"/>
        <v>99.400000000000034</v>
      </c>
      <c r="J59" s="1415">
        <f t="shared" si="24"/>
        <v>99.30000000000004</v>
      </c>
      <c r="K59" s="1415">
        <f t="shared" si="24"/>
        <v>99.200000000000045</v>
      </c>
      <c r="L59" s="1415">
        <f t="shared" si="24"/>
        <v>99.100000000000051</v>
      </c>
      <c r="M59" s="1415">
        <f t="shared" si="24"/>
        <v>99.000000000000057</v>
      </c>
      <c r="N59" s="1415">
        <f t="shared" si="24"/>
        <v>98.900000000000063</v>
      </c>
      <c r="O59" s="1415">
        <f t="shared" si="24"/>
        <v>98.800000000000068</v>
      </c>
      <c r="P59" s="1415">
        <f t="shared" si="24"/>
        <v>98.700000000000074</v>
      </c>
      <c r="Q59" s="1415">
        <f t="shared" si="24"/>
        <v>98.60000000000008</v>
      </c>
      <c r="R59" s="1415">
        <f t="shared" si="24"/>
        <v>98.500000000000085</v>
      </c>
      <c r="S59" s="1415">
        <f t="shared" si="24"/>
        <v>98.400000000000091</v>
      </c>
      <c r="T59" s="1415">
        <f t="shared" si="24"/>
        <v>98.300000000000097</v>
      </c>
      <c r="U59" s="1415">
        <f t="shared" si="24"/>
        <v>98.200000000000102</v>
      </c>
      <c r="V59" s="1415">
        <f t="shared" si="24"/>
        <v>98.100000000000108</v>
      </c>
      <c r="W59" s="1415">
        <f t="shared" si="24"/>
        <v>98.000000000000114</v>
      </c>
      <c r="X59" s="1415">
        <f t="shared" si="24"/>
        <v>97.900000000000119</v>
      </c>
      <c r="Y59" s="1415">
        <f t="shared" si="24"/>
        <v>97.800000000000125</v>
      </c>
      <c r="Z59" s="1415">
        <f t="shared" si="24"/>
        <v>97.700000000000131</v>
      </c>
      <c r="AA59" s="1415">
        <f t="shared" si="24"/>
        <v>97.600000000000136</v>
      </c>
      <c r="AB59" s="1415">
        <f t="shared" si="24"/>
        <v>97.500000000000142</v>
      </c>
      <c r="AC59" s="1511"/>
    </row>
    <row r="60" spans="1:29" s="1170" customFormat="1" ht="14.4">
      <c r="A60" s="1406" t="s">
        <v>1208</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1162</v>
      </c>
      <c r="B61" s="1411"/>
      <c r="C61" s="1412" t="s">
        <v>1209</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1210</v>
      </c>
      <c r="B63" s="1417" t="s">
        <v>1165</v>
      </c>
      <c r="C63" s="1439" t="str">
        <f>C9</f>
        <v>商业</v>
      </c>
      <c r="D63" s="2389" t="s">
        <v>1166</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1169</v>
      </c>
      <c r="C65" s="1446" t="s">
        <v>1226</v>
      </c>
      <c r="D65" s="1446" t="s">
        <v>1225</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1170</v>
      </c>
      <c r="C67" s="1426" t="str">
        <f>C68&amp;"（含）"&amp;"-"&amp;D68</f>
        <v>0（含）-1</v>
      </c>
      <c r="D67" s="1426" t="str">
        <f t="shared" ref="D67:L67" si="25">D68&amp;"（含）"&amp;"-"&amp;E68</f>
        <v>1（含）-2</v>
      </c>
      <c r="E67" s="1426" t="str">
        <f t="shared" si="25"/>
        <v>2（含）-3</v>
      </c>
      <c r="F67" s="1426" t="str">
        <f t="shared" si="25"/>
        <v>3（含）-4</v>
      </c>
      <c r="G67" s="1426" t="str">
        <f t="shared" si="25"/>
        <v>4（含）-</v>
      </c>
      <c r="H67" s="1426" t="str">
        <f t="shared" si="25"/>
        <v>（含）-</v>
      </c>
      <c r="I67" s="1426" t="str">
        <f t="shared" si="25"/>
        <v>（含）-</v>
      </c>
      <c r="J67" s="1426" t="str">
        <f t="shared" si="25"/>
        <v>（含）-</v>
      </c>
      <c r="K67" s="1426" t="str">
        <f t="shared" si="25"/>
        <v>（含）-</v>
      </c>
      <c r="L67" s="1426" t="str">
        <f t="shared" si="25"/>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26">C69-$K11</f>
        <v>100</v>
      </c>
      <c r="E69" s="1424">
        <f t="shared" si="26"/>
        <v>100</v>
      </c>
      <c r="F69" s="1424">
        <f t="shared" si="26"/>
        <v>100</v>
      </c>
      <c r="G69" s="1424">
        <f t="shared" si="26"/>
        <v>100</v>
      </c>
      <c r="H69" s="1424">
        <f t="shared" si="26"/>
        <v>100</v>
      </c>
      <c r="I69" s="1424">
        <f t="shared" si="26"/>
        <v>100</v>
      </c>
      <c r="J69" s="1424">
        <f t="shared" si="26"/>
        <v>100</v>
      </c>
      <c r="K69" s="1424">
        <f t="shared" si="26"/>
        <v>100</v>
      </c>
      <c r="L69" s="1424">
        <f t="shared" si="26"/>
        <v>100</v>
      </c>
      <c r="M69" s="1474">
        <f t="shared" si="26"/>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1171</v>
      </c>
      <c r="B76" s="1417" t="s">
        <v>1211</v>
      </c>
      <c r="C76" s="1438" t="s">
        <v>1212</v>
      </c>
      <c r="D76" s="1438" t="s">
        <v>1213</v>
      </c>
      <c r="E76" s="1438" t="s">
        <v>1214</v>
      </c>
      <c r="F76" s="1438" t="s">
        <v>1215</v>
      </c>
      <c r="G76" s="1438" t="s">
        <v>1216</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1176</v>
      </c>
      <c r="C78" s="1440" t="s">
        <v>1212</v>
      </c>
      <c r="D78" s="1440" t="s">
        <v>1213</v>
      </c>
      <c r="E78" s="1440" t="s">
        <v>1214</v>
      </c>
      <c r="F78" s="1440" t="s">
        <v>1215</v>
      </c>
      <c r="G78" s="1440" t="s">
        <v>1216</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1177</v>
      </c>
      <c r="C80" s="1440" t="s">
        <v>1212</v>
      </c>
      <c r="D80" s="1440" t="s">
        <v>1213</v>
      </c>
      <c r="E80" s="1440" t="s">
        <v>1214</v>
      </c>
      <c r="F80" s="1440" t="s">
        <v>1215</v>
      </c>
      <c r="G80" s="1440" t="s">
        <v>1216</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1178</v>
      </c>
      <c r="C82" s="1445" t="s">
        <v>1217</v>
      </c>
      <c r="D82" s="1445" t="s">
        <v>1218</v>
      </c>
      <c r="E82" s="1445" t="s">
        <v>1219</v>
      </c>
      <c r="F82" s="1445" t="s">
        <v>1220</v>
      </c>
      <c r="G82" s="1445" t="s">
        <v>1221</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27">D83-$K21</f>
        <v>100</v>
      </c>
      <c r="F83" s="1424">
        <f t="shared" si="27"/>
        <v>100</v>
      </c>
      <c r="G83" s="1424">
        <f t="shared" si="27"/>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1179</v>
      </c>
      <c r="C84" s="1440" t="s">
        <v>1212</v>
      </c>
      <c r="D84" s="1440" t="s">
        <v>1213</v>
      </c>
      <c r="E84" s="1440" t="s">
        <v>1214</v>
      </c>
      <c r="F84" s="1440" t="s">
        <v>1215</v>
      </c>
      <c r="G84" s="1440" t="s">
        <v>1216</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1180</v>
      </c>
      <c r="C86" s="2402" t="s">
        <v>1228</v>
      </c>
      <c r="D86" s="2402" t="s">
        <v>1229</v>
      </c>
      <c r="E86" s="2402" t="s">
        <v>1227</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8">C87-$K25</f>
        <v>99</v>
      </c>
      <c r="E87" s="1424">
        <f t="shared" si="28"/>
        <v>98</v>
      </c>
      <c r="F87" s="1424">
        <f t="shared" si="28"/>
        <v>97</v>
      </c>
      <c r="G87" s="1424">
        <f t="shared" si="28"/>
        <v>96</v>
      </c>
      <c r="H87" s="1424">
        <f t="shared" si="28"/>
        <v>95</v>
      </c>
      <c r="I87" s="1424">
        <f t="shared" si="28"/>
        <v>94</v>
      </c>
      <c r="J87" s="1424">
        <f t="shared" si="28"/>
        <v>93</v>
      </c>
      <c r="K87" s="1424">
        <f t="shared" si="28"/>
        <v>92</v>
      </c>
      <c r="L87" s="1424">
        <f t="shared" si="28"/>
        <v>91</v>
      </c>
      <c r="M87" s="1424">
        <f t="shared" si="28"/>
        <v>90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1183</v>
      </c>
      <c r="D90" s="2402" t="s">
        <v>1185</v>
      </c>
      <c r="E90" s="2402" t="s">
        <v>1184</v>
      </c>
      <c r="F90" s="2402" t="s">
        <v>1222</v>
      </c>
      <c r="G90" s="2402" t="s">
        <v>1223</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9">D91-$K27</f>
        <v>90</v>
      </c>
      <c r="F91" s="1424">
        <f t="shared" si="29"/>
        <v>85</v>
      </c>
      <c r="G91" s="1424">
        <f t="shared" si="29"/>
        <v>80</v>
      </c>
      <c r="H91" s="1424">
        <f t="shared" si="29"/>
        <v>75</v>
      </c>
      <c r="I91" s="1424">
        <f t="shared" si="29"/>
        <v>70</v>
      </c>
      <c r="J91" s="1424">
        <f t="shared" si="29"/>
        <v>65</v>
      </c>
      <c r="K91" s="1424">
        <f t="shared" si="29"/>
        <v>60</v>
      </c>
      <c r="L91" s="1424">
        <f t="shared" si="29"/>
        <v>55</v>
      </c>
      <c r="M91" s="1424">
        <f t="shared" si="29"/>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1187</v>
      </c>
      <c r="B100" s="1417" t="s">
        <v>1188</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30">C101-$K32</f>
        <v>100</v>
      </c>
      <c r="E101" s="1424">
        <f t="shared" si="30"/>
        <v>100</v>
      </c>
      <c r="F101" s="1424">
        <f t="shared" si="30"/>
        <v>100</v>
      </c>
      <c r="G101" s="1424">
        <f t="shared" si="30"/>
        <v>100</v>
      </c>
      <c r="H101" s="1424">
        <f t="shared" si="30"/>
        <v>100</v>
      </c>
      <c r="I101" s="1424">
        <f t="shared" si="30"/>
        <v>100</v>
      </c>
      <c r="J101" s="1424">
        <f t="shared" si="30"/>
        <v>100</v>
      </c>
      <c r="K101" s="1424">
        <f t="shared" si="30"/>
        <v>100</v>
      </c>
      <c r="L101" s="1424">
        <f t="shared" si="30"/>
        <v>100</v>
      </c>
      <c r="M101" s="1474">
        <f t="shared" si="30"/>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1190</v>
      </c>
      <c r="C102" s="1440" t="str">
        <f>C103&amp;"(含)"&amp;"-"&amp;D103</f>
        <v>0(含)-50000</v>
      </c>
      <c r="D102" s="1440" t="str">
        <f t="shared" ref="D102:L102" si="31">D103&amp;"(含)"&amp;"-"&amp;E103</f>
        <v>50000(含)-100000</v>
      </c>
      <c r="E102" s="1440" t="str">
        <f t="shared" si="31"/>
        <v>100000(含)-150000</v>
      </c>
      <c r="F102" s="1440" t="str">
        <f t="shared" si="31"/>
        <v>150000(含)-</v>
      </c>
      <c r="G102" s="1440" t="str">
        <f t="shared" si="31"/>
        <v>(含)-</v>
      </c>
      <c r="H102" s="1440" t="str">
        <f t="shared" si="31"/>
        <v>(含)-</v>
      </c>
      <c r="I102" s="1440" t="str">
        <f t="shared" si="31"/>
        <v>(含)-</v>
      </c>
      <c r="J102" s="1440" t="str">
        <f t="shared" si="31"/>
        <v>(含)-</v>
      </c>
      <c r="K102" s="1440" t="str">
        <f t="shared" si="31"/>
        <v>(含)-</v>
      </c>
      <c r="L102" s="1440" t="str">
        <f t="shared" si="31"/>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1191</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32">C106-$K34</f>
        <v>100</v>
      </c>
      <c r="E106" s="1424">
        <f t="shared" si="32"/>
        <v>100</v>
      </c>
      <c r="F106" s="1424">
        <f t="shared" si="32"/>
        <v>100</v>
      </c>
      <c r="G106" s="1424">
        <f t="shared" si="32"/>
        <v>100</v>
      </c>
      <c r="H106" s="1424">
        <f t="shared" si="32"/>
        <v>100</v>
      </c>
      <c r="I106" s="1424">
        <f t="shared" si="32"/>
        <v>100</v>
      </c>
      <c r="J106" s="1424">
        <f t="shared" si="32"/>
        <v>100</v>
      </c>
      <c r="K106" s="1424">
        <f t="shared" si="32"/>
        <v>100</v>
      </c>
      <c r="L106" s="1424">
        <f t="shared" si="32"/>
        <v>100</v>
      </c>
      <c r="M106" s="1474">
        <f t="shared" si="32"/>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1192</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33">C108-$K35</f>
        <v>100</v>
      </c>
      <c r="E108" s="1424">
        <f t="shared" si="33"/>
        <v>100</v>
      </c>
      <c r="F108" s="1424">
        <f t="shared" si="33"/>
        <v>100</v>
      </c>
      <c r="G108" s="1424">
        <f t="shared" si="33"/>
        <v>100</v>
      </c>
      <c r="H108" s="1424">
        <f t="shared" si="33"/>
        <v>100</v>
      </c>
      <c r="I108" s="1424">
        <f t="shared" si="33"/>
        <v>100</v>
      </c>
      <c r="J108" s="1424">
        <f t="shared" si="33"/>
        <v>100</v>
      </c>
      <c r="K108" s="1424">
        <f t="shared" si="33"/>
        <v>100</v>
      </c>
      <c r="L108" s="1424">
        <f t="shared" si="33"/>
        <v>100</v>
      </c>
      <c r="M108" s="1474">
        <f t="shared" si="33"/>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34">D111+$K36</f>
        <v>100</v>
      </c>
      <c r="F111" s="1424">
        <f t="shared" si="34"/>
        <v>100</v>
      </c>
      <c r="G111" s="1424">
        <f t="shared" si="34"/>
        <v>100</v>
      </c>
      <c r="H111" s="1424">
        <f t="shared" si="34"/>
        <v>100</v>
      </c>
      <c r="I111" s="1424">
        <f t="shared" si="34"/>
        <v>100</v>
      </c>
      <c r="J111" s="1424">
        <f t="shared" si="34"/>
        <v>100</v>
      </c>
      <c r="K111" s="1424">
        <f t="shared" si="34"/>
        <v>100</v>
      </c>
      <c r="L111" s="1424">
        <f t="shared" si="34"/>
        <v>100</v>
      </c>
      <c r="M111" s="1424">
        <f t="shared" si="34"/>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1193</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35">D113-$K37</f>
        <v>100</v>
      </c>
      <c r="F113" s="1424">
        <f t="shared" si="35"/>
        <v>100</v>
      </c>
      <c r="G113" s="1424">
        <f t="shared" si="35"/>
        <v>100</v>
      </c>
      <c r="H113" s="1424">
        <f t="shared" si="35"/>
        <v>100</v>
      </c>
      <c r="I113" s="1424">
        <f t="shared" si="35"/>
        <v>100</v>
      </c>
      <c r="J113" s="1424">
        <f t="shared" si="35"/>
        <v>100</v>
      </c>
      <c r="K113" s="1424">
        <f t="shared" si="35"/>
        <v>100</v>
      </c>
      <c r="L113" s="1424">
        <f t="shared" si="35"/>
        <v>100</v>
      </c>
      <c r="M113" s="1424">
        <f t="shared" si="35"/>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1194</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36">C115-$K38</f>
        <v>100</v>
      </c>
      <c r="E115" s="1424">
        <f t="shared" si="36"/>
        <v>100</v>
      </c>
      <c r="F115" s="1424">
        <f t="shared" si="36"/>
        <v>100</v>
      </c>
      <c r="G115" s="1424">
        <f t="shared" si="36"/>
        <v>100</v>
      </c>
      <c r="H115" s="1424">
        <f t="shared" si="36"/>
        <v>100</v>
      </c>
      <c r="I115" s="1424">
        <f t="shared" si="36"/>
        <v>100</v>
      </c>
      <c r="J115" s="1424">
        <f t="shared" si="36"/>
        <v>100</v>
      </c>
      <c r="K115" s="1424">
        <f t="shared" si="36"/>
        <v>100</v>
      </c>
      <c r="L115" s="1424">
        <f t="shared" si="36"/>
        <v>100</v>
      </c>
      <c r="M115" s="1474">
        <f t="shared" si="36"/>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1195</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1196</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1224</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37">D121-$K41</f>
        <v>100</v>
      </c>
      <c r="F121" s="1424">
        <f t="shared" si="37"/>
        <v>100</v>
      </c>
      <c r="G121" s="1424">
        <f t="shared" si="37"/>
        <v>100</v>
      </c>
      <c r="H121" s="1424">
        <f t="shared" si="37"/>
        <v>100</v>
      </c>
      <c r="I121" s="1424">
        <f t="shared" si="37"/>
        <v>100</v>
      </c>
      <c r="J121" s="1424">
        <f t="shared" si="37"/>
        <v>100</v>
      </c>
      <c r="K121" s="1424">
        <f t="shared" si="37"/>
        <v>100</v>
      </c>
      <c r="L121" s="1424">
        <f t="shared" si="37"/>
        <v>100</v>
      </c>
      <c r="M121" s="1474">
        <f t="shared" si="37"/>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1198</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8">C123-$K42</f>
        <v>100</v>
      </c>
      <c r="E123" s="1424">
        <f t="shared" si="38"/>
        <v>100</v>
      </c>
      <c r="F123" s="1424">
        <f t="shared" si="38"/>
        <v>100</v>
      </c>
      <c r="G123" s="1424">
        <f t="shared" si="38"/>
        <v>100</v>
      </c>
      <c r="H123" s="1424">
        <f t="shared" si="38"/>
        <v>100</v>
      </c>
      <c r="I123" s="1424">
        <f t="shared" si="38"/>
        <v>100</v>
      </c>
      <c r="J123" s="1424">
        <f t="shared" si="38"/>
        <v>100</v>
      </c>
      <c r="K123" s="1424">
        <f t="shared" si="38"/>
        <v>100</v>
      </c>
      <c r="L123" s="1424">
        <f t="shared" si="38"/>
        <v>100</v>
      </c>
      <c r="M123" s="1474">
        <f t="shared" si="38"/>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1199</v>
      </c>
      <c r="C124" s="1440" t="s">
        <v>1212</v>
      </c>
      <c r="D124" s="1440" t="s">
        <v>1213</v>
      </c>
      <c r="E124" s="1440" t="s">
        <v>1214</v>
      </c>
      <c r="F124" s="1440" t="s">
        <v>1215</v>
      </c>
      <c r="G124" s="1440" t="s">
        <v>1216</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ht="14.4">
      <c r="A126" s="1449"/>
      <c r="B126" s="1421">
        <f>B44</f>
        <v>111</v>
      </c>
      <c r="C126" s="3587" t="s">
        <v>3410</v>
      </c>
      <c r="D126" s="1429" t="s">
        <v>3407</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82" workbookViewId="0">
      <selection activeCell="S77" sqref="S77"/>
    </sheetView>
  </sheetViews>
  <sheetFormatPr defaultColWidth="9" defaultRowHeight="14.4"/>
  <sheetData>
    <row r="26" spans="6:8">
      <c r="F26" s="2324"/>
      <c r="G26" s="2325" t="s">
        <v>1230</v>
      </c>
      <c r="H26" s="2325" t="s">
        <v>1231</v>
      </c>
    </row>
    <row r="27" spans="6:8">
      <c r="F27" s="2325" t="s">
        <v>1232</v>
      </c>
      <c r="G27" s="2324">
        <v>52838</v>
      </c>
      <c r="H27" s="2324">
        <v>56777</v>
      </c>
    </row>
    <row r="28" spans="6:8">
      <c r="F28" s="2325" t="s">
        <v>1233</v>
      </c>
      <c r="G28" s="2324">
        <v>6938</v>
      </c>
      <c r="H28" s="2324">
        <v>52757</v>
      </c>
    </row>
    <row r="29" spans="6:8">
      <c r="F29" s="2325" t="s">
        <v>1234</v>
      </c>
      <c r="G29" s="2324">
        <v>67392</v>
      </c>
      <c r="H29" s="2324">
        <v>56057</v>
      </c>
    </row>
    <row r="67" spans="2:20" ht="30.6">
      <c r="B67" s="2326" t="s">
        <v>1235</v>
      </c>
      <c r="C67" s="2326" t="s">
        <v>1236</v>
      </c>
      <c r="D67" s="2326" t="s">
        <v>1237</v>
      </c>
      <c r="E67" s="2327" t="s">
        <v>1238</v>
      </c>
      <c r="F67" s="2326" t="s">
        <v>1239</v>
      </c>
      <c r="G67" s="2328" t="s">
        <v>1240</v>
      </c>
      <c r="H67" s="2328" t="s">
        <v>1241</v>
      </c>
      <c r="I67" s="2327" t="s">
        <v>1242</v>
      </c>
      <c r="J67" s="2327" t="s">
        <v>1243</v>
      </c>
      <c r="K67" s="2327" t="s">
        <v>1244</v>
      </c>
      <c r="L67" s="2327" t="s">
        <v>1245</v>
      </c>
      <c r="M67" s="2324" t="s">
        <v>1246</v>
      </c>
      <c r="N67" s="2353" t="s">
        <v>1247</v>
      </c>
      <c r="O67" s="2354" t="s">
        <v>1248</v>
      </c>
      <c r="P67" s="2354" t="s">
        <v>1249</v>
      </c>
    </row>
    <row r="68" spans="2:20" ht="20.399999999999999">
      <c r="B68" s="2329">
        <v>1</v>
      </c>
      <c r="C68" s="2330" t="s">
        <v>1250</v>
      </c>
      <c r="D68" s="2330" t="s">
        <v>1166</v>
      </c>
      <c r="E68" s="2330" t="s">
        <v>1251</v>
      </c>
      <c r="F68" s="2330" t="s">
        <v>1252</v>
      </c>
      <c r="G68" s="2331">
        <v>37.1</v>
      </c>
      <c r="H68" s="2332">
        <v>109000</v>
      </c>
      <c r="I68" s="2332">
        <v>33940</v>
      </c>
      <c r="J68" s="2330" t="s">
        <v>1253</v>
      </c>
      <c r="K68" s="2330" t="s">
        <v>1254</v>
      </c>
      <c r="L68" s="2330" t="s">
        <v>1255</v>
      </c>
      <c r="M68" s="2324"/>
      <c r="N68" s="2324"/>
      <c r="O68" s="2324"/>
      <c r="P68" s="2324"/>
    </row>
    <row r="69" spans="2:20">
      <c r="B69" s="2333">
        <v>2</v>
      </c>
      <c r="C69" s="2334" t="s">
        <v>1250</v>
      </c>
      <c r="D69" s="2334" t="s">
        <v>409</v>
      </c>
      <c r="E69" s="2334" t="s">
        <v>1256</v>
      </c>
      <c r="F69" s="2334" t="s">
        <v>1257</v>
      </c>
      <c r="G69" s="2333">
        <v>28</v>
      </c>
      <c r="H69" s="2335">
        <v>114200</v>
      </c>
      <c r="I69" s="2335">
        <v>24518</v>
      </c>
      <c r="J69" s="2334" t="s">
        <v>1253</v>
      </c>
      <c r="K69" s="2334" t="s">
        <v>1258</v>
      </c>
      <c r="L69" s="2334" t="s">
        <v>1259</v>
      </c>
      <c r="M69" s="2324"/>
      <c r="N69" s="2324"/>
      <c r="O69" s="2324"/>
      <c r="P69" s="2324"/>
    </row>
    <row r="70" spans="2:20" ht="20.399999999999999">
      <c r="B70" s="2329">
        <v>3</v>
      </c>
      <c r="C70" s="2330" t="s">
        <v>1250</v>
      </c>
      <c r="D70" s="2330" t="s">
        <v>1260</v>
      </c>
      <c r="E70" s="2330" t="s">
        <v>1261</v>
      </c>
      <c r="F70" s="2330" t="s">
        <v>1262</v>
      </c>
      <c r="G70" s="2336">
        <v>20.48</v>
      </c>
      <c r="H70" s="2332">
        <v>37923</v>
      </c>
      <c r="I70" s="2332">
        <v>54004</v>
      </c>
      <c r="J70" s="2330" t="s">
        <v>1253</v>
      </c>
      <c r="K70" s="2330" t="s">
        <v>1263</v>
      </c>
      <c r="L70" s="2330" t="s">
        <v>1264</v>
      </c>
      <c r="M70" s="2324"/>
      <c r="N70" s="2324"/>
      <c r="O70" s="2324"/>
      <c r="P70" s="2324"/>
    </row>
    <row r="71" spans="2:20" ht="30.6">
      <c r="B71" s="2333">
        <v>4</v>
      </c>
      <c r="C71" s="2334" t="s">
        <v>1250</v>
      </c>
      <c r="D71" s="2334" t="s">
        <v>1265</v>
      </c>
      <c r="E71" s="2334" t="s">
        <v>1266</v>
      </c>
      <c r="F71" s="2334" t="s">
        <v>1267</v>
      </c>
      <c r="G71" s="2333">
        <v>13</v>
      </c>
      <c r="H71" s="2335">
        <v>48000</v>
      </c>
      <c r="I71" s="2335">
        <v>27083</v>
      </c>
      <c r="J71" s="2334" t="s">
        <v>1268</v>
      </c>
      <c r="K71" s="2334" t="s">
        <v>1269</v>
      </c>
      <c r="L71" s="2334" t="s">
        <v>1270</v>
      </c>
      <c r="M71" s="2324"/>
      <c r="N71" s="2324"/>
      <c r="O71" s="2324"/>
      <c r="P71" s="2324"/>
    </row>
    <row r="72" spans="2:20" ht="20.399999999999999">
      <c r="B72" s="2329">
        <v>5</v>
      </c>
      <c r="C72" s="2330" t="s">
        <v>1250</v>
      </c>
      <c r="D72" s="2330" t="s">
        <v>1166</v>
      </c>
      <c r="E72" s="2330" t="s">
        <v>1271</v>
      </c>
      <c r="F72" s="2330" t="s">
        <v>1272</v>
      </c>
      <c r="G72" s="2336">
        <v>10.84</v>
      </c>
      <c r="H72" s="2332">
        <v>24252</v>
      </c>
      <c r="I72" s="2342">
        <v>44697</v>
      </c>
      <c r="J72" s="2330" t="s">
        <v>1268</v>
      </c>
      <c r="K72" s="2330" t="s">
        <v>1273</v>
      </c>
      <c r="L72" s="2330" t="s">
        <v>1274</v>
      </c>
      <c r="M72" s="2324"/>
      <c r="N72" s="2324"/>
      <c r="O72" s="2324"/>
      <c r="P72" s="2324"/>
    </row>
    <row r="73" spans="2:20" ht="20.399999999999999">
      <c r="B73" s="2337">
        <v>6</v>
      </c>
      <c r="C73" s="2338" t="s">
        <v>1275</v>
      </c>
      <c r="D73" s="2338" t="s">
        <v>1166</v>
      </c>
      <c r="E73" s="2338" t="s">
        <v>1276</v>
      </c>
      <c r="F73" s="2338" t="s">
        <v>1257</v>
      </c>
      <c r="G73" s="2339">
        <v>26.5</v>
      </c>
      <c r="H73" s="2340">
        <v>35940</v>
      </c>
      <c r="I73" s="2340">
        <v>73734</v>
      </c>
      <c r="J73" s="2338" t="s">
        <v>1253</v>
      </c>
      <c r="K73" s="2338" t="s">
        <v>1277</v>
      </c>
      <c r="L73" s="2338" t="s">
        <v>1278</v>
      </c>
      <c r="M73" s="2355"/>
      <c r="N73" s="2355">
        <v>0.25</v>
      </c>
      <c r="O73" s="2355">
        <v>48000</v>
      </c>
      <c r="P73" s="2355">
        <v>55208</v>
      </c>
    </row>
    <row r="74" spans="2:20" s="2323" customFormat="1" ht="30">
      <c r="B74" s="2337">
        <v>7</v>
      </c>
      <c r="C74" s="2338" t="s">
        <v>1275</v>
      </c>
      <c r="D74" s="2338" t="s">
        <v>1166</v>
      </c>
      <c r="E74" s="2338" t="s">
        <v>1279</v>
      </c>
      <c r="F74" s="2338" t="s">
        <v>1262</v>
      </c>
      <c r="G74" s="2337">
        <v>24</v>
      </c>
      <c r="H74" s="2340">
        <v>52838</v>
      </c>
      <c r="I74" s="2340">
        <v>56777</v>
      </c>
      <c r="J74" s="2338" t="s">
        <v>1253</v>
      </c>
      <c r="K74" s="2338" t="s">
        <v>1280</v>
      </c>
      <c r="L74" s="2338" t="s">
        <v>1281</v>
      </c>
      <c r="M74" s="2355"/>
      <c r="N74" s="2355"/>
      <c r="O74" s="2355"/>
      <c r="P74" s="2355"/>
      <c r="Q74" s="2360" t="s">
        <v>1282</v>
      </c>
    </row>
    <row r="75" spans="2:20" s="2323" customFormat="1" ht="29.4">
      <c r="B75" s="2337">
        <v>8</v>
      </c>
      <c r="C75" s="2338" t="s">
        <v>1275</v>
      </c>
      <c r="D75" s="2338" t="s">
        <v>1283</v>
      </c>
      <c r="E75" s="2338" t="s">
        <v>1284</v>
      </c>
      <c r="F75" s="2338" t="s">
        <v>1257</v>
      </c>
      <c r="G75" s="2341">
        <v>25.64</v>
      </c>
      <c r="H75" s="2338"/>
      <c r="I75" s="2338"/>
      <c r="J75" s="2338" t="s">
        <v>1253</v>
      </c>
      <c r="K75" s="2338" t="s">
        <v>1285</v>
      </c>
      <c r="L75" s="2338" t="s">
        <v>1286</v>
      </c>
      <c r="M75" s="2355">
        <v>1</v>
      </c>
      <c r="N75" s="2355"/>
      <c r="O75" s="2355">
        <v>60000</v>
      </c>
      <c r="P75" s="2355">
        <v>85466</v>
      </c>
    </row>
    <row r="76" spans="2:20" ht="20.399999999999999">
      <c r="B76" s="2329">
        <v>9</v>
      </c>
      <c r="C76" s="2330" t="s">
        <v>1287</v>
      </c>
      <c r="D76" s="2330" t="s">
        <v>1166</v>
      </c>
      <c r="E76" s="2330" t="s">
        <v>1288</v>
      </c>
      <c r="F76" s="2330" t="s">
        <v>1257</v>
      </c>
      <c r="G76" s="2331">
        <v>8.5</v>
      </c>
      <c r="H76" s="2342">
        <v>15776</v>
      </c>
      <c r="I76" s="2342">
        <v>53879</v>
      </c>
      <c r="J76" s="2330" t="s">
        <v>1253</v>
      </c>
      <c r="K76" s="2330" t="s">
        <v>1289</v>
      </c>
      <c r="L76" s="2330" t="s">
        <v>1290</v>
      </c>
      <c r="M76" s="2324"/>
      <c r="N76" s="2355"/>
      <c r="O76" s="2324"/>
      <c r="P76" s="2355"/>
    </row>
    <row r="77" spans="2:20" ht="19.2">
      <c r="B77" s="2343">
        <v>10</v>
      </c>
      <c r="C77" s="2344" t="s">
        <v>1287</v>
      </c>
      <c r="D77" s="2344" t="s">
        <v>1166</v>
      </c>
      <c r="E77" s="2345" t="s">
        <v>1291</v>
      </c>
      <c r="F77" s="2344" t="s">
        <v>1292</v>
      </c>
      <c r="G77" s="2346">
        <v>15.05</v>
      </c>
      <c r="H77" s="2347">
        <v>24205</v>
      </c>
      <c r="I77" s="2356">
        <v>62177</v>
      </c>
      <c r="J77" s="2344" t="s">
        <v>1268</v>
      </c>
      <c r="K77" s="2344" t="s">
        <v>1293</v>
      </c>
      <c r="L77" s="2344" t="s">
        <v>1294</v>
      </c>
      <c r="M77" s="2357"/>
      <c r="N77" s="2357">
        <v>0.25</v>
      </c>
      <c r="O77" s="2357">
        <f>17629.08+6577.22+8208.12</f>
        <v>32414.420000000006</v>
      </c>
      <c r="P77" s="2357">
        <v>46431</v>
      </c>
      <c r="Q77" s="2361" t="s">
        <v>1295</v>
      </c>
      <c r="R77" s="2362" t="s">
        <v>1296</v>
      </c>
      <c r="S77" s="2362" t="s">
        <v>1297</v>
      </c>
      <c r="T77">
        <f>8208.12/O77</f>
        <v>0.25322433657612875</v>
      </c>
    </row>
    <row r="78" spans="2:20" s="2323" customFormat="1">
      <c r="B78" s="2343">
        <v>11</v>
      </c>
      <c r="C78" s="2344" t="s">
        <v>1287</v>
      </c>
      <c r="D78" s="2344" t="s">
        <v>1166</v>
      </c>
      <c r="E78" s="2345" t="s">
        <v>1233</v>
      </c>
      <c r="F78" s="2344" t="s">
        <v>1262</v>
      </c>
      <c r="G78" s="2346">
        <v>3.66</v>
      </c>
      <c r="H78" s="2347">
        <v>6938</v>
      </c>
      <c r="I78" s="2347">
        <v>52757</v>
      </c>
      <c r="J78" s="2344" t="s">
        <v>1253</v>
      </c>
      <c r="K78" s="2345" t="s">
        <v>1298</v>
      </c>
      <c r="L78" s="2344" t="s">
        <v>1299</v>
      </c>
      <c r="M78" s="2355"/>
      <c r="N78" s="2355"/>
      <c r="O78" s="2355"/>
      <c r="P78" s="2355"/>
    </row>
    <row r="79" spans="2:20" ht="20.399999999999999">
      <c r="B79" s="2333">
        <v>12</v>
      </c>
      <c r="C79" s="2334" t="s">
        <v>1300</v>
      </c>
      <c r="D79" s="2334" t="s">
        <v>1265</v>
      </c>
      <c r="E79" s="2334" t="s">
        <v>1301</v>
      </c>
      <c r="F79" s="2334" t="s">
        <v>1257</v>
      </c>
      <c r="G79" s="2333">
        <v>6</v>
      </c>
      <c r="H79" s="2348">
        <v>15000</v>
      </c>
      <c r="I79" s="2348">
        <v>40000</v>
      </c>
      <c r="J79" s="2334" t="s">
        <v>1253</v>
      </c>
      <c r="K79" s="2334" t="s">
        <v>1302</v>
      </c>
      <c r="L79" s="2334" t="s">
        <v>1303</v>
      </c>
      <c r="M79" s="2324"/>
      <c r="N79" s="2355"/>
      <c r="O79" s="2324"/>
      <c r="P79" s="2324"/>
    </row>
    <row r="80" spans="2:20" ht="20.399999999999999">
      <c r="B80" s="2329">
        <v>13</v>
      </c>
      <c r="C80" s="2330" t="s">
        <v>1300</v>
      </c>
      <c r="D80" s="2330" t="s">
        <v>1166</v>
      </c>
      <c r="E80" s="2330" t="s">
        <v>1304</v>
      </c>
      <c r="F80" s="2330" t="s">
        <v>1267</v>
      </c>
      <c r="G80" s="2336">
        <v>16.739999999999998</v>
      </c>
      <c r="H80" s="2342">
        <v>28829</v>
      </c>
      <c r="I80" s="2342">
        <v>58077</v>
      </c>
      <c r="J80" s="2330" t="s">
        <v>1268</v>
      </c>
      <c r="K80" s="2330" t="s">
        <v>1305</v>
      </c>
      <c r="L80" s="2330" t="s">
        <v>1306</v>
      </c>
      <c r="M80" s="2324"/>
      <c r="N80" s="2355"/>
      <c r="O80" s="2324"/>
      <c r="P80" s="2324"/>
    </row>
    <row r="81" spans="2:20" ht="20.399999999999999">
      <c r="B81" s="2333">
        <v>14</v>
      </c>
      <c r="C81" s="2334" t="s">
        <v>1300</v>
      </c>
      <c r="D81" s="2334" t="s">
        <v>1265</v>
      </c>
      <c r="E81" s="2334" t="s">
        <v>1307</v>
      </c>
      <c r="F81" s="2334" t="s">
        <v>1252</v>
      </c>
      <c r="G81" s="2349">
        <v>7.2</v>
      </c>
      <c r="H81" s="2348">
        <v>41900</v>
      </c>
      <c r="I81" s="2348">
        <v>17184</v>
      </c>
      <c r="J81" s="2334" t="s">
        <v>1268</v>
      </c>
      <c r="K81" s="2334" t="s">
        <v>1308</v>
      </c>
      <c r="L81" s="2334" t="s">
        <v>1309</v>
      </c>
      <c r="M81" s="2324"/>
      <c r="N81" s="2355"/>
      <c r="O81" s="2324"/>
      <c r="P81" s="2324"/>
      <c r="Q81" s="2324"/>
      <c r="R81" s="2324"/>
      <c r="S81" s="2324"/>
    </row>
    <row r="82" spans="2:20" ht="30.6">
      <c r="B82" s="2329">
        <v>15</v>
      </c>
      <c r="C82" s="2330" t="s">
        <v>1310</v>
      </c>
      <c r="D82" s="2330" t="s">
        <v>1166</v>
      </c>
      <c r="E82" s="2330" t="s">
        <v>1311</v>
      </c>
      <c r="F82" s="2330" t="s">
        <v>1257</v>
      </c>
      <c r="G82" s="2336">
        <v>5.61</v>
      </c>
      <c r="H82" s="2342">
        <v>11645</v>
      </c>
      <c r="I82" s="2342">
        <v>48158</v>
      </c>
      <c r="J82" s="2330" t="s">
        <v>1268</v>
      </c>
      <c r="K82" s="2330" t="s">
        <v>1312</v>
      </c>
      <c r="L82" s="2330" t="s">
        <v>1313</v>
      </c>
      <c r="M82" s="2324"/>
      <c r="N82" s="2355"/>
      <c r="O82" s="2358"/>
      <c r="P82" s="2324"/>
      <c r="Q82" s="2324"/>
      <c r="R82" s="2324"/>
      <c r="S82" s="2324"/>
    </row>
    <row r="83" spans="2:20" s="2323" customFormat="1" ht="20.399999999999999">
      <c r="B83" s="2337">
        <v>16</v>
      </c>
      <c r="C83" s="2338" t="s">
        <v>1310</v>
      </c>
      <c r="D83" s="2338" t="s">
        <v>1166</v>
      </c>
      <c r="E83" s="2338" t="s">
        <v>1314</v>
      </c>
      <c r="F83" s="2338" t="s">
        <v>1262</v>
      </c>
      <c r="G83" s="2339">
        <v>90.6</v>
      </c>
      <c r="H83" s="2350">
        <v>107627</v>
      </c>
      <c r="I83" s="2350">
        <v>84180</v>
      </c>
      <c r="J83" s="2338" t="s">
        <v>1253</v>
      </c>
      <c r="K83" s="2338" t="s">
        <v>1315</v>
      </c>
      <c r="L83" s="2338" t="s">
        <v>1316</v>
      </c>
      <c r="M83" s="2355">
        <v>12.307255260677</v>
      </c>
      <c r="N83" s="2355">
        <v>0.12</v>
      </c>
      <c r="O83" s="2355">
        <v>122430.06</v>
      </c>
      <c r="P83" s="2355">
        <v>74001</v>
      </c>
      <c r="Q83" s="2355"/>
      <c r="R83" s="2355">
        <v>14</v>
      </c>
      <c r="S83" s="2355">
        <v>8745.0042857142907</v>
      </c>
    </row>
    <row r="84" spans="2:20" ht="30.6">
      <c r="B84" s="2329">
        <v>17</v>
      </c>
      <c r="C84" s="2330" t="s">
        <v>1310</v>
      </c>
      <c r="D84" s="2330" t="s">
        <v>1283</v>
      </c>
      <c r="E84" s="2330" t="s">
        <v>1317</v>
      </c>
      <c r="F84" s="2330" t="s">
        <v>1272</v>
      </c>
      <c r="G84" s="2329">
        <v>40</v>
      </c>
      <c r="H84" s="2342">
        <v>100030</v>
      </c>
      <c r="I84" s="2342">
        <v>40000</v>
      </c>
      <c r="J84" s="2330" t="s">
        <v>1318</v>
      </c>
      <c r="K84" s="2330" t="s">
        <v>1319</v>
      </c>
      <c r="L84" s="2330" t="s">
        <v>1320</v>
      </c>
      <c r="M84" s="2355"/>
      <c r="N84" s="2355"/>
      <c r="O84" s="2355"/>
      <c r="P84" s="2355"/>
      <c r="Q84" s="2355"/>
      <c r="R84" s="2324"/>
      <c r="S84" s="2324"/>
    </row>
    <row r="85" spans="2:20" ht="20.399999999999999">
      <c r="B85" s="2343">
        <v>18</v>
      </c>
      <c r="C85" s="2344" t="s">
        <v>1321</v>
      </c>
      <c r="D85" s="2344" t="s">
        <v>1322</v>
      </c>
      <c r="E85" s="2344" t="s">
        <v>1323</v>
      </c>
      <c r="F85" s="2344" t="s">
        <v>1292</v>
      </c>
      <c r="G85" s="2351">
        <v>43.3</v>
      </c>
      <c r="H85" s="2347">
        <v>110996</v>
      </c>
      <c r="I85" s="2347">
        <v>55732</v>
      </c>
      <c r="J85" s="2344" t="s">
        <v>1324</v>
      </c>
      <c r="K85" s="2344" t="s">
        <v>1325</v>
      </c>
      <c r="L85" s="2344" t="s">
        <v>1326</v>
      </c>
      <c r="M85" s="2357"/>
      <c r="N85" s="2357"/>
      <c r="O85" s="2357">
        <f>39288+29716+28661+48263</f>
        <v>145928</v>
      </c>
      <c r="P85" s="2357">
        <v>42389</v>
      </c>
      <c r="Q85" s="2357" t="s">
        <v>1327</v>
      </c>
      <c r="R85" s="2363">
        <f>O85-H85</f>
        <v>34932</v>
      </c>
      <c r="T85" s="2357">
        <f>R85/O85</f>
        <v>0.23937832355682254</v>
      </c>
    </row>
    <row r="86" spans="2:20" ht="30.6">
      <c r="B86" s="2329">
        <v>19</v>
      </c>
      <c r="C86" s="2330" t="s">
        <v>1328</v>
      </c>
      <c r="D86" s="2330" t="s">
        <v>1283</v>
      </c>
      <c r="E86" s="2330" t="s">
        <v>1329</v>
      </c>
      <c r="F86" s="2330" t="s">
        <v>1262</v>
      </c>
      <c r="G86" s="2336">
        <v>16.45</v>
      </c>
      <c r="H86" s="2342">
        <v>41197</v>
      </c>
      <c r="I86" s="2342">
        <v>39930</v>
      </c>
      <c r="J86" s="2330" t="s">
        <v>1268</v>
      </c>
      <c r="K86" s="2330" t="s">
        <v>1330</v>
      </c>
      <c r="L86" s="2359" t="s">
        <v>1331</v>
      </c>
      <c r="M86" s="2355"/>
      <c r="N86" s="2355"/>
      <c r="O86" s="2355"/>
      <c r="P86" s="2355"/>
      <c r="Q86" s="2355">
        <v>230000</v>
      </c>
      <c r="R86" s="2324">
        <v>55829.307959317397</v>
      </c>
      <c r="S86" s="2324">
        <v>0.71521739130434803</v>
      </c>
    </row>
    <row r="87" spans="2:20">
      <c r="B87" s="2333">
        <v>20</v>
      </c>
      <c r="C87" s="2334" t="s">
        <v>1328</v>
      </c>
      <c r="D87" s="2334" t="s">
        <v>1166</v>
      </c>
      <c r="E87" s="2334" t="s">
        <v>1332</v>
      </c>
      <c r="F87" s="2334" t="s">
        <v>1333</v>
      </c>
      <c r="G87" s="2352">
        <v>20</v>
      </c>
      <c r="H87" s="2348">
        <v>49000</v>
      </c>
      <c r="I87" s="2348">
        <v>40816</v>
      </c>
      <c r="J87" s="2334" t="s">
        <v>1268</v>
      </c>
      <c r="K87" s="2334" t="s">
        <v>1334</v>
      </c>
      <c r="L87" s="2334" t="s">
        <v>1335</v>
      </c>
      <c r="M87" s="2355"/>
      <c r="N87" s="2355"/>
      <c r="O87" s="2355"/>
      <c r="P87" s="2355"/>
      <c r="Q87" s="2355"/>
      <c r="R87" s="2324"/>
      <c r="S87" s="2324"/>
    </row>
    <row r="88" spans="2:20" ht="30.6">
      <c r="B88" s="2329">
        <v>21</v>
      </c>
      <c r="C88" s="2330" t="s">
        <v>1328</v>
      </c>
      <c r="D88" s="2330" t="s">
        <v>1336</v>
      </c>
      <c r="E88" s="2330" t="s">
        <v>1337</v>
      </c>
      <c r="F88" s="2330" t="s">
        <v>1338</v>
      </c>
      <c r="G88" s="2336">
        <v>6.55</v>
      </c>
      <c r="H88" s="2342">
        <v>37002</v>
      </c>
      <c r="I88" s="2342">
        <v>17702</v>
      </c>
      <c r="J88" s="2330" t="s">
        <v>1253</v>
      </c>
      <c r="K88" s="2330" t="s">
        <v>1339</v>
      </c>
      <c r="L88" s="2330" t="s">
        <v>1340</v>
      </c>
      <c r="M88" s="2355"/>
      <c r="N88" s="2355"/>
      <c r="O88" s="2355"/>
      <c r="P88" s="2355"/>
      <c r="Q88" s="2355"/>
      <c r="R88" s="2324"/>
      <c r="S88" s="2324"/>
    </row>
    <row r="89" spans="2:20" ht="20.399999999999999">
      <c r="B89" s="2333">
        <v>22</v>
      </c>
      <c r="C89" s="2334" t="s">
        <v>1328</v>
      </c>
      <c r="D89" s="2334" t="s">
        <v>1166</v>
      </c>
      <c r="E89" s="2334" t="s">
        <v>1341</v>
      </c>
      <c r="F89" s="2334" t="s">
        <v>1338</v>
      </c>
      <c r="G89" s="2352">
        <v>8.67</v>
      </c>
      <c r="H89" s="2348">
        <v>38464</v>
      </c>
      <c r="I89" s="2348">
        <v>22547</v>
      </c>
      <c r="J89" s="2334" t="s">
        <v>1268</v>
      </c>
      <c r="K89" s="2334" t="s">
        <v>1342</v>
      </c>
      <c r="L89" s="2334" t="s">
        <v>1343</v>
      </c>
      <c r="M89" s="2355"/>
      <c r="N89" s="2355"/>
      <c r="O89" s="2355"/>
      <c r="P89" s="2355"/>
      <c r="Q89" s="2355"/>
      <c r="R89" s="2324"/>
      <c r="S89" s="2324"/>
    </row>
    <row r="90" spans="2:20" ht="20.399999999999999">
      <c r="B90" s="2329">
        <v>23</v>
      </c>
      <c r="C90" s="2330" t="s">
        <v>1328</v>
      </c>
      <c r="D90" s="2330" t="s">
        <v>1166</v>
      </c>
      <c r="E90" s="2330" t="s">
        <v>1344</v>
      </c>
      <c r="F90" s="2330" t="s">
        <v>1345</v>
      </c>
      <c r="G90" s="2336">
        <v>8.75</v>
      </c>
      <c r="H90" s="2342">
        <v>45240</v>
      </c>
      <c r="I90" s="2342">
        <v>19343</v>
      </c>
      <c r="J90" s="2330" t="s">
        <v>1268</v>
      </c>
      <c r="K90" s="2330" t="s">
        <v>1346</v>
      </c>
      <c r="L90" s="2330" t="s">
        <v>1347</v>
      </c>
      <c r="M90" s="2355"/>
      <c r="N90" s="2355"/>
      <c r="O90" s="2355"/>
      <c r="P90" s="2355"/>
      <c r="Q90" s="2355"/>
      <c r="R90" s="2324"/>
      <c r="S90" s="2324"/>
    </row>
    <row r="91" spans="2:20" s="2323" customFormat="1" ht="20.399999999999999">
      <c r="B91" s="2337">
        <v>24</v>
      </c>
      <c r="C91" s="2338" t="s">
        <v>1328</v>
      </c>
      <c r="D91" s="2338" t="s">
        <v>1166</v>
      </c>
      <c r="E91" s="2338" t="s">
        <v>1348</v>
      </c>
      <c r="F91" s="2338" t="s">
        <v>1252</v>
      </c>
      <c r="G91" s="2341">
        <v>2.97</v>
      </c>
      <c r="H91" s="2350">
        <v>3507</v>
      </c>
      <c r="I91" s="2350">
        <v>84688</v>
      </c>
      <c r="J91" s="2338" t="s">
        <v>1268</v>
      </c>
      <c r="K91" s="2338" t="s">
        <v>1349</v>
      </c>
      <c r="L91" s="2338" t="s">
        <v>1350</v>
      </c>
      <c r="M91" s="2355">
        <v>3.5</v>
      </c>
      <c r="N91" s="2355">
        <v>0.19</v>
      </c>
      <c r="O91" s="2354">
        <v>3506.47</v>
      </c>
      <c r="P91" s="2355">
        <v>84701</v>
      </c>
      <c r="Q91" s="2355"/>
      <c r="R91" s="2355"/>
      <c r="S91" s="2355"/>
    </row>
    <row r="92" spans="2:20" ht="20.399999999999999">
      <c r="B92" s="2329">
        <v>25</v>
      </c>
      <c r="C92" s="2330" t="s">
        <v>1351</v>
      </c>
      <c r="D92" s="2330" t="s">
        <v>1166</v>
      </c>
      <c r="E92" s="2330" t="s">
        <v>1352</v>
      </c>
      <c r="F92" s="2330" t="s">
        <v>1252</v>
      </c>
      <c r="G92" s="2336">
        <v>16.440000000000001</v>
      </c>
      <c r="H92" s="2342">
        <v>66158</v>
      </c>
      <c r="I92" s="2342">
        <v>24847</v>
      </c>
      <c r="J92" s="2330" t="s">
        <v>1268</v>
      </c>
      <c r="K92" s="2330" t="s">
        <v>1353</v>
      </c>
      <c r="L92" s="2330" t="s">
        <v>1354</v>
      </c>
      <c r="M92" s="2324"/>
      <c r="N92" s="2324"/>
      <c r="O92" s="2324"/>
      <c r="P92" s="2324"/>
      <c r="Q92" s="2324"/>
      <c r="R92" s="2324"/>
      <c r="S92" s="2324"/>
    </row>
    <row r="93" spans="2:20" ht="30.6">
      <c r="B93" s="2333">
        <v>26</v>
      </c>
      <c r="C93" s="2334" t="s">
        <v>1351</v>
      </c>
      <c r="D93" s="2334" t="s">
        <v>1166</v>
      </c>
      <c r="E93" s="2334" t="s">
        <v>1355</v>
      </c>
      <c r="F93" s="2334" t="s">
        <v>1257</v>
      </c>
      <c r="G93" s="2352">
        <v>3.08</v>
      </c>
      <c r="H93" s="2348">
        <v>11951</v>
      </c>
      <c r="I93" s="2348">
        <v>25751</v>
      </c>
      <c r="J93" s="2334" t="s">
        <v>1268</v>
      </c>
      <c r="K93" s="2334" t="s">
        <v>1356</v>
      </c>
      <c r="L93" s="2334" t="s">
        <v>1357</v>
      </c>
      <c r="M93" s="2324"/>
      <c r="N93" s="2324"/>
      <c r="O93" s="2324"/>
      <c r="P93" s="2324"/>
      <c r="Q93" s="2324"/>
      <c r="R93" s="2324"/>
      <c r="S93" s="2324"/>
    </row>
    <row r="94" spans="2:20" ht="20.399999999999999">
      <c r="B94" s="2329">
        <v>27</v>
      </c>
      <c r="C94" s="2330" t="s">
        <v>1358</v>
      </c>
      <c r="D94" s="2330" t="s">
        <v>409</v>
      </c>
      <c r="E94" s="2330" t="s">
        <v>1359</v>
      </c>
      <c r="F94" s="2330" t="s">
        <v>1333</v>
      </c>
      <c r="G94" s="2336">
        <v>1.7</v>
      </c>
      <c r="H94" s="2342">
        <v>5382</v>
      </c>
      <c r="I94" s="2342">
        <v>31587</v>
      </c>
      <c r="J94" s="2330" t="s">
        <v>1268</v>
      </c>
      <c r="K94" s="2330" t="s">
        <v>1360</v>
      </c>
      <c r="L94" s="2330" t="s">
        <v>1361</v>
      </c>
      <c r="M94" s="2324"/>
      <c r="N94" s="2324"/>
      <c r="O94" s="2324"/>
      <c r="P94" s="2324"/>
      <c r="Q94" s="2324"/>
      <c r="R94" s="2324"/>
      <c r="S94" s="2324"/>
    </row>
    <row r="95" spans="2:20" ht="30.6">
      <c r="B95" s="2333">
        <v>28</v>
      </c>
      <c r="C95" s="2334" t="s">
        <v>1358</v>
      </c>
      <c r="D95" s="2334" t="s">
        <v>409</v>
      </c>
      <c r="E95" s="2334" t="s">
        <v>1362</v>
      </c>
      <c r="F95" s="2334" t="s">
        <v>1363</v>
      </c>
      <c r="G95" s="2352">
        <v>10.5</v>
      </c>
      <c r="H95" s="2348">
        <v>9671</v>
      </c>
      <c r="I95" s="2348">
        <v>108567</v>
      </c>
      <c r="J95" s="2334" t="s">
        <v>1253</v>
      </c>
      <c r="K95" s="2334" t="s">
        <v>1364</v>
      </c>
      <c r="L95" s="2334" t="s">
        <v>1365</v>
      </c>
      <c r="M95" s="2324"/>
      <c r="N95" s="2324"/>
      <c r="O95" s="2324"/>
      <c r="P95" s="2324"/>
      <c r="Q95" s="2324"/>
      <c r="R95" s="2324"/>
      <c r="S95" s="2324"/>
    </row>
    <row r="96" spans="2:20" ht="20.399999999999999">
      <c r="B96" s="2329">
        <v>29</v>
      </c>
      <c r="C96" s="2330" t="s">
        <v>1358</v>
      </c>
      <c r="D96" s="2330" t="s">
        <v>1166</v>
      </c>
      <c r="E96" s="2330" t="s">
        <v>1366</v>
      </c>
      <c r="F96" s="2330" t="s">
        <v>1367</v>
      </c>
      <c r="G96" s="2336">
        <v>15.75</v>
      </c>
      <c r="H96" s="2342">
        <v>27765</v>
      </c>
      <c r="I96" s="2342">
        <v>56726</v>
      </c>
      <c r="J96" s="2330" t="s">
        <v>1253</v>
      </c>
      <c r="K96" s="2330" t="s">
        <v>1368</v>
      </c>
      <c r="L96" s="2330" t="s">
        <v>1369</v>
      </c>
      <c r="M96" s="2324"/>
      <c r="N96" s="2324"/>
      <c r="O96" s="2324">
        <v>38000</v>
      </c>
      <c r="P96" s="2324">
        <f>G96*10000/O96</f>
        <v>4.1447368421052628</v>
      </c>
      <c r="Q96" s="2324" t="s">
        <v>1370</v>
      </c>
      <c r="R96" s="2358">
        <f>O96-H96</f>
        <v>10235</v>
      </c>
      <c r="S96" s="2324">
        <f>R96/O96</f>
        <v>0.26934210526315788</v>
      </c>
    </row>
    <row r="100" spans="3:9">
      <c r="C100" s="2325" t="s">
        <v>1371</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5.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1372</v>
      </c>
      <c r="B1" s="1394"/>
      <c r="C1" s="2037" t="s">
        <v>549</v>
      </c>
      <c r="D1" s="2038" t="s">
        <v>124</v>
      </c>
      <c r="E1" s="2039" t="s">
        <v>1373</v>
      </c>
      <c r="F1" s="2040">
        <f ca="1">J53</f>
        <v>21.68</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1374</v>
      </c>
      <c r="B2" s="2315">
        <f ca="1">C40+J29+L46</f>
        <v>132197</v>
      </c>
      <c r="C2" s="2044" t="s">
        <v>1375</v>
      </c>
      <c r="D2" s="2044"/>
      <c r="E2" s="2046"/>
      <c r="F2" s="2047"/>
      <c r="G2" s="2048"/>
      <c r="H2" s="2049"/>
      <c r="I2" s="2049"/>
      <c r="J2" s="2049"/>
      <c r="K2" s="2208"/>
      <c r="L2" s="2049"/>
      <c r="M2" s="2049"/>
    </row>
    <row r="3" spans="1:37" ht="18" customHeight="1">
      <c r="A3" s="2050" t="s">
        <v>1376</v>
      </c>
      <c r="B3" s="2051">
        <f ca="1">IF(ISERROR(B2*10000/F43),0,ROUND(B2*10000/F43,0))</f>
        <v>48427</v>
      </c>
      <c r="C3" s="2044" t="s">
        <v>1377</v>
      </c>
      <c r="D3" s="2044"/>
      <c r="E3" s="2046"/>
      <c r="F3" s="2047"/>
      <c r="G3" s="2048"/>
      <c r="H3" s="2052" t="s">
        <v>1378</v>
      </c>
      <c r="I3" s="2209"/>
      <c r="J3" s="2209"/>
      <c r="K3" s="2210"/>
      <c r="L3" s="2209"/>
      <c r="M3" s="2209"/>
    </row>
    <row r="4" spans="1:37" ht="18" customHeight="1">
      <c r="A4" s="2053" t="s">
        <v>1379</v>
      </c>
      <c r="B4" s="2054" t="s">
        <v>1380</v>
      </c>
      <c r="C4" s="2054" t="s">
        <v>1381</v>
      </c>
      <c r="D4" s="2054" t="s">
        <v>1382</v>
      </c>
      <c r="E4" s="2055" t="s">
        <v>1383</v>
      </c>
      <c r="F4" s="2056"/>
      <c r="G4" s="851"/>
      <c r="H4" s="2053" t="s">
        <v>1379</v>
      </c>
      <c r="I4" s="2054" t="s">
        <v>1380</v>
      </c>
      <c r="J4" s="2054" t="s">
        <v>1381</v>
      </c>
      <c r="K4" s="2054" t="s">
        <v>1382</v>
      </c>
      <c r="L4" s="2055" t="s">
        <v>1383</v>
      </c>
      <c r="M4" s="2056"/>
    </row>
    <row r="5" spans="1:37" ht="18" customHeight="1">
      <c r="A5" s="2057">
        <v>1</v>
      </c>
      <c r="B5" s="2058" t="s">
        <v>1384</v>
      </c>
      <c r="C5" s="2059">
        <f ca="1">C6+C10+C12</f>
        <v>10188</v>
      </c>
      <c r="D5" s="2060" t="s">
        <v>1385</v>
      </c>
      <c r="E5" s="2061"/>
      <c r="F5" s="2062"/>
      <c r="G5" s="851"/>
      <c r="H5" s="2057">
        <v>1</v>
      </c>
      <c r="I5" s="2058" t="s">
        <v>1384</v>
      </c>
      <c r="J5" s="2059">
        <f ca="1">J6+J10+J12</f>
        <v>11387</v>
      </c>
      <c r="K5" s="2060" t="s">
        <v>1385</v>
      </c>
      <c r="L5" s="2061"/>
      <c r="M5" s="2062"/>
    </row>
    <row r="6" spans="1:37" ht="18" customHeight="1">
      <c r="A6" s="2063" t="s">
        <v>904</v>
      </c>
      <c r="B6" s="3858" t="s">
        <v>1386</v>
      </c>
      <c r="C6" s="2064">
        <f ca="1">ROUND(F6*F8*F7*(1-F9)/10000,0)</f>
        <v>10163</v>
      </c>
      <c r="D6" s="2065" t="s">
        <v>1387</v>
      </c>
      <c r="E6" s="2066" t="s">
        <v>1388</v>
      </c>
      <c r="F6" s="2067">
        <f ca="1">INDIRECT("'数据-取费表'!u"&amp;$G$1)</f>
        <v>12</v>
      </c>
      <c r="G6" s="851"/>
      <c r="H6" s="2063" t="s">
        <v>904</v>
      </c>
      <c r="I6" s="3858" t="s">
        <v>1386</v>
      </c>
      <c r="J6" s="2138">
        <f ca="1">ROUND(M6*M8*M7*(1-M9)/10000,0)</f>
        <v>11359</v>
      </c>
      <c r="K6" s="2065" t="s">
        <v>1389</v>
      </c>
      <c r="L6" s="2066" t="s">
        <v>1388</v>
      </c>
      <c r="M6" s="2067">
        <f ca="1">INDIRECT("'数据-取费表'!z"&amp;$G$1)</f>
        <v>12</v>
      </c>
    </row>
    <row r="7" spans="1:37" ht="18" customHeight="1">
      <c r="A7" s="2068"/>
      <c r="B7" s="3859"/>
      <c r="C7" s="2069"/>
      <c r="D7" s="2070"/>
      <c r="E7" s="2071" t="s">
        <v>1390</v>
      </c>
      <c r="F7" s="2067">
        <f ca="1">IF(INDIRECT("'数据-取费表'!ah"&amp;$G$1)="",INDIRECT("'数据-取费表'!k"&amp;$G$1),INDIRECT("'数据-取费表'!ah"&amp;$G$1))</f>
        <v>27298.22</v>
      </c>
      <c r="G7" s="851"/>
      <c r="H7" s="2072"/>
      <c r="I7" s="3859"/>
      <c r="J7" s="2073"/>
      <c r="K7" s="2070"/>
      <c r="L7" s="2066" t="s">
        <v>1390</v>
      </c>
      <c r="M7" s="2067">
        <f ca="1">F7</f>
        <v>27298.22</v>
      </c>
    </row>
    <row r="8" spans="1:37" ht="18" customHeight="1">
      <c r="A8" s="2072"/>
      <c r="B8" s="3859"/>
      <c r="C8" s="2073"/>
      <c r="D8" s="2070"/>
      <c r="E8" s="2066" t="s">
        <v>1391</v>
      </c>
      <c r="F8" s="2067">
        <f ca="1">INDIRECT("'数据-取费表'!ai"&amp;$G$1)</f>
        <v>365</v>
      </c>
      <c r="G8" s="851"/>
      <c r="H8" s="2072"/>
      <c r="I8" s="3859"/>
      <c r="J8" s="2073"/>
      <c r="K8" s="2070"/>
      <c r="L8" s="2066" t="s">
        <v>1391</v>
      </c>
      <c r="M8" s="2067">
        <f ca="1">INDIRECT("'数据-取费表'!ai"&amp;$G$1)</f>
        <v>365</v>
      </c>
    </row>
    <row r="9" spans="1:37" ht="18" customHeight="1">
      <c r="A9" s="2072"/>
      <c r="B9" s="3860"/>
      <c r="C9" s="2073"/>
      <c r="D9" s="2070"/>
      <c r="E9" s="2066" t="s">
        <v>1392</v>
      </c>
      <c r="F9" s="2074">
        <f ca="1">INDIRECT("'数据-取费表'!w"&amp;$G$1)</f>
        <v>0.15</v>
      </c>
      <c r="G9" s="851"/>
      <c r="H9" s="2072"/>
      <c r="I9" s="3860"/>
      <c r="J9" s="2073"/>
      <c r="K9" s="2070"/>
      <c r="L9" s="2077" t="s">
        <v>1392</v>
      </c>
      <c r="M9" s="2082">
        <f ca="1">INDIRECT("'数据-取费表'!ab"&amp;$G$1)</f>
        <v>0.05</v>
      </c>
    </row>
    <row r="10" spans="1:37" ht="18" customHeight="1">
      <c r="A10" s="2063" t="s">
        <v>908</v>
      </c>
      <c r="B10" s="2075" t="s">
        <v>1393</v>
      </c>
      <c r="C10" s="1103">
        <f ca="1">ROUND(IF(F10="押一",C6/12*F11,IF(F10="押二",C6/12*2*F11,IF(F10="押三",C6/12*3*F11,C11*F11))),0)</f>
        <v>25</v>
      </c>
      <c r="D10" s="2076" t="s">
        <v>1394</v>
      </c>
      <c r="E10" s="2077" t="s">
        <v>1395</v>
      </c>
      <c r="F10" s="2078" t="s">
        <v>3411</v>
      </c>
      <c r="G10" s="851"/>
      <c r="H10" s="2063" t="s">
        <v>908</v>
      </c>
      <c r="I10" s="2075" t="s">
        <v>1393</v>
      </c>
      <c r="J10" s="2138">
        <f ca="1">ROUND(IF(M10="押一",J6/12*M11,IF(M10="押二",J6/12*2*M11,IF(M10="押三",J6/12*3*M11,J11*M11))),0)</f>
        <v>28</v>
      </c>
      <c r="K10" s="2076" t="s">
        <v>1394</v>
      </c>
      <c r="L10" s="2077" t="s">
        <v>1395</v>
      </c>
      <c r="M10" s="2078" t="s">
        <v>3411</v>
      </c>
    </row>
    <row r="11" spans="1:37" ht="18" customHeight="1">
      <c r="A11" s="2079"/>
      <c r="B11" s="2080" t="s">
        <v>1396</v>
      </c>
      <c r="C11" s="2081"/>
      <c r="D11" s="2316"/>
      <c r="E11" s="2077" t="s">
        <v>1397</v>
      </c>
      <c r="F11" s="2082">
        <f ca="1">'数据-取费表'!B39</f>
        <v>1.4999999999999999E-2</v>
      </c>
      <c r="G11" s="851"/>
      <c r="H11" s="2083"/>
      <c r="I11" s="2080" t="s">
        <v>1396</v>
      </c>
      <c r="J11" s="2081"/>
      <c r="K11" s="2213"/>
      <c r="L11" s="2077" t="s">
        <v>1397</v>
      </c>
      <c r="M11" s="2214">
        <f ca="1">'数据-取费表'!B39</f>
        <v>1.4999999999999999E-2</v>
      </c>
    </row>
    <row r="12" spans="1:37" ht="18" customHeight="1">
      <c r="A12" s="2084" t="s">
        <v>954</v>
      </c>
      <c r="B12" s="2085" t="s">
        <v>1398</v>
      </c>
      <c r="C12" s="2086"/>
      <c r="D12" s="2087"/>
      <c r="E12" s="2088"/>
      <c r="F12" s="2089"/>
      <c r="G12" s="851"/>
      <c r="H12" s="2084" t="s">
        <v>954</v>
      </c>
      <c r="I12" s="2085" t="s">
        <v>1398</v>
      </c>
      <c r="J12" s="2086"/>
      <c r="K12" s="2215"/>
      <c r="L12" s="2088"/>
      <c r="M12" s="2216"/>
    </row>
    <row r="13" spans="1:37" ht="18" customHeight="1">
      <c r="A13" s="2090">
        <v>2</v>
      </c>
      <c r="B13" s="2091" t="s">
        <v>1399</v>
      </c>
      <c r="C13" s="2092">
        <f ca="1">ROUND(C29*F13,0)</f>
        <v>17003</v>
      </c>
      <c r="D13" s="2093" t="s">
        <v>1400</v>
      </c>
      <c r="E13" s="2093" t="s">
        <v>1401</v>
      </c>
      <c r="F13" s="2094">
        <f ca="1">INDIRECT("'数据-取费表'!y"&amp;$G$1)</f>
        <v>0.83</v>
      </c>
      <c r="G13" s="851"/>
      <c r="H13" s="2090">
        <v>2</v>
      </c>
      <c r="I13" s="2091" t="s">
        <v>1399</v>
      </c>
      <c r="J13" s="2217">
        <f ca="1">ROUND(J14*J15,0)</f>
        <v>17003</v>
      </c>
      <c r="K13" s="2116" t="s">
        <v>1400</v>
      </c>
      <c r="L13" s="2218"/>
      <c r="M13" s="2219"/>
    </row>
    <row r="14" spans="1:37" ht="18" customHeight="1">
      <c r="A14" s="2095" t="s">
        <v>927</v>
      </c>
      <c r="B14" s="2066" t="s">
        <v>1402</v>
      </c>
      <c r="C14" s="2096">
        <f ca="1">INDIRECT("'数据-取费表'!m"&amp;$G$1)+INDIRECT("'数据-取费表'!t"&amp;$G$1)</f>
        <v>13723</v>
      </c>
      <c r="D14" s="2097" t="s">
        <v>1403</v>
      </c>
      <c r="E14" s="2098"/>
      <c r="F14" s="2099"/>
      <c r="G14" s="851"/>
      <c r="H14" s="2095" t="s">
        <v>904</v>
      </c>
      <c r="I14" s="2066" t="s">
        <v>1404</v>
      </c>
      <c r="J14" s="1104">
        <f ca="1">C29</f>
        <v>20485</v>
      </c>
      <c r="K14" s="2220"/>
      <c r="L14" s="2221"/>
      <c r="M14" s="2222"/>
    </row>
    <row r="15" spans="1:37" s="2034" customFormat="1" ht="18" customHeight="1">
      <c r="A15" s="2095" t="s">
        <v>931</v>
      </c>
      <c r="B15" s="2066" t="s">
        <v>1103</v>
      </c>
      <c r="C15" s="1104">
        <f ca="1">ROUND(C14*F15,0)</f>
        <v>412</v>
      </c>
      <c r="D15" s="2100" t="s">
        <v>1405</v>
      </c>
      <c r="E15" s="2100" t="s">
        <v>1406</v>
      </c>
      <c r="F15" s="2101">
        <f>'数据-取费表'!B33</f>
        <v>0.03</v>
      </c>
      <c r="G15" s="2102"/>
      <c r="H15" s="2103" t="s">
        <v>908</v>
      </c>
      <c r="I15" s="2088" t="s">
        <v>1401</v>
      </c>
      <c r="J15" s="2216">
        <f ca="1">INDIRECT("'数据-取费表'!ad"&amp;$G$1)</f>
        <v>0.83</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934</v>
      </c>
      <c r="B16" s="2066" t="s">
        <v>1106</v>
      </c>
      <c r="C16" s="1104">
        <f ca="1">ROUND(INDIRECT("'数据-取费表'!m"&amp;$G$1)*F16,0)</f>
        <v>0</v>
      </c>
      <c r="D16" s="2066" t="s">
        <v>1405</v>
      </c>
      <c r="E16" s="2066" t="s">
        <v>1406</v>
      </c>
      <c r="F16" s="2104">
        <f ca="1">IF(INDIRECT("'数据-取费表'!c"&amp;$G$1)="住宅",'数据-取费表'!B34,0)</f>
        <v>0</v>
      </c>
      <c r="G16" s="851"/>
      <c r="H16" s="2090" t="s">
        <v>1407</v>
      </c>
      <c r="I16" s="2091" t="s">
        <v>1408</v>
      </c>
      <c r="J16" s="2092">
        <f ca="1">ROUND(J17+J22+J23+J24,0)</f>
        <v>2368</v>
      </c>
      <c r="K16" s="2116" t="s">
        <v>1409</v>
      </c>
      <c r="L16" s="2117"/>
      <c r="M16" s="2062"/>
    </row>
    <row r="17" spans="1:37" s="2034" customFormat="1" ht="18" customHeight="1">
      <c r="A17" s="2095" t="s">
        <v>1410</v>
      </c>
      <c r="B17" s="2066" t="s">
        <v>1411</v>
      </c>
      <c r="C17" s="1104">
        <f ca="1">ROUND(F17*(F43+INDIRECT("'数据-取费表'!S"&amp;$G$1))/10000,0)</f>
        <v>546</v>
      </c>
      <c r="D17" s="2066" t="s">
        <v>1412</v>
      </c>
      <c r="E17" s="2066" t="s">
        <v>1413</v>
      </c>
      <c r="F17" s="2105">
        <f>'数据-取费表'!B35</f>
        <v>200</v>
      </c>
      <c r="G17" s="2102"/>
      <c r="H17" s="2095" t="s">
        <v>904</v>
      </c>
      <c r="I17" s="2066" t="s">
        <v>1414</v>
      </c>
      <c r="J17" s="2119">
        <f ca="1">ROUND(IF(AND(项目基本情况!B11="自然人",项目基本情况!B10="北京市"),J6*M17/(1+'数据-取费表'!C42),J18+J19+J20),2)</f>
        <v>1918.68</v>
      </c>
      <c r="K17" s="2097" t="s">
        <v>1415</v>
      </c>
      <c r="L17" s="2120" t="s">
        <v>1416</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1417</v>
      </c>
      <c r="B18" s="2066" t="s">
        <v>1112</v>
      </c>
      <c r="C18" s="1104">
        <f ca="1">ROUND(C14*F18,0)</f>
        <v>206</v>
      </c>
      <c r="D18" s="2066" t="s">
        <v>1405</v>
      </c>
      <c r="E18" s="2066" t="s">
        <v>1406</v>
      </c>
      <c r="F18" s="2104">
        <f>'数据-取费表'!B36</f>
        <v>1.4999999999999999E-2</v>
      </c>
      <c r="G18" s="2102"/>
      <c r="H18" s="2095" t="s">
        <v>927</v>
      </c>
      <c r="I18" s="2066" t="s">
        <v>1418</v>
      </c>
      <c r="J18" s="1104">
        <f ca="1">ROUND(J6*M18/(1+'数据-取费表'!C42),2)</f>
        <v>605.80999999999995</v>
      </c>
      <c r="K18" s="2120" t="s">
        <v>1419</v>
      </c>
      <c r="L18" s="2066" t="s">
        <v>1406</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904</v>
      </c>
      <c r="B19" s="2066" t="s">
        <v>1420</v>
      </c>
      <c r="C19" s="1104">
        <f ca="1">SUM(C14:C18)</f>
        <v>14887</v>
      </c>
      <c r="D19" s="2106" t="s">
        <v>1421</v>
      </c>
      <c r="E19" s="1106"/>
      <c r="F19" s="2105"/>
      <c r="G19" s="851"/>
      <c r="H19" s="2095" t="s">
        <v>931</v>
      </c>
      <c r="I19" s="2066" t="s">
        <v>1422</v>
      </c>
      <c r="J19" s="1104">
        <f ca="1">IF(K19="按租金收入计税",ROUND(J6*M19/(1+'数据-取费表'!C42),2),ROUND(C29*M19*0.7,2))</f>
        <v>1298.17</v>
      </c>
      <c r="K19" s="2123" t="s">
        <v>1423</v>
      </c>
      <c r="L19" s="2066" t="s">
        <v>1406</v>
      </c>
      <c r="M19" s="2104">
        <f>IF(K19="按租金收入计税",'数据-取费表'!B51,'数据-取费表'!B50)</f>
        <v>0.12</v>
      </c>
    </row>
    <row r="20" spans="1:37" s="2034" customFormat="1" ht="18" customHeight="1">
      <c r="A20" s="2095" t="s">
        <v>908</v>
      </c>
      <c r="B20" s="2066" t="s">
        <v>1424</v>
      </c>
      <c r="C20" s="1104">
        <f ca="1">ROUND(C19*F20,0)</f>
        <v>298</v>
      </c>
      <c r="D20" s="2107" t="s">
        <v>1425</v>
      </c>
      <c r="E20" s="2066" t="s">
        <v>1406</v>
      </c>
      <c r="F20" s="2104">
        <f>'数据-取费表'!B37</f>
        <v>0.02</v>
      </c>
      <c r="G20" s="2102"/>
      <c r="H20" s="2095" t="s">
        <v>934</v>
      </c>
      <c r="I20" s="2065" t="s">
        <v>1426</v>
      </c>
      <c r="J20" s="2125">
        <f ca="1">ROUND(M20*M21/10000,2)</f>
        <v>14.7</v>
      </c>
      <c r="K20" s="2126" t="s">
        <v>1427</v>
      </c>
      <c r="L20" s="2066" t="s">
        <v>1428</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954</v>
      </c>
      <c r="B21" s="2066" t="s">
        <v>1429</v>
      </c>
      <c r="C21" s="1104" t="s">
        <v>124</v>
      </c>
      <c r="D21" s="2107" t="s">
        <v>1430</v>
      </c>
      <c r="E21" s="2066" t="s">
        <v>1431</v>
      </c>
      <c r="F21" s="2104">
        <f>'数据-取费表'!B38</f>
        <v>0.02</v>
      </c>
      <c r="G21" s="2102"/>
      <c r="H21" s="2108"/>
      <c r="I21" s="2226"/>
      <c r="J21" s="2129"/>
      <c r="K21" s="2130"/>
      <c r="L21" s="2066" t="s">
        <v>1432</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958</v>
      </c>
      <c r="B22" s="2066" t="s">
        <v>1433</v>
      </c>
      <c r="C22" s="1104"/>
      <c r="D22" s="2106" t="str">
        <f>IF(F23&lt;=1,"单利计息。","复利计息。")&amp;"建造成本、管理费用、销售费用产生的利息。"</f>
        <v>复利计息。建造成本、管理费用、销售费用产生的利息。</v>
      </c>
      <c r="E22" s="1106"/>
      <c r="F22" s="2105"/>
      <c r="G22" s="851"/>
      <c r="H22" s="2095" t="s">
        <v>908</v>
      </c>
      <c r="I22" s="2066" t="s">
        <v>1434</v>
      </c>
      <c r="J22" s="1104">
        <f ca="1">ROUND(J14*M22,2)</f>
        <v>204.85</v>
      </c>
      <c r="K22" s="2120" t="s">
        <v>1435</v>
      </c>
      <c r="L22" s="2066" t="s">
        <v>1406</v>
      </c>
      <c r="M22" s="2132">
        <f ca="1">INDIRECT("'数据-取费表'!Ak"&amp;$G$1)</f>
        <v>0.01</v>
      </c>
    </row>
    <row r="23" spans="1:37" s="2034" customFormat="1" ht="18" customHeight="1">
      <c r="A23" s="2095" t="s">
        <v>927</v>
      </c>
      <c r="B23" s="2066" t="s">
        <v>1436</v>
      </c>
      <c r="C23" s="1104">
        <f ca="1">IF('数据-取费表'!B22&lt;=1,ROUND(C19*F24*F23/2,0)+ROUND(C20*F24*F23/2,0),ROUND(C19*(POWER((1+F24),F23/2)-1),0)+ROUND(C20*(POWER((1+F24),F23/2)-1),0))</f>
        <v>661</v>
      </c>
      <c r="D23" s="2109" t="str">
        <f>IF(F23&lt;=1,"(建造成本+管理费用)×利率×(建设周期÷2)","(建造成本+管理费用)×((1+利率)^(建设周期÷2)-1)")</f>
        <v>(建造成本+管理费用)×((1+利率)^(建设周期÷2)-1)</v>
      </c>
      <c r="E23" s="2066" t="s">
        <v>1437</v>
      </c>
      <c r="F23" s="2110">
        <f>'数据-取费表'!B20</f>
        <v>2</v>
      </c>
      <c r="G23" s="2102"/>
      <c r="H23" s="2095" t="s">
        <v>954</v>
      </c>
      <c r="I23" s="2066" t="s">
        <v>1438</v>
      </c>
      <c r="J23" s="1104">
        <f ca="1">ROUND(J13*M23,2)</f>
        <v>17</v>
      </c>
      <c r="K23" s="2120" t="s">
        <v>1439</v>
      </c>
      <c r="L23" s="2066" t="s">
        <v>1406</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931</v>
      </c>
      <c r="B24" s="2066" t="s">
        <v>1440</v>
      </c>
      <c r="C24" s="1104">
        <f ca="1">ROUND(IF('数据-取费表'!B22&lt;=1,F21*F24*F23/2,F21*(POWER((1+F24),F23/2)-1)),4)</f>
        <v>8.9999999999999998E-4</v>
      </c>
      <c r="D24" s="2109" t="str">
        <f>IF(F23&lt;=1,"销售费用×利率×(建设周期÷2)","销售费用×((1+利率)^(建设周期÷2)-1)")</f>
        <v>销售费用×((1+利率)^(建设周期÷2)-1)</v>
      </c>
      <c r="E24" s="2066" t="s">
        <v>1441</v>
      </c>
      <c r="F24" s="2111">
        <f ca="1">'数据-取费表'!B40</f>
        <v>4.3499999999999997E-2</v>
      </c>
      <c r="G24" s="2102"/>
      <c r="H24" s="2103" t="s">
        <v>958</v>
      </c>
      <c r="I24" s="2088" t="s">
        <v>1424</v>
      </c>
      <c r="J24" s="2112">
        <f ca="1">ROUND(J5*M24,2)</f>
        <v>227.74</v>
      </c>
      <c r="K24" s="2113" t="s">
        <v>1442</v>
      </c>
      <c r="L24" s="2088" t="s">
        <v>1406</v>
      </c>
      <c r="M24" s="2089">
        <f ca="1">INDIRECT("'数据-取费表'!Am"&amp;$G$1)</f>
        <v>0.02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962</v>
      </c>
      <c r="B25" s="2066" t="s">
        <v>1443</v>
      </c>
      <c r="C25" s="1104"/>
      <c r="D25" s="2106" t="s">
        <v>1444</v>
      </c>
      <c r="E25" s="1106"/>
      <c r="F25" s="2105"/>
      <c r="G25" s="851"/>
      <c r="H25" s="2090" t="s">
        <v>1445</v>
      </c>
      <c r="I25" s="2134" t="s">
        <v>1446</v>
      </c>
      <c r="J25" s="2092">
        <f ca="1">J5-J16</f>
        <v>9019</v>
      </c>
      <c r="K25" s="2135" t="s">
        <v>1447</v>
      </c>
      <c r="L25" s="2136"/>
      <c r="M25" s="2137"/>
    </row>
    <row r="26" spans="1:37">
      <c r="A26" s="2095" t="s">
        <v>927</v>
      </c>
      <c r="B26" s="2066" t="s">
        <v>1448</v>
      </c>
      <c r="C26" s="1104">
        <f ca="1">ROUND((C19+C20)*F26,0)</f>
        <v>3037</v>
      </c>
      <c r="D26" s="2107" t="s">
        <v>1449</v>
      </c>
      <c r="E26" s="2077" t="s">
        <v>1450</v>
      </c>
      <c r="F26" s="2074">
        <f ca="1">INDIRECT("'数据-取费表'!q"&amp;$G$1)</f>
        <v>0.2</v>
      </c>
      <c r="G26" s="851"/>
      <c r="H26" s="2057" t="s">
        <v>1451</v>
      </c>
      <c r="I26" s="2058" t="s">
        <v>1452</v>
      </c>
      <c r="J26" s="2138">
        <f ca="1">IF(J5&lt;&gt;0,ROUND(J25*(1-((1+M28)/(1+M26))^M27)/(M26-M28),0),0)</f>
        <v>129429</v>
      </c>
      <c r="K26" s="2126" t="s">
        <v>1453</v>
      </c>
      <c r="L26" s="2066" t="s">
        <v>1454</v>
      </c>
      <c r="M26" s="2074">
        <f ca="1">INDIRECT("'数据-取费表'!I"&amp;$G$1)</f>
        <v>5.5E-2</v>
      </c>
    </row>
    <row r="27" spans="1:37" ht="18" customHeight="1">
      <c r="A27" s="2095" t="s">
        <v>931</v>
      </c>
      <c r="B27" s="2066" t="s">
        <v>1455</v>
      </c>
      <c r="C27" s="1104">
        <f ca="1">ROUND(F21*F26,4)</f>
        <v>4.0000000000000001E-3</v>
      </c>
      <c r="D27" s="2107" t="s">
        <v>1456</v>
      </c>
      <c r="E27" s="2100"/>
      <c r="F27" s="2101"/>
      <c r="G27" s="851"/>
      <c r="H27" s="2072"/>
      <c r="I27" s="2140"/>
      <c r="J27" s="2073"/>
      <c r="K27" s="2141" t="s">
        <v>1457</v>
      </c>
      <c r="L27" s="2066" t="s">
        <v>1458</v>
      </c>
      <c r="M27" s="2142">
        <f ca="1">INDIRECT("'数据-取费表'!ag"&amp;$G$1)</f>
        <v>20.68</v>
      </c>
    </row>
    <row r="28" spans="1:37" s="2034" customFormat="1" ht="18" customHeight="1">
      <c r="A28" s="2095" t="s">
        <v>963</v>
      </c>
      <c r="B28" s="2066" t="s">
        <v>1459</v>
      </c>
      <c r="C28" s="1104">
        <f>ROUND(F28/(1+'数据-取费表'!C42),4)</f>
        <v>5.33E-2</v>
      </c>
      <c r="D28" s="2107" t="s">
        <v>1460</v>
      </c>
      <c r="E28" s="2066" t="s">
        <v>1406</v>
      </c>
      <c r="F28" s="2104">
        <f>'数据-取费表'!B41</f>
        <v>5.6000000000000001E-2</v>
      </c>
      <c r="G28" s="2102"/>
      <c r="H28" s="2079"/>
      <c r="I28" s="2144"/>
      <c r="J28" s="2092"/>
      <c r="K28" s="2130"/>
      <c r="L28" s="2066" t="s">
        <v>1461</v>
      </c>
      <c r="M28" s="2074">
        <f ca="1">INDIRECT("'数据-取费表'!aa"&amp;$G$1)</f>
        <v>0.02</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1137</v>
      </c>
      <c r="B29" s="2088" t="s">
        <v>1462</v>
      </c>
      <c r="C29" s="2112">
        <f ca="1">ROUND((C19+C20+C23+C26)/(1-F21-C24-C27-C28),0)</f>
        <v>20485</v>
      </c>
      <c r="D29" s="2113"/>
      <c r="E29" s="2088"/>
      <c r="F29" s="2114"/>
      <c r="G29" s="2102"/>
      <c r="H29" s="2115" t="s">
        <v>1463</v>
      </c>
      <c r="I29" s="2145" t="s">
        <v>1464</v>
      </c>
      <c r="J29" s="2146">
        <f ca="1">ROUND(J26/(1+F40)^F41,0)</f>
        <v>122682</v>
      </c>
      <c r="K29" s="2147" t="s">
        <v>1465</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1407</v>
      </c>
      <c r="B30" s="2091" t="s">
        <v>1408</v>
      </c>
      <c r="C30" s="2092">
        <f ca="1">ROUND(C31+C36+C37+C38,0)</f>
        <v>2144</v>
      </c>
      <c r="D30" s="2116" t="s">
        <v>1409</v>
      </c>
      <c r="E30" s="2117"/>
      <c r="F30" s="2062"/>
      <c r="G30" s="851"/>
      <c r="H30" s="2118"/>
      <c r="I30" s="2227"/>
      <c r="J30" s="2228"/>
      <c r="K30" s="2229"/>
      <c r="L30" s="2230"/>
      <c r="M30" s="2231"/>
    </row>
    <row r="31" spans="1:37" ht="18" customHeight="1">
      <c r="A31" s="2095" t="s">
        <v>904</v>
      </c>
      <c r="B31" s="2066" t="s">
        <v>1414</v>
      </c>
      <c r="C31" s="2119">
        <f ca="1">ROUND(IF(AND(项目基本情况!B11="自然人",项目基本情况!B10="北京市"),C6*F31/(1+'数据-取费表'!C42),C32+C33+C34),2)</f>
        <v>1718.22</v>
      </c>
      <c r="D31" s="2097" t="s">
        <v>1415</v>
      </c>
      <c r="E31" s="2120" t="s">
        <v>1416</v>
      </c>
      <c r="F31" s="2121" t="str">
        <f>IF(项目基本情况!B11="企业","——",IF(M47="住宅",IF(F6*F7*F8/12/(1+'数据-取费表'!F30)&gt;100000,4%,2.5%),IF(F6*F7*F8/12/(1+'数据-取费表'!F30)&gt;100000,12%,7%)))</f>
        <v>——</v>
      </c>
      <c r="G31" s="851"/>
      <c r="H31" s="2122" t="s">
        <v>1466</v>
      </c>
      <c r="I31" s="2227"/>
      <c r="J31" s="2228"/>
      <c r="K31" s="2229"/>
      <c r="L31" s="2230"/>
      <c r="M31" s="2231"/>
    </row>
    <row r="32" spans="1:37" ht="18" customHeight="1">
      <c r="A32" s="2095" t="s">
        <v>927</v>
      </c>
      <c r="B32" s="2066" t="s">
        <v>1418</v>
      </c>
      <c r="C32" s="1104">
        <f ca="1">IF(项目基本情况!B11="自然人","——",ROUND(C6*F32/(1+'数据-取费表'!C42),2))</f>
        <v>542.03</v>
      </c>
      <c r="D32" s="2120" t="s">
        <v>1419</v>
      </c>
      <c r="E32" s="2066" t="s">
        <v>1406</v>
      </c>
      <c r="F32" s="2111">
        <f>'数据-取费表'!B41</f>
        <v>5.6000000000000001E-2</v>
      </c>
      <c r="G32" s="851"/>
      <c r="H32" s="2118"/>
      <c r="I32" s="2227"/>
      <c r="J32" s="2228"/>
      <c r="K32" s="2229"/>
      <c r="L32" s="2230"/>
      <c r="M32" s="2231"/>
    </row>
    <row r="33" spans="1:18" ht="18" customHeight="1">
      <c r="A33" s="2095" t="s">
        <v>931</v>
      </c>
      <c r="B33" s="2066" t="s">
        <v>1422</v>
      </c>
      <c r="C33" s="1104">
        <f ca="1">IF(项目基本情况!B11="自然人","——",IF(D33="按租金收入计税",ROUND(C6*F33/(1+'数据-取费表'!C42),2),IF(D33="按房产原值计税",ROUND(C29*F33*0.7,2),INDIRECT("'数据-取费表'!Aj"&amp;$G$1))))</f>
        <v>1161.49</v>
      </c>
      <c r="D33" s="2123" t="s">
        <v>1423</v>
      </c>
      <c r="E33" s="2066" t="s">
        <v>1406</v>
      </c>
      <c r="F33" s="2104">
        <f>IF(D33="按票据","——",IF(D33="按租金收入计税",'数据-取费表'!B51,'数据-取费表'!B50))</f>
        <v>0.12</v>
      </c>
      <c r="G33" s="851"/>
      <c r="H33" s="2124"/>
      <c r="I33" s="2227"/>
      <c r="J33" s="2228"/>
      <c r="K33" s="2232"/>
      <c r="L33" s="2124"/>
      <c r="M33" s="2124"/>
    </row>
    <row r="34" spans="1:18" ht="18" customHeight="1">
      <c r="A34" s="2063" t="s">
        <v>934</v>
      </c>
      <c r="B34" s="2065" t="s">
        <v>1426</v>
      </c>
      <c r="C34" s="2125">
        <f ca="1">IF(项目基本情况!B11="自然人","——",ROUND(F34*F35/10000,2))</f>
        <v>14.7</v>
      </c>
      <c r="D34" s="2126" t="s">
        <v>1427</v>
      </c>
      <c r="E34" s="2066" t="s">
        <v>1428</v>
      </c>
      <c r="F34" s="2110">
        <f>'数据-取费表'!B52</f>
        <v>24</v>
      </c>
      <c r="G34" s="851"/>
      <c r="H34" s="2118"/>
      <c r="I34" s="2227"/>
      <c r="J34" s="2228"/>
      <c r="K34" s="2233"/>
      <c r="L34" s="2234"/>
      <c r="M34" s="2234"/>
    </row>
    <row r="35" spans="1:18" ht="18" customHeight="1">
      <c r="A35" s="2127"/>
      <c r="B35" s="2128"/>
      <c r="C35" s="2129"/>
      <c r="D35" s="2130"/>
      <c r="E35" s="2066" t="s">
        <v>1432</v>
      </c>
      <c r="F35" s="2067">
        <f ca="1">INDIRECT("'数据-取费表'!r"&amp;$G$1)</f>
        <v>6123.19</v>
      </c>
      <c r="G35" s="851"/>
      <c r="H35" s="2118"/>
      <c r="I35" s="2227"/>
      <c r="J35" s="2228"/>
      <c r="K35" s="2232"/>
      <c r="L35" s="2124"/>
      <c r="M35" s="2124"/>
    </row>
    <row r="36" spans="1:18" ht="18" customHeight="1">
      <c r="A36" s="2131" t="s">
        <v>908</v>
      </c>
      <c r="B36" s="2066" t="s">
        <v>1434</v>
      </c>
      <c r="C36" s="1104">
        <f ca="1">ROUND(C29*F36,2)</f>
        <v>204.85</v>
      </c>
      <c r="D36" s="2120" t="s">
        <v>1467</v>
      </c>
      <c r="E36" s="2066" t="s">
        <v>1406</v>
      </c>
      <c r="F36" s="2132">
        <f ca="1">INDIRECT("'数据-取费表'!Ak"&amp;$G$1)</f>
        <v>0.01</v>
      </c>
      <c r="G36" s="851"/>
      <c r="H36" s="2124"/>
      <c r="I36" s="2227"/>
      <c r="J36" s="2228"/>
      <c r="K36" s="2235"/>
      <c r="L36" s="2124"/>
      <c r="M36" s="2124"/>
    </row>
    <row r="37" spans="1:18" ht="18" customHeight="1">
      <c r="A37" s="2095" t="s">
        <v>954</v>
      </c>
      <c r="B37" s="2066" t="s">
        <v>1438</v>
      </c>
      <c r="C37" s="1104">
        <f ca="1">ROUND(C13*F37,2)</f>
        <v>17</v>
      </c>
      <c r="D37" s="2120" t="s">
        <v>1439</v>
      </c>
      <c r="E37" s="2066" t="s">
        <v>1406</v>
      </c>
      <c r="F37" s="2133">
        <f ca="1">INDIRECT("'数据-取费表'!Al"&amp;$G$1)</f>
        <v>1E-3</v>
      </c>
      <c r="G37" s="851"/>
      <c r="H37" s="2124"/>
      <c r="I37" s="2227"/>
      <c r="J37" s="2228"/>
      <c r="K37" s="2235"/>
      <c r="L37" s="2124"/>
      <c r="M37" s="2124"/>
    </row>
    <row r="38" spans="1:18" ht="18" customHeight="1">
      <c r="A38" s="2103" t="s">
        <v>958</v>
      </c>
      <c r="B38" s="2088" t="s">
        <v>1424</v>
      </c>
      <c r="C38" s="2112">
        <f ca="1">ROUND(C5*F38,2)</f>
        <v>203.76</v>
      </c>
      <c r="D38" s="2113" t="s">
        <v>1442</v>
      </c>
      <c r="E38" s="2088" t="s">
        <v>1406</v>
      </c>
      <c r="F38" s="2089">
        <f ca="1">INDIRECT("'数据-取费表'!Am"&amp;$G$1)</f>
        <v>0.02</v>
      </c>
      <c r="G38" s="851"/>
      <c r="H38" s="2124"/>
      <c r="I38" s="2227"/>
      <c r="J38" s="2228"/>
      <c r="K38" s="2236"/>
      <c r="L38" s="2124"/>
      <c r="M38" s="2124"/>
    </row>
    <row r="39" spans="1:18" ht="24.6" customHeight="1">
      <c r="A39" s="2090" t="s">
        <v>1445</v>
      </c>
      <c r="B39" s="2134" t="s">
        <v>1446</v>
      </c>
      <c r="C39" s="2092">
        <f ca="1">C5-C30</f>
        <v>8044</v>
      </c>
      <c r="D39" s="2135" t="s">
        <v>1447</v>
      </c>
      <c r="E39" s="2136"/>
      <c r="F39" s="2137"/>
      <c r="G39" s="851"/>
      <c r="H39" s="2124"/>
      <c r="I39" s="2227">
        <f ca="1">C39/C5</f>
        <v>0.78955634079308989</v>
      </c>
      <c r="J39" s="2228"/>
      <c r="K39" s="2236"/>
      <c r="L39" s="2124"/>
      <c r="M39" s="2124"/>
    </row>
    <row r="40" spans="1:18" ht="18" customHeight="1">
      <c r="A40" s="2057" t="s">
        <v>1451</v>
      </c>
      <c r="B40" s="2058" t="s">
        <v>1468</v>
      </c>
      <c r="C40" s="2138">
        <f ca="1">ROUND(C39*(1-((1+F42)/(1+F40))^F41)/(F40-F42),0)</f>
        <v>7625</v>
      </c>
      <c r="D40" s="2126" t="s">
        <v>1453</v>
      </c>
      <c r="E40" s="2066" t="s">
        <v>1454</v>
      </c>
      <c r="F40" s="2074">
        <f ca="1">INDIRECT("'数据-取费表'!I"&amp;$G$1)</f>
        <v>5.5E-2</v>
      </c>
      <c r="G40" s="851"/>
      <c r="H40" s="2139"/>
      <c r="I40" s="2227"/>
      <c r="J40" s="2228"/>
      <c r="K40" s="2236"/>
      <c r="L40" s="2139"/>
      <c r="M40" s="2139"/>
    </row>
    <row r="41" spans="1:18" ht="18" customHeight="1">
      <c r="A41" s="2072"/>
      <c r="B41" s="2140"/>
      <c r="C41" s="2073"/>
      <c r="D41" s="2141" t="s">
        <v>1457</v>
      </c>
      <c r="E41" s="2066" t="s">
        <v>1458</v>
      </c>
      <c r="F41" s="2142">
        <f ca="1">IF(INDIRECT("'数据-取费表'!af"&amp;$G$1)=0,INDIRECT("'数据-取费表'!ae"&amp;$G$1),INDIRECT("'数据-取费表'!af"&amp;$G$1))</f>
        <v>1</v>
      </c>
      <c r="G41" s="851"/>
      <c r="H41" s="2143"/>
      <c r="I41" s="2227"/>
      <c r="J41" s="2228"/>
      <c r="K41" s="2235"/>
      <c r="L41" s="2143"/>
      <c r="M41" s="2143"/>
    </row>
    <row r="42" spans="1:18" ht="18" customHeight="1">
      <c r="A42" s="2079"/>
      <c r="B42" s="2144"/>
      <c r="C42" s="2092"/>
      <c r="D42" s="2130"/>
      <c r="E42" s="2066" t="s">
        <v>1461</v>
      </c>
      <c r="F42" s="2074">
        <f ca="1">INDIRECT("'数据-取费表'!v"&amp;$G$1)</f>
        <v>0.02</v>
      </c>
      <c r="G42" s="851"/>
      <c r="H42" s="2143"/>
      <c r="I42" s="2227">
        <f ca="1">C6*10000/365/F43</f>
        <v>10.199872232122958</v>
      </c>
      <c r="J42" s="2228"/>
      <c r="K42" s="2235"/>
      <c r="L42" s="2143"/>
      <c r="M42" s="2143"/>
    </row>
    <row r="43" spans="1:18" ht="18" customHeight="1">
      <c r="A43" s="2115" t="s">
        <v>1463</v>
      </c>
      <c r="B43" s="2145" t="s">
        <v>1469</v>
      </c>
      <c r="C43" s="2146">
        <f ca="1">ROUND(C40*10000/F43,0)</f>
        <v>2793</v>
      </c>
      <c r="D43" s="2147" t="s">
        <v>1470</v>
      </c>
      <c r="E43" s="2148" t="s">
        <v>1471</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1472</v>
      </c>
      <c r="P45" s="2139"/>
      <c r="Q45" s="2139"/>
      <c r="R45" s="2139"/>
    </row>
    <row r="46" spans="1:18" s="851" customFormat="1">
      <c r="A46" s="2155" t="s">
        <v>1473</v>
      </c>
      <c r="C46" s="2156">
        <f ca="1">C68-C40</f>
        <v>-7850</v>
      </c>
      <c r="D46" s="2157" t="str">
        <f>C2</f>
        <v>万元</v>
      </c>
      <c r="E46" s="2150"/>
      <c r="F46" s="2150"/>
      <c r="I46" s="2239" t="s">
        <v>1474</v>
      </c>
      <c r="J46" s="2240"/>
      <c r="K46" s="2241"/>
      <c r="L46" s="2242">
        <f ca="1">IF(M47="住宅",0,IF(L48&gt;J51,L60,J60))</f>
        <v>1890</v>
      </c>
      <c r="O46" s="2243" t="s">
        <v>1475</v>
      </c>
      <c r="P46" s="2244" t="s">
        <v>1476</v>
      </c>
      <c r="Q46" s="2289" t="s">
        <v>1477</v>
      </c>
      <c r="R46" s="2289" t="s">
        <v>1478</v>
      </c>
    </row>
    <row r="47" spans="1:18" s="851" customFormat="1">
      <c r="A47" s="2158" t="s">
        <v>1379</v>
      </c>
      <c r="B47" s="2159" t="s">
        <v>1380</v>
      </c>
      <c r="C47" s="2317" t="s">
        <v>1381</v>
      </c>
      <c r="D47" s="2159" t="s">
        <v>1382</v>
      </c>
      <c r="E47" s="2160" t="s">
        <v>1383</v>
      </c>
      <c r="F47" s="1097"/>
      <c r="G47" s="2161"/>
      <c r="I47" s="2245" t="s">
        <v>1479</v>
      </c>
      <c r="J47" s="2246" t="s">
        <v>1480</v>
      </c>
      <c r="K47" s="2247" t="s">
        <v>1481</v>
      </c>
      <c r="L47" s="2248">
        <f ca="1">INDIRECT("'数据-取费表'!d"&amp;$G$1)</f>
        <v>40</v>
      </c>
      <c r="M47" s="2249" t="str">
        <f>IF(ISNUMBER(FIND("住宅",C1)),"住宅","非住宅")</f>
        <v>非住宅</v>
      </c>
      <c r="O47" s="2250" t="s">
        <v>1012</v>
      </c>
      <c r="P47" s="2251" t="s">
        <v>1482</v>
      </c>
      <c r="Q47" s="2290">
        <f ca="1">C40+J29</f>
        <v>130307</v>
      </c>
      <c r="R47" s="2290" t="s">
        <v>1483</v>
      </c>
    </row>
    <row r="48" spans="1:18" s="851" customFormat="1" ht="39.6">
      <c r="A48" s="2162" t="s">
        <v>1484</v>
      </c>
      <c r="B48" s="2058" t="s">
        <v>1384</v>
      </c>
      <c r="C48" s="1105">
        <f ca="1">C49+C53+C55</f>
        <v>0</v>
      </c>
      <c r="D48" s="2163"/>
      <c r="E48" s="2164"/>
      <c r="F48" s="2165"/>
      <c r="G48" s="2161"/>
      <c r="H48" s="2166"/>
      <c r="I48" s="2252" t="s">
        <v>1485</v>
      </c>
      <c r="J48" s="2253" t="s">
        <v>1486</v>
      </c>
      <c r="K48" s="2254" t="s">
        <v>1487</v>
      </c>
      <c r="L48" s="2255">
        <f ca="1">INDIRECT("'数据-取费表'!f"&amp;$G$1)</f>
        <v>21.68</v>
      </c>
      <c r="O48" s="2250" t="s">
        <v>1014</v>
      </c>
      <c r="P48" s="2251" t="s">
        <v>1488</v>
      </c>
      <c r="Q48" s="2290">
        <f ca="1">J60</f>
        <v>1890</v>
      </c>
      <c r="R48" s="2290" t="s">
        <v>1489</v>
      </c>
    </row>
    <row r="49" spans="1:18" s="851" customFormat="1">
      <c r="A49" s="2167" t="s">
        <v>1490</v>
      </c>
      <c r="B49" s="2168" t="s">
        <v>1491</v>
      </c>
      <c r="C49" s="2169">
        <f ca="1">ROUND(F49*F51*F50*(1-F52)/10000,0)</f>
        <v>0</v>
      </c>
      <c r="D49" s="2170" t="s">
        <v>1389</v>
      </c>
      <c r="E49" s="2171" t="s">
        <v>1492</v>
      </c>
      <c r="F49" s="2172"/>
      <c r="G49" s="2173"/>
      <c r="H49" s="2166"/>
      <c r="I49" s="2252" t="s">
        <v>1493</v>
      </c>
      <c r="J49" s="2256">
        <v>2005</v>
      </c>
      <c r="K49" s="2254" t="s">
        <v>1494</v>
      </c>
      <c r="L49" s="2257"/>
      <c r="O49" s="2258" t="s">
        <v>1495</v>
      </c>
      <c r="P49" s="2251" t="s">
        <v>1496</v>
      </c>
      <c r="Q49" s="2290">
        <f ca="1">C29</f>
        <v>20485</v>
      </c>
      <c r="R49" s="2290" t="s">
        <v>1483</v>
      </c>
    </row>
    <row r="50" spans="1:18" s="851" customFormat="1">
      <c r="A50" s="2174"/>
      <c r="B50" s="2175"/>
      <c r="C50" s="2318"/>
      <c r="D50" s="2177"/>
      <c r="E50" s="2178" t="s">
        <v>1390</v>
      </c>
      <c r="F50" s="2179">
        <f ca="1">F7</f>
        <v>27298.22</v>
      </c>
      <c r="H50" s="2166"/>
      <c r="I50" s="2252" t="s">
        <v>1497</v>
      </c>
      <c r="J50" s="2259">
        <f>SUMPRODUCT((I63:I65=J47)*(J62:L62=J48)*(J63:L65))</f>
        <v>60</v>
      </c>
      <c r="K50" s="2254" t="s">
        <v>1498</v>
      </c>
      <c r="L50" s="2257"/>
      <c r="M50" s="2260"/>
      <c r="O50" s="2258" t="s">
        <v>1499</v>
      </c>
      <c r="P50" s="2251" t="s">
        <v>1500</v>
      </c>
      <c r="Q50" s="2291">
        <f ca="1">J58</f>
        <v>0.4</v>
      </c>
      <c r="R50" s="2290"/>
    </row>
    <row r="51" spans="1:18" s="851" customFormat="1">
      <c r="A51" s="2180"/>
      <c r="B51" s="2175"/>
      <c r="C51" s="2176"/>
      <c r="D51" s="2177"/>
      <c r="E51" s="2181" t="s">
        <v>1391</v>
      </c>
      <c r="F51" s="2067">
        <f ca="1">F8</f>
        <v>365</v>
      </c>
      <c r="I51" s="2261" t="s">
        <v>1501</v>
      </c>
      <c r="J51" s="2262">
        <f>IF(J49="",J50,J49+J50-YEAR('数据-取费表'!B2))</f>
        <v>45</v>
      </c>
      <c r="K51" s="2263" t="s">
        <v>1502</v>
      </c>
      <c r="L51" s="2264">
        <f ca="1">ROUND(-PV(INDIRECT("'数据-取费表'!h"&amp;$G$1),J51,(C39-C13*C76),0),0)</f>
        <v>121820</v>
      </c>
      <c r="M51" s="2265"/>
      <c r="O51" s="2258" t="s">
        <v>1503</v>
      </c>
      <c r="P51" s="2251" t="s">
        <v>1504</v>
      </c>
      <c r="Q51" s="2291">
        <f>J52</f>
        <v>7.0000000000000007E-2</v>
      </c>
      <c r="R51" s="2290"/>
    </row>
    <row r="52" spans="1:18" s="851" customFormat="1">
      <c r="A52" s="2180"/>
      <c r="B52" s="2175"/>
      <c r="C52" s="2176"/>
      <c r="D52" s="2177"/>
      <c r="E52" s="2181" t="s">
        <v>1392</v>
      </c>
      <c r="F52" s="2182"/>
      <c r="I52" s="2266" t="s">
        <v>1505</v>
      </c>
      <c r="J52" s="2267">
        <v>7.0000000000000007E-2</v>
      </c>
      <c r="K52" s="2266" t="s">
        <v>1506</v>
      </c>
      <c r="L52" s="2267"/>
      <c r="O52" s="2258" t="s">
        <v>1507</v>
      </c>
      <c r="P52" s="2251" t="s">
        <v>1508</v>
      </c>
      <c r="Q52" s="2290">
        <f ca="1">J53</f>
        <v>21.68</v>
      </c>
      <c r="R52" s="2290" t="s">
        <v>1509</v>
      </c>
    </row>
    <row r="53" spans="1:18" s="851" customFormat="1" ht="36">
      <c r="A53" s="2319" t="s">
        <v>1510</v>
      </c>
      <c r="B53" s="2320" t="s">
        <v>1393</v>
      </c>
      <c r="C53" s="1103">
        <f ca="1">ROUND(IF(F53="押一",C49/12*F11,IF(F53="押二",C49/12*2*F11,IF(F53="押三",C49/12*3*F11,C54*F11))),0)</f>
        <v>0</v>
      </c>
      <c r="D53" s="2076" t="s">
        <v>1394</v>
      </c>
      <c r="E53" s="2077" t="s">
        <v>1395</v>
      </c>
      <c r="F53" s="2078"/>
      <c r="I53" s="2268" t="s">
        <v>1511</v>
      </c>
      <c r="J53" s="2269">
        <f ca="1">IF(M47="住宅",IF(D1="——",MAX(J51,L48),MAX(J51,L48-'数据-取费表'!B24)),IF(D1="——",MIN(J51,L48),MIN(J51,L48-'数据-取费表'!B24)))</f>
        <v>21.68</v>
      </c>
      <c r="K53" s="3856" t="s">
        <v>1512</v>
      </c>
      <c r="L53" s="3857"/>
      <c r="O53" s="2250" t="s">
        <v>1105</v>
      </c>
      <c r="P53" s="2251" t="s">
        <v>1513</v>
      </c>
      <c r="Q53" s="2290">
        <f ca="1">Q47+Q48</f>
        <v>132197</v>
      </c>
      <c r="R53" s="2290" t="s">
        <v>1514</v>
      </c>
    </row>
    <row r="54" spans="1:18" s="851" customFormat="1" ht="24">
      <c r="A54" s="2321"/>
      <c r="B54" s="2080" t="s">
        <v>1396</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1515</v>
      </c>
      <c r="P54" s="2272"/>
      <c r="Q54" s="2272"/>
      <c r="R54" s="2272"/>
    </row>
    <row r="55" spans="1:18" s="851" customFormat="1">
      <c r="A55" s="2084" t="s">
        <v>954</v>
      </c>
      <c r="B55" s="2085" t="s">
        <v>1398</v>
      </c>
      <c r="C55" s="2086"/>
      <c r="D55" s="2076"/>
      <c r="E55" s="2185"/>
      <c r="F55" s="2186"/>
      <c r="I55" s="2273" t="s">
        <v>1516</v>
      </c>
      <c r="J55" s="2274">
        <f ca="1">ROUND(IF(J47="钢混",J57/J50,1-(1-2%)*(J50-J57)/J50),3)</f>
        <v>0.38900000000000001</v>
      </c>
      <c r="K55" s="2275" t="s">
        <v>1517</v>
      </c>
      <c r="L55" s="2276"/>
      <c r="O55" s="2243" t="s">
        <v>1475</v>
      </c>
      <c r="P55" s="2244" t="s">
        <v>1476</v>
      </c>
      <c r="Q55" s="2289" t="s">
        <v>1477</v>
      </c>
      <c r="R55" s="2289" t="s">
        <v>1478</v>
      </c>
    </row>
    <row r="56" spans="1:18" s="851" customFormat="1" ht="36">
      <c r="A56" s="2187">
        <v>2</v>
      </c>
      <c r="B56" s="2188" t="s">
        <v>1399</v>
      </c>
      <c r="C56" s="504">
        <f ca="1">C13</f>
        <v>17003</v>
      </c>
      <c r="D56" s="2189"/>
      <c r="E56" s="2190"/>
      <c r="F56" s="2186"/>
      <c r="I56" s="2277" t="s">
        <v>1518</v>
      </c>
      <c r="J56" s="2278" t="s">
        <v>1519</v>
      </c>
      <c r="K56" s="2252" t="s">
        <v>1520</v>
      </c>
      <c r="L56" s="2255" t="str">
        <f ca="1">IF(L48&lt;J51,"——",L48-J53)</f>
        <v>——</v>
      </c>
      <c r="O56" s="2250" t="s">
        <v>1012</v>
      </c>
      <c r="P56" s="2251" t="s">
        <v>1482</v>
      </c>
      <c r="Q56" s="2290">
        <f ca="1">C40+J29</f>
        <v>130307</v>
      </c>
      <c r="R56" s="2290" t="s">
        <v>1483</v>
      </c>
    </row>
    <row r="57" spans="1:18" s="851" customFormat="1" ht="24">
      <c r="A57" s="2191"/>
      <c r="B57" s="2192" t="s">
        <v>1462</v>
      </c>
      <c r="C57" s="514">
        <f ca="1">C29</f>
        <v>20485</v>
      </c>
      <c r="D57" s="2193"/>
      <c r="E57" s="2194"/>
      <c r="F57" s="2195"/>
      <c r="I57" s="2279" t="s">
        <v>1521</v>
      </c>
      <c r="J57" s="2280">
        <f ca="1">IF(OR(M47="住宅",J51&lt;L48,J56="是"),"——",J51-L48)</f>
        <v>23.32</v>
      </c>
      <c r="K57" s="2252" t="s">
        <v>1522</v>
      </c>
      <c r="L57" s="2255" t="str">
        <f ca="1">IF(L48&lt;J51,"——",IF(L55="比较法",L49,IF(L55="基准地价",L50,L51)))</f>
        <v>——</v>
      </c>
      <c r="O57" s="2250" t="s">
        <v>1014</v>
      </c>
      <c r="P57" s="2251" t="s">
        <v>1523</v>
      </c>
      <c r="Q57" s="2290">
        <f ca="1">L60</f>
        <v>0</v>
      </c>
      <c r="R57" s="2290" t="s">
        <v>1524</v>
      </c>
    </row>
    <row r="58" spans="1:18" s="851" customFormat="1" ht="24">
      <c r="A58" s="2196" t="s">
        <v>1407</v>
      </c>
      <c r="B58" s="2188" t="s">
        <v>1408</v>
      </c>
      <c r="C58" s="1103">
        <f ca="1">ROUND(C59+C64+C65+C66,0)</f>
        <v>237</v>
      </c>
      <c r="D58" s="2197" t="s">
        <v>1409</v>
      </c>
      <c r="E58" s="2198"/>
      <c r="F58" s="2165"/>
      <c r="I58" s="2279" t="s">
        <v>1525</v>
      </c>
      <c r="J58" s="2281">
        <f ca="1">IF(J55&lt;0.4,0.4,J55)</f>
        <v>0.4</v>
      </c>
      <c r="K58" s="2263" t="s">
        <v>1526</v>
      </c>
      <c r="L58" s="2255" t="e">
        <f ca="1">ROUND(POWER(1+L52,L47-L48)*(POWER(1+L52,L48)-1)/(POWER(1+L52,L47)-1),4)</f>
        <v>#DIV/0!</v>
      </c>
      <c r="O58" s="2258" t="s">
        <v>1495</v>
      </c>
      <c r="P58" s="2251" t="s">
        <v>1527</v>
      </c>
      <c r="Q58" s="2290">
        <f>IF(L55="比较法",L49,IF(L55="基准地价",L50,0))</f>
        <v>0</v>
      </c>
      <c r="R58" s="2290" t="s">
        <v>1483</v>
      </c>
    </row>
    <row r="59" spans="1:18" s="851" customFormat="1" ht="24">
      <c r="A59" s="2095" t="s">
        <v>904</v>
      </c>
      <c r="B59" s="2192" t="s">
        <v>1414</v>
      </c>
      <c r="C59" s="2119">
        <f ca="1">ROUND(IF(AND(项目基本情况!B11="自然人",项目基本情况!B10="北京市"),C49*F59/(1+'数据-取费表'!C42),C60+C61+C62),0)</f>
        <v>15</v>
      </c>
      <c r="D59" s="2199" t="s">
        <v>1415</v>
      </c>
      <c r="E59" s="2200" t="s">
        <v>1416</v>
      </c>
      <c r="F59" s="2121" t="str">
        <f>IF(项目基本情况!B11="企业","——",IF('数据-取费表'!B10="住宅",IF(F49*F50*F51/12/(1+'数据-取费表'!F30)&gt;100000,4%,2.5%),IF(F49*F50*F51/12/(1+'数据-取费表'!F30)&gt;100000,12%,7%)))</f>
        <v>——</v>
      </c>
      <c r="I59" s="2279" t="s">
        <v>1528</v>
      </c>
      <c r="J59" s="2280">
        <f ca="1">IF(OR(M47="住宅",J51&lt;L48,J56="是"),"——",ROUND(C29*J58,0))</f>
        <v>8194</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1499</v>
      </c>
      <c r="P59" s="2251" t="s">
        <v>1529</v>
      </c>
      <c r="Q59" s="2291">
        <f>L52</f>
        <v>0</v>
      </c>
      <c r="R59" s="2290"/>
    </row>
    <row r="60" spans="1:18" s="851" customFormat="1" ht="15.6">
      <c r="A60" s="2095" t="s">
        <v>927</v>
      </c>
      <c r="B60" s="2192" t="s">
        <v>1418</v>
      </c>
      <c r="C60" s="1104">
        <f ca="1">IF(项目基本情况!B11="自然人","——",ROUND(C48*F60/(1+'数据-取费表'!C42),2))</f>
        <v>0</v>
      </c>
      <c r="D60" s="2200" t="s">
        <v>1419</v>
      </c>
      <c r="E60" s="2192" t="s">
        <v>1406</v>
      </c>
      <c r="F60" s="2111">
        <f t="shared" ref="F60:F66" si="0">F32</f>
        <v>5.6000000000000001E-2</v>
      </c>
      <c r="I60" s="2282" t="s">
        <v>1530</v>
      </c>
      <c r="J60" s="2283">
        <f ca="1">IF(OR(M47="住宅",J51&lt;L48,J56="是"),"0",ROUND(J59/(1+J52)^J53,0))</f>
        <v>1890</v>
      </c>
      <c r="K60" s="2284" t="s">
        <v>1531</v>
      </c>
      <c r="L60" s="2283">
        <f ca="1">IF(OR(M47="住宅",L48&lt;J51),0,ROUND(L57*(L58/L59-1),0))</f>
        <v>0</v>
      </c>
      <c r="O60" s="2258" t="s">
        <v>1503</v>
      </c>
      <c r="P60" s="2251" t="s">
        <v>1532</v>
      </c>
      <c r="Q60" s="2290" t="e">
        <f ca="1">L58</f>
        <v>#DIV/0!</v>
      </c>
      <c r="R60" s="2290" t="s">
        <v>1533</v>
      </c>
    </row>
    <row r="61" spans="1:18" s="851" customFormat="1">
      <c r="A61" s="2095" t="s">
        <v>931</v>
      </c>
      <c r="B61" s="2192" t="s">
        <v>1422</v>
      </c>
      <c r="C61" s="1104">
        <f ca="1">IF(项目基本情况!B11="自然人","——",IF(D61="按租金收入计税",ROUND(C49*F61/(1+'数据-取费表'!C42),2),IF(D61="按房产原值计税",ROUND(C57*F61*0.7,2),INDIRECT("'数据-取费表'!Aj"&amp;$G$1))))</f>
        <v>0</v>
      </c>
      <c r="D61" s="2123" t="s">
        <v>1423</v>
      </c>
      <c r="E61" s="2192" t="s">
        <v>1406</v>
      </c>
      <c r="F61" s="2104">
        <f t="shared" si="0"/>
        <v>0.12</v>
      </c>
      <c r="I61" s="2139"/>
      <c r="J61" s="2139"/>
      <c r="K61" s="2139"/>
      <c r="L61" s="2139"/>
      <c r="O61" s="2258" t="s">
        <v>1507</v>
      </c>
      <c r="P61" s="2251" t="str">
        <f>K59</f>
        <v>建筑物剩余耐用年限下的土地年期修正系数Kn</v>
      </c>
      <c r="Q61" s="2290" t="e">
        <f ca="1">L59</f>
        <v>#DIV/0!</v>
      </c>
      <c r="R61" s="2290" t="s">
        <v>1534</v>
      </c>
    </row>
    <row r="62" spans="1:18" s="851" customFormat="1">
      <c r="A62" s="2095" t="s">
        <v>934</v>
      </c>
      <c r="B62" s="2201" t="s">
        <v>1426</v>
      </c>
      <c r="C62" s="2125">
        <f ca="1">IF(项目基本情况!B11="自然人","——",ROUND(F62*F63/10000,2))</f>
        <v>14.7</v>
      </c>
      <c r="D62" s="2202" t="s">
        <v>1427</v>
      </c>
      <c r="E62" s="2192" t="s">
        <v>1428</v>
      </c>
      <c r="F62" s="2110">
        <f t="shared" si="0"/>
        <v>24</v>
      </c>
      <c r="I62" s="2285" t="s">
        <v>1535</v>
      </c>
      <c r="J62" s="2286" t="s">
        <v>1536</v>
      </c>
      <c r="K62" s="2286" t="s">
        <v>1537</v>
      </c>
      <c r="L62" s="2286" t="s">
        <v>1538</v>
      </c>
      <c r="M62" s="2287" t="s">
        <v>1539</v>
      </c>
      <c r="O62" s="2250" t="s">
        <v>1105</v>
      </c>
      <c r="P62" s="2251" t="s">
        <v>1513</v>
      </c>
      <c r="Q62" s="2290">
        <f ca="1">Q56+Q57</f>
        <v>130307</v>
      </c>
      <c r="R62" s="2290" t="s">
        <v>1514</v>
      </c>
    </row>
    <row r="63" spans="1:18" s="851" customFormat="1">
      <c r="A63" s="2108"/>
      <c r="B63" s="2203"/>
      <c r="C63" s="2129"/>
      <c r="D63" s="2204"/>
      <c r="E63" s="2192" t="s">
        <v>1432</v>
      </c>
      <c r="F63" s="2067">
        <f t="shared" ca="1" si="0"/>
        <v>6123.19</v>
      </c>
      <c r="I63" s="2285" t="s">
        <v>1540</v>
      </c>
      <c r="J63" s="2286">
        <v>70</v>
      </c>
      <c r="K63" s="2286">
        <v>50</v>
      </c>
      <c r="L63" s="2286">
        <v>80</v>
      </c>
      <c r="M63" s="2288">
        <v>0.02</v>
      </c>
      <c r="O63" s="2238" t="s">
        <v>1541</v>
      </c>
      <c r="P63" s="2272"/>
      <c r="Q63" s="2272"/>
      <c r="R63" s="2272"/>
    </row>
    <row r="64" spans="1:18" s="851" customFormat="1">
      <c r="A64" s="2095" t="s">
        <v>908</v>
      </c>
      <c r="B64" s="2192" t="s">
        <v>1434</v>
      </c>
      <c r="C64" s="1104">
        <f ca="1">ROUND(C57*F64,2)</f>
        <v>204.85</v>
      </c>
      <c r="D64" s="2200" t="s">
        <v>1467</v>
      </c>
      <c r="E64" s="2192" t="s">
        <v>1406</v>
      </c>
      <c r="F64" s="2132">
        <f t="shared" ca="1" si="0"/>
        <v>0.01</v>
      </c>
      <c r="I64" s="2285" t="s">
        <v>1542</v>
      </c>
      <c r="J64" s="2286">
        <v>50</v>
      </c>
      <c r="K64" s="2286">
        <v>35</v>
      </c>
      <c r="L64" s="2286">
        <v>60</v>
      </c>
      <c r="M64" s="2287">
        <v>0</v>
      </c>
      <c r="O64" s="2243" t="s">
        <v>1475</v>
      </c>
      <c r="P64" s="2244" t="s">
        <v>1476</v>
      </c>
      <c r="Q64" s="2289" t="s">
        <v>1477</v>
      </c>
      <c r="R64" s="2289" t="s">
        <v>1478</v>
      </c>
    </row>
    <row r="65" spans="1:18" s="851" customFormat="1">
      <c r="A65" s="2095" t="s">
        <v>954</v>
      </c>
      <c r="B65" s="2192" t="s">
        <v>1438</v>
      </c>
      <c r="C65" s="1104">
        <f ca="1">ROUND(C56*F65,2)</f>
        <v>17</v>
      </c>
      <c r="D65" s="2200" t="s">
        <v>1439</v>
      </c>
      <c r="E65" s="2192" t="s">
        <v>1406</v>
      </c>
      <c r="F65" s="2133">
        <f t="shared" ca="1" si="0"/>
        <v>1E-3</v>
      </c>
      <c r="I65" s="2285" t="s">
        <v>1543</v>
      </c>
      <c r="J65" s="2286">
        <v>40</v>
      </c>
      <c r="K65" s="2286">
        <v>30</v>
      </c>
      <c r="L65" s="2286">
        <v>50</v>
      </c>
      <c r="M65" s="2288">
        <v>0.02</v>
      </c>
      <c r="O65" s="2250" t="s">
        <v>1012</v>
      </c>
      <c r="P65" s="2251" t="s">
        <v>1482</v>
      </c>
      <c r="Q65" s="2290">
        <f ca="1">C40+J29</f>
        <v>130307</v>
      </c>
      <c r="R65" s="2290" t="s">
        <v>1483</v>
      </c>
    </row>
    <row r="66" spans="1:18" s="851" customFormat="1" ht="15.6">
      <c r="A66" s="2095" t="s">
        <v>958</v>
      </c>
      <c r="B66" s="2192" t="s">
        <v>1424</v>
      </c>
      <c r="C66" s="1104">
        <f ca="1">ROUND(C48*F66,2)</f>
        <v>0</v>
      </c>
      <c r="D66" s="2200" t="s">
        <v>1442</v>
      </c>
      <c r="E66" s="2192" t="s">
        <v>1406</v>
      </c>
      <c r="F66" s="2074">
        <f t="shared" ca="1" si="0"/>
        <v>0.02</v>
      </c>
      <c r="O66" s="2250" t="s">
        <v>1014</v>
      </c>
      <c r="P66" s="2251" t="s">
        <v>1523</v>
      </c>
      <c r="Q66" s="2290">
        <f ca="1">L60</f>
        <v>0</v>
      </c>
      <c r="R66" s="2290" t="s">
        <v>1524</v>
      </c>
    </row>
    <row r="67" spans="1:18" s="851" customFormat="1" ht="24">
      <c r="A67" s="2187" t="s">
        <v>1445</v>
      </c>
      <c r="B67" s="2292" t="s">
        <v>1446</v>
      </c>
      <c r="C67" s="1103">
        <f ca="1">C48-C58</f>
        <v>-237</v>
      </c>
      <c r="D67" s="2199" t="s">
        <v>1447</v>
      </c>
      <c r="E67" s="2293"/>
      <c r="F67" s="2294"/>
      <c r="O67" s="2258" t="s">
        <v>1495</v>
      </c>
      <c r="P67" s="2251" t="s">
        <v>1527</v>
      </c>
      <c r="Q67" s="2314">
        <f ca="1">L51</f>
        <v>121820</v>
      </c>
      <c r="R67" s="2290" t="s">
        <v>1544</v>
      </c>
    </row>
    <row r="68" spans="1:18" s="851" customFormat="1" ht="15.6">
      <c r="A68" s="2295" t="s">
        <v>1451</v>
      </c>
      <c r="B68" s="2296" t="s">
        <v>1468</v>
      </c>
      <c r="C68" s="2138">
        <f ca="1">ROUND(C67*(1-((1+F70)/(1+F68))^F69)/(F68-F70),0)</f>
        <v>-225</v>
      </c>
      <c r="D68" s="2202" t="s">
        <v>1453</v>
      </c>
      <c r="E68" s="2192" t="s">
        <v>1454</v>
      </c>
      <c r="F68" s="2074">
        <f ca="1">F40</f>
        <v>5.5E-2</v>
      </c>
      <c r="O68" s="2258" t="s">
        <v>1499</v>
      </c>
      <c r="P68" s="2313" t="s">
        <v>1545</v>
      </c>
      <c r="Q68" s="2290">
        <f ca="1">ROUND(Q69-Q70*Q71,0)</f>
        <v>6854</v>
      </c>
      <c r="R68" s="2290" t="s">
        <v>1546</v>
      </c>
    </row>
    <row r="69" spans="1:18" s="851" customFormat="1">
      <c r="A69" s="2297"/>
      <c r="B69" s="2298"/>
      <c r="C69" s="2073"/>
      <c r="D69" s="2299" t="s">
        <v>1457</v>
      </c>
      <c r="E69" s="2192" t="s">
        <v>1458</v>
      </c>
      <c r="F69" s="2142">
        <f ca="1">F41</f>
        <v>1</v>
      </c>
      <c r="O69" s="2258" t="s">
        <v>1547</v>
      </c>
      <c r="P69" s="2313" t="s">
        <v>1548</v>
      </c>
      <c r="Q69" s="2290">
        <f ca="1">C39</f>
        <v>8044</v>
      </c>
      <c r="R69" s="2290" t="s">
        <v>1483</v>
      </c>
    </row>
    <row r="70" spans="1:18" s="851" customFormat="1">
      <c r="A70" s="2300"/>
      <c r="B70" s="2301"/>
      <c r="C70" s="2092"/>
      <c r="D70" s="2204"/>
      <c r="E70" s="2192" t="s">
        <v>1461</v>
      </c>
      <c r="F70" s="2182"/>
      <c r="O70" s="2258" t="s">
        <v>1549</v>
      </c>
      <c r="P70" s="2313" t="s">
        <v>1550</v>
      </c>
      <c r="Q70" s="2290">
        <f ca="1">C13</f>
        <v>17003</v>
      </c>
      <c r="R70" s="2290" t="s">
        <v>1483</v>
      </c>
    </row>
    <row r="71" spans="1:18" s="851" customFormat="1">
      <c r="A71" s="2302" t="s">
        <v>1463</v>
      </c>
      <c r="B71" s="2303" t="s">
        <v>1469</v>
      </c>
      <c r="C71" s="2146">
        <f ca="1">ROUND(C68*10000/F71,0)</f>
        <v>-82</v>
      </c>
      <c r="D71" s="2304" t="s">
        <v>1470</v>
      </c>
      <c r="E71" s="2305" t="s">
        <v>1471</v>
      </c>
      <c r="F71" s="2149">
        <f ca="1">F43</f>
        <v>27298.22</v>
      </c>
      <c r="O71" s="2258" t="s">
        <v>1551</v>
      </c>
      <c r="P71" s="2313" t="s">
        <v>1552</v>
      </c>
      <c r="Q71" s="2291">
        <f ca="1">C76</f>
        <v>7.0000000000000007E-2</v>
      </c>
      <c r="R71" s="2290"/>
    </row>
    <row r="72" spans="1:18" s="851" customFormat="1">
      <c r="B72" s="1137"/>
      <c r="C72" s="1137"/>
      <c r="O72" s="2258" t="s">
        <v>1503</v>
      </c>
      <c r="P72" s="2251" t="s">
        <v>1529</v>
      </c>
      <c r="Q72" s="2291">
        <f>L52</f>
        <v>0</v>
      </c>
      <c r="R72" s="2290"/>
    </row>
    <row r="73" spans="1:18" ht="15.6">
      <c r="A73" s="851"/>
      <c r="B73" s="1137"/>
      <c r="C73" s="1137"/>
      <c r="D73" s="851"/>
      <c r="E73" s="851"/>
      <c r="F73" s="851"/>
      <c r="O73" s="2258" t="s">
        <v>1507</v>
      </c>
      <c r="P73" s="2251" t="s">
        <v>1532</v>
      </c>
      <c r="Q73" s="2290" t="e">
        <f ca="1">L58</f>
        <v>#DIV/0!</v>
      </c>
      <c r="R73" s="2290" t="s">
        <v>1533</v>
      </c>
    </row>
    <row r="74" spans="1:18">
      <c r="A74" s="851"/>
      <c r="B74" s="546" t="s">
        <v>1553</v>
      </c>
      <c r="C74" s="2306"/>
      <c r="D74" s="851"/>
      <c r="E74" s="851"/>
      <c r="F74" s="851"/>
      <c r="O74" s="2258" t="s">
        <v>1554</v>
      </c>
      <c r="P74" s="2251" t="str">
        <f>K59</f>
        <v>建筑物剩余耐用年限下的土地年期修正系数Kn</v>
      </c>
      <c r="Q74" s="2290" t="e">
        <f ca="1">L59</f>
        <v>#DIV/0!</v>
      </c>
      <c r="R74" s="2290" t="s">
        <v>1534</v>
      </c>
    </row>
    <row r="75" spans="1:18">
      <c r="A75" s="851"/>
      <c r="B75" s="2307" t="s">
        <v>1555</v>
      </c>
      <c r="C75" s="2308">
        <f ca="1">ROUND(C13*C76,0)</f>
        <v>1190</v>
      </c>
      <c r="D75" s="851"/>
      <c r="E75" s="851"/>
      <c r="F75" s="851"/>
      <c r="K75" s="2237"/>
      <c r="L75" s="851"/>
      <c r="O75" s="2250" t="s">
        <v>1105</v>
      </c>
      <c r="P75" s="2251" t="s">
        <v>1513</v>
      </c>
      <c r="Q75" s="2290">
        <f ca="1">Q65+Q66</f>
        <v>130307</v>
      </c>
      <c r="R75" s="2290" t="s">
        <v>1514</v>
      </c>
    </row>
    <row r="76" spans="1:18">
      <c r="B76" s="636" t="s">
        <v>1556</v>
      </c>
      <c r="C76" s="2309">
        <f ca="1">INDIRECT("'数据-取费表'!j"&amp;$G$1)</f>
        <v>7.0000000000000007E-2</v>
      </c>
      <c r="I76" s="851"/>
      <c r="J76" s="851"/>
      <c r="K76" s="2237"/>
      <c r="L76" s="851"/>
    </row>
    <row r="77" spans="1:18">
      <c r="B77" s="2310" t="s">
        <v>1557</v>
      </c>
      <c r="C77" s="2311"/>
      <c r="I77" s="851"/>
      <c r="J77" s="851"/>
      <c r="K77" s="2237"/>
      <c r="L77" s="851"/>
    </row>
    <row r="78" spans="1:18">
      <c r="B78" s="544" t="s">
        <v>1558</v>
      </c>
      <c r="C78" s="2312"/>
    </row>
    <row r="79" spans="1:18">
      <c r="B79" s="2307" t="s">
        <v>1559</v>
      </c>
      <c r="C79" s="547">
        <f ca="1">1-C80</f>
        <v>0.85199999999999998</v>
      </c>
    </row>
    <row r="80" spans="1:18">
      <c r="B80" s="2307" t="s">
        <v>1560</v>
      </c>
      <c r="C80" s="547">
        <f ca="1">ROUND(C75/C39,3)</f>
        <v>0.14799999999999999</v>
      </c>
    </row>
    <row r="81" spans="2:3">
      <c r="B81" s="544" t="s">
        <v>1561</v>
      </c>
      <c r="C81" s="514"/>
    </row>
    <row r="82" spans="2:3">
      <c r="B82" s="546" t="s">
        <v>1087</v>
      </c>
      <c r="C82" s="548">
        <f ca="1">1-C83</f>
        <v>-1.23</v>
      </c>
    </row>
    <row r="83" spans="2:3">
      <c r="B83" s="546" t="s">
        <v>1088</v>
      </c>
      <c r="C83" s="547">
        <f ca="1">ROUND(C13/C40,3)</f>
        <v>2.23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0.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1372</v>
      </c>
      <c r="B1" s="1394"/>
      <c r="C1" s="2037"/>
      <c r="D1" s="2038" t="s">
        <v>124</v>
      </c>
      <c r="E1" s="2039" t="s">
        <v>1373</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1374</v>
      </c>
      <c r="B2" s="2043" t="e">
        <f ca="1">ROUND(D2/10000,4)</f>
        <v>#DIV/0!</v>
      </c>
      <c r="C2" s="2044" t="s">
        <v>1375</v>
      </c>
      <c r="D2" s="2045" t="e">
        <f ca="1">C40+J29+L46</f>
        <v>#DIV/0!</v>
      </c>
      <c r="E2" s="2046" t="s">
        <v>1562</v>
      </c>
      <c r="F2" s="2047"/>
      <c r="G2" s="2048"/>
      <c r="H2" s="2049"/>
      <c r="I2" s="2049"/>
      <c r="J2" s="2049"/>
      <c r="K2" s="2208"/>
      <c r="L2" s="2049"/>
      <c r="M2" s="2049"/>
    </row>
    <row r="3" spans="1:37" ht="18" customHeight="1">
      <c r="A3" s="2050" t="s">
        <v>1376</v>
      </c>
      <c r="B3" s="2051">
        <f ca="1">IF(ISERROR(D2/F43),0,ROUND(D2/F43,0))</f>
        <v>0</v>
      </c>
      <c r="C3" s="2044" t="s">
        <v>1377</v>
      </c>
      <c r="D3" s="2044"/>
      <c r="E3" s="2046"/>
      <c r="F3" s="2047"/>
      <c r="G3" s="2048"/>
      <c r="H3" s="2052" t="s">
        <v>1378</v>
      </c>
      <c r="I3" s="2209"/>
      <c r="J3" s="2209"/>
      <c r="K3" s="2210"/>
      <c r="L3" s="2209"/>
      <c r="M3" s="2209"/>
    </row>
    <row r="4" spans="1:37" ht="18" customHeight="1">
      <c r="A4" s="2053" t="s">
        <v>1379</v>
      </c>
      <c r="B4" s="2054" t="s">
        <v>1380</v>
      </c>
      <c r="C4" s="2054" t="s">
        <v>1381</v>
      </c>
      <c r="D4" s="2054" t="s">
        <v>1382</v>
      </c>
      <c r="E4" s="2055" t="s">
        <v>1383</v>
      </c>
      <c r="F4" s="2056"/>
      <c r="G4" s="851"/>
      <c r="H4" s="2053" t="s">
        <v>1379</v>
      </c>
      <c r="I4" s="2054" t="s">
        <v>1380</v>
      </c>
      <c r="J4" s="2054" t="s">
        <v>1381</v>
      </c>
      <c r="K4" s="2054" t="s">
        <v>1382</v>
      </c>
      <c r="L4" s="2055" t="s">
        <v>1383</v>
      </c>
      <c r="M4" s="2056"/>
    </row>
    <row r="5" spans="1:37" ht="18" customHeight="1">
      <c r="A5" s="2057">
        <v>1</v>
      </c>
      <c r="B5" s="2058" t="s">
        <v>1384</v>
      </c>
      <c r="C5" s="2059">
        <f ca="1">C6+C10+C12</f>
        <v>0</v>
      </c>
      <c r="D5" s="2060" t="s">
        <v>1385</v>
      </c>
      <c r="E5" s="2061"/>
      <c r="F5" s="2062"/>
      <c r="G5" s="851"/>
      <c r="H5" s="2057">
        <v>1</v>
      </c>
      <c r="I5" s="2058" t="s">
        <v>1384</v>
      </c>
      <c r="J5" s="2059">
        <f ca="1">J6+J10+J12</f>
        <v>0</v>
      </c>
      <c r="K5" s="2060" t="s">
        <v>1385</v>
      </c>
      <c r="L5" s="2061"/>
      <c r="M5" s="2062"/>
    </row>
    <row r="6" spans="1:37" ht="18" customHeight="1">
      <c r="A6" s="2063" t="s">
        <v>904</v>
      </c>
      <c r="B6" s="3858" t="s">
        <v>1386</v>
      </c>
      <c r="C6" s="2064">
        <f ca="1">ROUND(F6*F8*F7*(1-F9),0)</f>
        <v>0</v>
      </c>
      <c r="D6" s="2065" t="s">
        <v>1563</v>
      </c>
      <c r="E6" s="2066" t="s">
        <v>1388</v>
      </c>
      <c r="F6" s="2067">
        <f ca="1">INDIRECT("'数据-取费表'!u"&amp;$G$1)</f>
        <v>0</v>
      </c>
      <c r="G6" s="851"/>
      <c r="H6" s="2063" t="s">
        <v>904</v>
      </c>
      <c r="I6" s="3858" t="s">
        <v>1386</v>
      </c>
      <c r="J6" s="2138">
        <f ca="1">ROUND(M6*M8*M7*(1-M9),0)</f>
        <v>0</v>
      </c>
      <c r="K6" s="2211" t="s">
        <v>1564</v>
      </c>
      <c r="L6" s="2066" t="s">
        <v>1388</v>
      </c>
      <c r="M6" s="2067">
        <f ca="1">INDIRECT("'数据-取费表'!z"&amp;$G$1)</f>
        <v>0</v>
      </c>
    </row>
    <row r="7" spans="1:37" ht="18" customHeight="1">
      <c r="A7" s="2068"/>
      <c r="B7" s="3859"/>
      <c r="C7" s="2069"/>
      <c r="D7" s="2070"/>
      <c r="E7" s="2071" t="s">
        <v>1390</v>
      </c>
      <c r="F7" s="2067">
        <f ca="1">IF(INDIRECT("'数据-取费表'!ah"&amp;$G$1)="",INDIRECT("'数据-取费表'!k"&amp;$G$1),INDIRECT("'数据-取费表'!ah"&amp;$G$1))</f>
        <v>0</v>
      </c>
      <c r="G7" s="851"/>
      <c r="H7" s="2072"/>
      <c r="I7" s="3859"/>
      <c r="J7" s="2073"/>
      <c r="K7" s="2070"/>
      <c r="L7" s="2066" t="s">
        <v>1390</v>
      </c>
      <c r="M7" s="2067">
        <f ca="1">F7</f>
        <v>0</v>
      </c>
    </row>
    <row r="8" spans="1:37" ht="18" customHeight="1">
      <c r="A8" s="2072"/>
      <c r="B8" s="3859"/>
      <c r="C8" s="2073"/>
      <c r="D8" s="2070"/>
      <c r="E8" s="2066" t="s">
        <v>1391</v>
      </c>
      <c r="F8" s="2067">
        <f ca="1">INDIRECT("'数据-取费表'!ai"&amp;$G$1)</f>
        <v>0</v>
      </c>
      <c r="G8" s="851"/>
      <c r="H8" s="2072"/>
      <c r="I8" s="3859"/>
      <c r="J8" s="2073"/>
      <c r="K8" s="2070"/>
      <c r="L8" s="2066" t="s">
        <v>1391</v>
      </c>
      <c r="M8" s="2067">
        <f ca="1">INDIRECT("'数据-取费表'!ai"&amp;$G$1)</f>
        <v>0</v>
      </c>
    </row>
    <row r="9" spans="1:37" ht="18" customHeight="1">
      <c r="A9" s="2072"/>
      <c r="B9" s="3860"/>
      <c r="C9" s="2073"/>
      <c r="D9" s="2070"/>
      <c r="E9" s="2066" t="s">
        <v>1392</v>
      </c>
      <c r="F9" s="2074">
        <f ca="1">INDIRECT("'数据-取费表'!w"&amp;$G$1)</f>
        <v>0</v>
      </c>
      <c r="G9" s="851"/>
      <c r="H9" s="2072"/>
      <c r="I9" s="3860"/>
      <c r="J9" s="2073"/>
      <c r="K9" s="2070"/>
      <c r="L9" s="2077" t="s">
        <v>1392</v>
      </c>
      <c r="M9" s="2082">
        <f ca="1">INDIRECT("'数据-取费表'!ab"&amp;$G$1)</f>
        <v>0</v>
      </c>
    </row>
    <row r="10" spans="1:37" ht="18" customHeight="1">
      <c r="A10" s="2063" t="s">
        <v>908</v>
      </c>
      <c r="B10" s="2075" t="s">
        <v>1393</v>
      </c>
      <c r="C10" s="1103">
        <f ca="1">ROUND(IF(F10="押一",C6/12*F11,IF(F10="押二",C6/12*2*F11,IF(F10="押三",C6/12*3*F11,C11*F11))),0)</f>
        <v>0</v>
      </c>
      <c r="D10" s="2076" t="s">
        <v>1394</v>
      </c>
      <c r="E10" s="2077" t="s">
        <v>1395</v>
      </c>
      <c r="F10" s="2078"/>
      <c r="G10" s="851"/>
      <c r="H10" s="2063" t="s">
        <v>908</v>
      </c>
      <c r="I10" s="2075" t="s">
        <v>1393</v>
      </c>
      <c r="J10" s="2138">
        <f ca="1">ROUND(IF(M10="押一",J6/12*M11,IF(M10="押二",J6/12*2*M11,IF(M10="押三",J6/12*3*M11,J11*M11))),0)</f>
        <v>0</v>
      </c>
      <c r="K10" s="2212" t="s">
        <v>1565</v>
      </c>
      <c r="L10" s="2077" t="s">
        <v>1395</v>
      </c>
      <c r="M10" s="2078"/>
    </row>
    <row r="11" spans="1:37" ht="18" customHeight="1">
      <c r="A11" s="2079"/>
      <c r="B11" s="2080" t="s">
        <v>1566</v>
      </c>
      <c r="C11" s="2081"/>
      <c r="D11" s="2070"/>
      <c r="E11" s="2077" t="s">
        <v>1397</v>
      </c>
      <c r="F11" s="2082">
        <f ca="1">'数据-取费表'!B39</f>
        <v>1.4999999999999999E-2</v>
      </c>
      <c r="G11" s="851"/>
      <c r="H11" s="2083"/>
      <c r="I11" s="2080" t="s">
        <v>1567</v>
      </c>
      <c r="J11" s="2081"/>
      <c r="K11" s="2213"/>
      <c r="L11" s="2077" t="s">
        <v>1397</v>
      </c>
      <c r="M11" s="2214">
        <f ca="1">'数据-取费表'!B39</f>
        <v>1.4999999999999999E-2</v>
      </c>
    </row>
    <row r="12" spans="1:37" ht="18" customHeight="1">
      <c r="A12" s="2084" t="s">
        <v>954</v>
      </c>
      <c r="B12" s="2085" t="s">
        <v>1398</v>
      </c>
      <c r="C12" s="2086"/>
      <c r="D12" s="2087"/>
      <c r="E12" s="2088"/>
      <c r="F12" s="2089"/>
      <c r="G12" s="851"/>
      <c r="H12" s="2084" t="s">
        <v>954</v>
      </c>
      <c r="I12" s="2085" t="s">
        <v>1398</v>
      </c>
      <c r="J12" s="2086"/>
      <c r="K12" s="2215"/>
      <c r="L12" s="2088"/>
      <c r="M12" s="2216"/>
    </row>
    <row r="13" spans="1:37" ht="18" customHeight="1">
      <c r="A13" s="2090">
        <v>2</v>
      </c>
      <c r="B13" s="2091" t="s">
        <v>1399</v>
      </c>
      <c r="C13" s="2092">
        <f ca="1">ROUND(C29*F13,0)</f>
        <v>0</v>
      </c>
      <c r="D13" s="2093" t="s">
        <v>1400</v>
      </c>
      <c r="E13" s="2093" t="s">
        <v>1401</v>
      </c>
      <c r="F13" s="2094">
        <f ca="1">INDIRECT("'数据-取费表'!y"&amp;$G$1)</f>
        <v>0</v>
      </c>
      <c r="G13" s="851"/>
      <c r="H13" s="2090">
        <v>2</v>
      </c>
      <c r="I13" s="2091" t="s">
        <v>1399</v>
      </c>
      <c r="J13" s="2217">
        <f ca="1">ROUND(J14*J15,0)</f>
        <v>0</v>
      </c>
      <c r="K13" s="2116" t="s">
        <v>1400</v>
      </c>
      <c r="L13" s="2218"/>
      <c r="M13" s="2219"/>
    </row>
    <row r="14" spans="1:37" ht="18" customHeight="1">
      <c r="A14" s="2095" t="s">
        <v>927</v>
      </c>
      <c r="B14" s="2066" t="s">
        <v>1402</v>
      </c>
      <c r="C14" s="2096">
        <f ca="1">ROUND(INDIRECT("'数据-取费表'!l"&amp;$G$1)*F43+'数据-取费表'!L14*INDIRECT("'数据-取费表'!S"&amp;$G$1),0)</f>
        <v>0</v>
      </c>
      <c r="D14" s="2097" t="s">
        <v>1403</v>
      </c>
      <c r="E14" s="2098"/>
      <c r="F14" s="2099"/>
      <c r="G14" s="851"/>
      <c r="H14" s="2095" t="s">
        <v>904</v>
      </c>
      <c r="I14" s="2066" t="s">
        <v>1404</v>
      </c>
      <c r="J14" s="1104">
        <f ca="1">C29</f>
        <v>0</v>
      </c>
      <c r="K14" s="2220"/>
      <c r="L14" s="2221"/>
      <c r="M14" s="2222"/>
    </row>
    <row r="15" spans="1:37" s="2034" customFormat="1" ht="18" customHeight="1">
      <c r="A15" s="2095" t="s">
        <v>931</v>
      </c>
      <c r="B15" s="2066" t="s">
        <v>1103</v>
      </c>
      <c r="C15" s="1104">
        <f ca="1">ROUND(C14*F15,0)</f>
        <v>0</v>
      </c>
      <c r="D15" s="2100" t="s">
        <v>1405</v>
      </c>
      <c r="E15" s="2100" t="s">
        <v>1406</v>
      </c>
      <c r="F15" s="2101">
        <f>'数据-取费表'!B33</f>
        <v>0.03</v>
      </c>
      <c r="G15" s="2102"/>
      <c r="H15" s="2103" t="s">
        <v>908</v>
      </c>
      <c r="I15" s="2088" t="s">
        <v>1401</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934</v>
      </c>
      <c r="B16" s="2066" t="s">
        <v>1106</v>
      </c>
      <c r="C16" s="1104">
        <f ca="1">ROUND(INDIRECT("'数据-取费表'!l"&amp;$G$1)*F43*F16,0)</f>
        <v>0</v>
      </c>
      <c r="D16" s="2066" t="s">
        <v>1405</v>
      </c>
      <c r="E16" s="2066" t="s">
        <v>1406</v>
      </c>
      <c r="F16" s="2104">
        <f ca="1">IF(INDIRECT("'数据-取费表'!c"&amp;$G$1)="住宅",'数据-取费表'!B34,0)</f>
        <v>0</v>
      </c>
      <c r="G16" s="851"/>
      <c r="H16" s="2090" t="s">
        <v>1407</v>
      </c>
      <c r="I16" s="2091" t="s">
        <v>1408</v>
      </c>
      <c r="J16" s="2092">
        <f ca="1">ROUND(J17+J22+J23+J24,0)</f>
        <v>0</v>
      </c>
      <c r="K16" s="2116" t="s">
        <v>1409</v>
      </c>
      <c r="L16" s="2117"/>
      <c r="M16" s="2062"/>
    </row>
    <row r="17" spans="1:37" s="2034" customFormat="1" ht="18" customHeight="1">
      <c r="A17" s="2095" t="s">
        <v>1410</v>
      </c>
      <c r="B17" s="2066" t="s">
        <v>1411</v>
      </c>
      <c r="C17" s="1104">
        <f ca="1">ROUND(F17*(F43+INDIRECT("'数据-取费表'!S"&amp;$G$1)),0)</f>
        <v>0</v>
      </c>
      <c r="D17" s="2066" t="s">
        <v>1412</v>
      </c>
      <c r="E17" s="2066" t="s">
        <v>1413</v>
      </c>
      <c r="F17" s="2105">
        <f>'数据-取费表'!B35</f>
        <v>200</v>
      </c>
      <c r="G17" s="2102"/>
      <c r="H17" s="2095" t="s">
        <v>904</v>
      </c>
      <c r="I17" s="2066" t="s">
        <v>1414</v>
      </c>
      <c r="J17" s="2119">
        <f ca="1">ROUND(IF(AND(项目基本情况!B11="自然人",项目基本情况!B10="北京市"),J6*M17/(1+'数据-取费表'!C42),J18+J19+J20),0)</f>
        <v>0</v>
      </c>
      <c r="K17" s="2097" t="s">
        <v>1415</v>
      </c>
      <c r="L17" s="2120" t="s">
        <v>1416</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1417</v>
      </c>
      <c r="B18" s="2066" t="s">
        <v>1112</v>
      </c>
      <c r="C18" s="1104">
        <f ca="1">ROUND(C14*F18,0)</f>
        <v>0</v>
      </c>
      <c r="D18" s="2066" t="s">
        <v>1405</v>
      </c>
      <c r="E18" s="2066" t="s">
        <v>1406</v>
      </c>
      <c r="F18" s="2104">
        <f>'数据-取费表'!B36</f>
        <v>1.4999999999999999E-2</v>
      </c>
      <c r="G18" s="2102"/>
      <c r="H18" s="2095" t="s">
        <v>927</v>
      </c>
      <c r="I18" s="2066" t="s">
        <v>1418</v>
      </c>
      <c r="J18" s="1104">
        <f ca="1">ROUND(J6*M18/(1+'数据-取费表'!C42),0)</f>
        <v>0</v>
      </c>
      <c r="K18" s="2120" t="s">
        <v>1419</v>
      </c>
      <c r="L18" s="2066" t="s">
        <v>1406</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904</v>
      </c>
      <c r="B19" s="2066" t="s">
        <v>1420</v>
      </c>
      <c r="C19" s="1104">
        <f ca="1">SUM(C14:C18)</f>
        <v>0</v>
      </c>
      <c r="D19" s="2106" t="s">
        <v>1421</v>
      </c>
      <c r="E19" s="1106"/>
      <c r="F19" s="2105"/>
      <c r="G19" s="851"/>
      <c r="H19" s="2095" t="s">
        <v>931</v>
      </c>
      <c r="I19" s="2066" t="s">
        <v>1422</v>
      </c>
      <c r="J19" s="1104">
        <f ca="1">IF(K19="按租金收入计税",ROUND(J6*M19/(1+'数据-取费表'!C42),0),ROUND(C29*M19*0.7,0))</f>
        <v>0</v>
      </c>
      <c r="K19" s="2123" t="s">
        <v>1423</v>
      </c>
      <c r="L19" s="2066" t="s">
        <v>1406</v>
      </c>
      <c r="M19" s="2104">
        <f>IF(K19="按租金收入计税",'数据-取费表'!B51,'数据-取费表'!B50)</f>
        <v>0.12</v>
      </c>
    </row>
    <row r="20" spans="1:37" s="2034" customFormat="1" ht="18" customHeight="1">
      <c r="A20" s="2095" t="s">
        <v>908</v>
      </c>
      <c r="B20" s="2066" t="s">
        <v>1424</v>
      </c>
      <c r="C20" s="1104">
        <f ca="1">ROUND(C19*F20,0)</f>
        <v>0</v>
      </c>
      <c r="D20" s="2107" t="s">
        <v>1425</v>
      </c>
      <c r="E20" s="2066" t="s">
        <v>1406</v>
      </c>
      <c r="F20" s="2104">
        <f>'数据-取费表'!B37</f>
        <v>0.02</v>
      </c>
      <c r="G20" s="2102"/>
      <c r="H20" s="2095" t="s">
        <v>934</v>
      </c>
      <c r="I20" s="2065" t="s">
        <v>1426</v>
      </c>
      <c r="J20" s="2125">
        <f ca="1">ROUND(M20*M21,0)</f>
        <v>0</v>
      </c>
      <c r="K20" s="2126" t="s">
        <v>1427</v>
      </c>
      <c r="L20" s="2066" t="s">
        <v>1428</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954</v>
      </c>
      <c r="B21" s="2066" t="s">
        <v>1429</v>
      </c>
      <c r="C21" s="1104" t="s">
        <v>124</v>
      </c>
      <c r="D21" s="2107" t="s">
        <v>1430</v>
      </c>
      <c r="E21" s="2066" t="s">
        <v>1431</v>
      </c>
      <c r="F21" s="2104">
        <f>'数据-取费表'!B38</f>
        <v>0.02</v>
      </c>
      <c r="G21" s="2102"/>
      <c r="H21" s="2108"/>
      <c r="I21" s="2226"/>
      <c r="J21" s="2129"/>
      <c r="K21" s="2130"/>
      <c r="L21" s="2066" t="s">
        <v>1432</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958</v>
      </c>
      <c r="B22" s="2066" t="s">
        <v>1433</v>
      </c>
      <c r="C22" s="1104"/>
      <c r="D22" s="2106" t="str">
        <f>IF(F23&lt;=1,"单利计息。","复利计息。")&amp;"建造成本、管理费用、销售费用产生的利息。"</f>
        <v>复利计息。建造成本、管理费用、销售费用产生的利息。</v>
      </c>
      <c r="E22" s="1106"/>
      <c r="F22" s="2105"/>
      <c r="G22" s="851"/>
      <c r="H22" s="2095" t="s">
        <v>908</v>
      </c>
      <c r="I22" s="2066" t="s">
        <v>1434</v>
      </c>
      <c r="J22" s="1104">
        <f ca="1">ROUND(J14*M22,0)</f>
        <v>0</v>
      </c>
      <c r="K22" s="2120" t="s">
        <v>1435</v>
      </c>
      <c r="L22" s="2066" t="s">
        <v>1406</v>
      </c>
      <c r="M22" s="2132">
        <f ca="1">INDIRECT("'数据-取费表'!Ak"&amp;$G$1)</f>
        <v>0</v>
      </c>
    </row>
    <row r="23" spans="1:37" s="2034" customFormat="1" ht="18" customHeight="1">
      <c r="A23" s="2095" t="s">
        <v>927</v>
      </c>
      <c r="B23" s="2066" t="s">
        <v>1436</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1437</v>
      </c>
      <c r="F23" s="2110">
        <f>'数据-取费表'!B20</f>
        <v>2</v>
      </c>
      <c r="G23" s="2102"/>
      <c r="H23" s="2095" t="s">
        <v>954</v>
      </c>
      <c r="I23" s="2066" t="s">
        <v>1438</v>
      </c>
      <c r="J23" s="1104">
        <f ca="1">ROUND(J13*M23,0)</f>
        <v>0</v>
      </c>
      <c r="K23" s="2120" t="s">
        <v>1439</v>
      </c>
      <c r="L23" s="2066" t="s">
        <v>1406</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931</v>
      </c>
      <c r="B24" s="2066" t="s">
        <v>1440</v>
      </c>
      <c r="C24" s="1104">
        <f ca="1">ROUND(IF('数据-取费表'!B22&lt;=1,F21*F24*F23/2,F21*(POWER((1+F24),F23/2)-1)),4)</f>
        <v>8.9999999999999998E-4</v>
      </c>
      <c r="D24" s="2109" t="str">
        <f>IF(F23&lt;=1,"销售费用×利率×(建设周期÷2)","销售费用×((1+利率)^(建设周期÷2)-1)")</f>
        <v>销售费用×((1+利率)^(建设周期÷2)-1)</v>
      </c>
      <c r="E24" s="2066" t="s">
        <v>1441</v>
      </c>
      <c r="F24" s="2111">
        <f ca="1">'数据-取费表'!B40</f>
        <v>4.3499999999999997E-2</v>
      </c>
      <c r="G24" s="2102"/>
      <c r="H24" s="2103" t="s">
        <v>958</v>
      </c>
      <c r="I24" s="2088" t="s">
        <v>1424</v>
      </c>
      <c r="J24" s="2112">
        <f ca="1">ROUND(J5*M24,0)</f>
        <v>0</v>
      </c>
      <c r="K24" s="2113" t="s">
        <v>1442</v>
      </c>
      <c r="L24" s="2088" t="s">
        <v>1406</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962</v>
      </c>
      <c r="B25" s="2066" t="s">
        <v>1443</v>
      </c>
      <c r="C25" s="1104"/>
      <c r="D25" s="2106" t="s">
        <v>1444</v>
      </c>
      <c r="E25" s="1106"/>
      <c r="F25" s="2105"/>
      <c r="G25" s="851"/>
      <c r="H25" s="2090" t="s">
        <v>1445</v>
      </c>
      <c r="I25" s="2134" t="s">
        <v>1446</v>
      </c>
      <c r="J25" s="2092">
        <f ca="1">J5-J16</f>
        <v>0</v>
      </c>
      <c r="K25" s="2135" t="s">
        <v>1447</v>
      </c>
      <c r="L25" s="2136"/>
      <c r="M25" s="2137"/>
    </row>
    <row r="26" spans="1:37" ht="18" customHeight="1">
      <c r="A26" s="2095" t="s">
        <v>927</v>
      </c>
      <c r="B26" s="2066" t="s">
        <v>1448</v>
      </c>
      <c r="C26" s="1104">
        <f ca="1">ROUND((C19+C20)*F26,0)</f>
        <v>0</v>
      </c>
      <c r="D26" s="2107" t="s">
        <v>1449</v>
      </c>
      <c r="E26" s="2077" t="s">
        <v>1450</v>
      </c>
      <c r="F26" s="2074">
        <f ca="1">INDIRECT("'数据-取费表'!q"&amp;$G$1)</f>
        <v>0</v>
      </c>
      <c r="G26" s="851"/>
      <c r="H26" s="2057" t="s">
        <v>1451</v>
      </c>
      <c r="I26" s="2058" t="s">
        <v>1452</v>
      </c>
      <c r="J26" s="2138">
        <f ca="1">IF(J5&lt;&gt;0,ROUND(J25*(1-((1+M28)/(1+M26))^M27)/(M26-M28),0),0)</f>
        <v>0</v>
      </c>
      <c r="K26" s="2126" t="s">
        <v>1453</v>
      </c>
      <c r="L26" s="2066" t="s">
        <v>1454</v>
      </c>
      <c r="M26" s="2074">
        <f ca="1">INDIRECT("'数据-取费表'!I"&amp;$G$1)</f>
        <v>0</v>
      </c>
    </row>
    <row r="27" spans="1:37" ht="18" customHeight="1">
      <c r="A27" s="2095" t="s">
        <v>931</v>
      </c>
      <c r="B27" s="2066" t="s">
        <v>1455</v>
      </c>
      <c r="C27" s="1104">
        <f ca="1">ROUND(F21*F26,4)</f>
        <v>0</v>
      </c>
      <c r="D27" s="2107" t="s">
        <v>1456</v>
      </c>
      <c r="E27" s="2100"/>
      <c r="F27" s="2101"/>
      <c r="G27" s="851"/>
      <c r="H27" s="2072"/>
      <c r="I27" s="2140"/>
      <c r="J27" s="2073"/>
      <c r="K27" s="2141" t="s">
        <v>1457</v>
      </c>
      <c r="L27" s="2066" t="s">
        <v>1458</v>
      </c>
      <c r="M27" s="2142">
        <f ca="1">INDIRECT("'数据-取费表'!ag"&amp;$G$1)</f>
        <v>0</v>
      </c>
    </row>
    <row r="28" spans="1:37" s="2034" customFormat="1" ht="18" customHeight="1">
      <c r="A28" s="2095" t="s">
        <v>963</v>
      </c>
      <c r="B28" s="2066" t="s">
        <v>1459</v>
      </c>
      <c r="C28" s="1104">
        <f>ROUND(F28/(1+'数据-取费表'!C42),4)</f>
        <v>5.33E-2</v>
      </c>
      <c r="D28" s="2107" t="s">
        <v>1460</v>
      </c>
      <c r="E28" s="2066" t="s">
        <v>1406</v>
      </c>
      <c r="F28" s="2104">
        <f>'数据-取费表'!B41</f>
        <v>5.6000000000000001E-2</v>
      </c>
      <c r="G28" s="2102"/>
      <c r="H28" s="2079"/>
      <c r="I28" s="2144"/>
      <c r="J28" s="2092"/>
      <c r="K28" s="2130"/>
      <c r="L28" s="2066" t="s">
        <v>1461</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1137</v>
      </c>
      <c r="B29" s="2088" t="s">
        <v>1462</v>
      </c>
      <c r="C29" s="2112">
        <f ca="1">ROUND((C19+C20+C23+C26)/(1-F21-C24-C27-C28),0)</f>
        <v>0</v>
      </c>
      <c r="D29" s="2113"/>
      <c r="E29" s="2088"/>
      <c r="F29" s="2114"/>
      <c r="G29" s="2102"/>
      <c r="H29" s="2115" t="s">
        <v>1463</v>
      </c>
      <c r="I29" s="2145" t="s">
        <v>1464</v>
      </c>
      <c r="J29" s="2146">
        <f ca="1">ROUND(J26/(1+F40)^F41,0)</f>
        <v>0</v>
      </c>
      <c r="K29" s="2147" t="s">
        <v>1465</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1407</v>
      </c>
      <c r="B30" s="2091" t="s">
        <v>1408</v>
      </c>
      <c r="C30" s="2092">
        <f ca="1">ROUND(C31+C36+C37+C38,0)</f>
        <v>0</v>
      </c>
      <c r="D30" s="2116" t="s">
        <v>1409</v>
      </c>
      <c r="E30" s="2117"/>
      <c r="F30" s="2062"/>
      <c r="G30" s="851"/>
      <c r="H30" s="2118"/>
      <c r="I30" s="2227"/>
      <c r="J30" s="2228"/>
      <c r="K30" s="2229"/>
      <c r="L30" s="2230"/>
      <c r="M30" s="2231"/>
    </row>
    <row r="31" spans="1:37" ht="18" customHeight="1">
      <c r="A31" s="2095" t="s">
        <v>904</v>
      </c>
      <c r="B31" s="2066" t="s">
        <v>1414</v>
      </c>
      <c r="C31" s="2119">
        <f ca="1">ROUND(IF(AND(项目基本情况!B11="自然人",项目基本情况!B10="北京市"),C6*F31/(1+'数据-取费表'!C42),C32+C33+C34),0)</f>
        <v>0</v>
      </c>
      <c r="D31" s="2097" t="s">
        <v>1415</v>
      </c>
      <c r="E31" s="2120" t="s">
        <v>1416</v>
      </c>
      <c r="F31" s="2121" t="str">
        <f>IF(项目基本情况!B11="企业","——",IF(M47="住宅",IF(F6*F7*F8/12/(1+'数据-取费表'!F30)&gt;100000,4%,2.5%),IF(F6*F7*F8/12/(1+'数据-取费表'!F30)&gt;100000,12%,7%)))</f>
        <v>——</v>
      </c>
      <c r="G31" s="851"/>
      <c r="H31" s="2122" t="s">
        <v>1466</v>
      </c>
      <c r="I31" s="2227"/>
      <c r="J31" s="2228"/>
      <c r="K31" s="2229"/>
      <c r="L31" s="2230"/>
      <c r="M31" s="2231"/>
    </row>
    <row r="32" spans="1:37" ht="18" customHeight="1">
      <c r="A32" s="2095" t="s">
        <v>927</v>
      </c>
      <c r="B32" s="2066" t="s">
        <v>1418</v>
      </c>
      <c r="C32" s="1104">
        <f ca="1">IF(项目基本情况!B11="自然人","——",ROUND(C6*F32/(1+'数据-取费表'!C42),0))</f>
        <v>0</v>
      </c>
      <c r="D32" s="2120" t="s">
        <v>1419</v>
      </c>
      <c r="E32" s="2066" t="s">
        <v>1406</v>
      </c>
      <c r="F32" s="2111">
        <f>'数据-取费表'!B41</f>
        <v>5.6000000000000001E-2</v>
      </c>
      <c r="G32" s="851"/>
      <c r="H32" s="2118"/>
      <c r="I32" s="2227"/>
      <c r="J32" s="2228"/>
      <c r="K32" s="2229"/>
      <c r="L32" s="2230"/>
      <c r="M32" s="2231"/>
    </row>
    <row r="33" spans="1:18" ht="18" customHeight="1">
      <c r="A33" s="2095" t="s">
        <v>931</v>
      </c>
      <c r="B33" s="2066" t="s">
        <v>1422</v>
      </c>
      <c r="C33" s="1104">
        <f ca="1">IF(项目基本情况!B11="自然人","——",IF(D33="按租金收入计税",ROUND(C6*F33/(1+'数据-取费表'!C42),0),IF(D33="按房产原值计税",ROUND(C29*F33*0.7,0),INDIRECT("'数据-取费表'!Aj"&amp;$G$1))))</f>
        <v>0</v>
      </c>
      <c r="D33" s="2123" t="s">
        <v>1423</v>
      </c>
      <c r="E33" s="2066" t="s">
        <v>1406</v>
      </c>
      <c r="F33" s="2104">
        <f>IF(D33="按票据","——",IF(D33="按租金收入计税",'数据-取费表'!B51,'数据-取费表'!B50))</f>
        <v>0.12</v>
      </c>
      <c r="G33" s="851"/>
      <c r="H33" s="2124"/>
      <c r="I33" s="2227"/>
      <c r="J33" s="2228"/>
      <c r="K33" s="2232"/>
      <c r="L33" s="2124"/>
      <c r="M33" s="2124"/>
    </row>
    <row r="34" spans="1:18" ht="18" customHeight="1">
      <c r="A34" s="2063" t="s">
        <v>934</v>
      </c>
      <c r="B34" s="2065" t="s">
        <v>1426</v>
      </c>
      <c r="C34" s="2125">
        <f ca="1">IF(项目基本情况!B11="自然人","——",ROUND(F34*F35,0))</f>
        <v>0</v>
      </c>
      <c r="D34" s="2126" t="s">
        <v>1427</v>
      </c>
      <c r="E34" s="2066" t="s">
        <v>1428</v>
      </c>
      <c r="F34" s="2110">
        <f>'数据-取费表'!B52</f>
        <v>24</v>
      </c>
      <c r="G34" s="851"/>
      <c r="H34" s="2118"/>
      <c r="I34" s="2227"/>
      <c r="J34" s="2228"/>
      <c r="K34" s="2233"/>
      <c r="L34" s="2234"/>
      <c r="M34" s="2234"/>
    </row>
    <row r="35" spans="1:18" ht="18" customHeight="1">
      <c r="A35" s="2127"/>
      <c r="B35" s="2128"/>
      <c r="C35" s="2129"/>
      <c r="D35" s="2130"/>
      <c r="E35" s="2066" t="s">
        <v>1432</v>
      </c>
      <c r="F35" s="2067">
        <f ca="1">INDIRECT("'数据-取费表'!r"&amp;$G$1)</f>
        <v>0</v>
      </c>
      <c r="G35" s="851"/>
      <c r="H35" s="2118"/>
      <c r="I35" s="2227"/>
      <c r="J35" s="2228"/>
      <c r="K35" s="2232"/>
      <c r="L35" s="2124"/>
      <c r="M35" s="2124"/>
    </row>
    <row r="36" spans="1:18" ht="18" customHeight="1">
      <c r="A36" s="2131" t="s">
        <v>908</v>
      </c>
      <c r="B36" s="2066" t="s">
        <v>1434</v>
      </c>
      <c r="C36" s="1104">
        <f ca="1">ROUND(C29*F36,0)</f>
        <v>0</v>
      </c>
      <c r="D36" s="2120" t="s">
        <v>1467</v>
      </c>
      <c r="E36" s="2066" t="s">
        <v>1406</v>
      </c>
      <c r="F36" s="2132">
        <f ca="1">INDIRECT("'数据-取费表'!Ak"&amp;$G$1)</f>
        <v>0</v>
      </c>
      <c r="G36" s="851"/>
      <c r="H36" s="2124"/>
      <c r="I36" s="2227"/>
      <c r="J36" s="2228"/>
      <c r="K36" s="2235"/>
      <c r="L36" s="2124"/>
      <c r="M36" s="2124"/>
    </row>
    <row r="37" spans="1:18" ht="18" customHeight="1">
      <c r="A37" s="2095" t="s">
        <v>954</v>
      </c>
      <c r="B37" s="2066" t="s">
        <v>1438</v>
      </c>
      <c r="C37" s="1104">
        <f ca="1">ROUND(C13*F37,0)</f>
        <v>0</v>
      </c>
      <c r="D37" s="2120" t="s">
        <v>1439</v>
      </c>
      <c r="E37" s="2066" t="s">
        <v>1406</v>
      </c>
      <c r="F37" s="2133">
        <f ca="1">INDIRECT("'数据-取费表'!Al"&amp;$G$1)</f>
        <v>0</v>
      </c>
      <c r="G37" s="851"/>
      <c r="H37" s="2124"/>
      <c r="I37" s="2227"/>
      <c r="J37" s="2228"/>
      <c r="K37" s="2235"/>
      <c r="L37" s="2124"/>
      <c r="M37" s="2124"/>
    </row>
    <row r="38" spans="1:18" ht="18" customHeight="1">
      <c r="A38" s="2103" t="s">
        <v>958</v>
      </c>
      <c r="B38" s="2088" t="s">
        <v>1424</v>
      </c>
      <c r="C38" s="2112">
        <f ca="1">ROUND(C5*F38,0)</f>
        <v>0</v>
      </c>
      <c r="D38" s="2113" t="s">
        <v>1442</v>
      </c>
      <c r="E38" s="2088" t="s">
        <v>1406</v>
      </c>
      <c r="F38" s="2089">
        <f ca="1">INDIRECT("'数据-取费表'!Am"&amp;$G$1)</f>
        <v>0</v>
      </c>
      <c r="G38" s="851"/>
      <c r="H38" s="2124"/>
      <c r="I38" s="2227"/>
      <c r="J38" s="2228"/>
      <c r="K38" s="2236"/>
      <c r="L38" s="2124"/>
      <c r="M38" s="2124"/>
    </row>
    <row r="39" spans="1:18" ht="24.6" customHeight="1">
      <c r="A39" s="2090" t="s">
        <v>1445</v>
      </c>
      <c r="B39" s="2134" t="s">
        <v>1446</v>
      </c>
      <c r="C39" s="2092">
        <f ca="1">C5-C30</f>
        <v>0</v>
      </c>
      <c r="D39" s="2135" t="s">
        <v>1447</v>
      </c>
      <c r="E39" s="2136"/>
      <c r="F39" s="2137"/>
      <c r="G39" s="851"/>
      <c r="H39" s="2124"/>
      <c r="I39" s="2227"/>
      <c r="J39" s="2228"/>
      <c r="K39" s="2236"/>
      <c r="L39" s="2124"/>
      <c r="M39" s="2124"/>
    </row>
    <row r="40" spans="1:18" ht="18" customHeight="1">
      <c r="A40" s="2057" t="s">
        <v>1451</v>
      </c>
      <c r="B40" s="2058" t="s">
        <v>1468</v>
      </c>
      <c r="C40" s="2138" t="e">
        <f ca="1">ROUND(C39*(1-((1+F42)/(1+F40))^F41)/(F40-F42),0)</f>
        <v>#DIV/0!</v>
      </c>
      <c r="D40" s="2126" t="s">
        <v>1453</v>
      </c>
      <c r="E40" s="2066" t="s">
        <v>1454</v>
      </c>
      <c r="F40" s="2074">
        <f ca="1">INDIRECT("'数据-取费表'!I"&amp;$G$1)</f>
        <v>0</v>
      </c>
      <c r="G40" s="851"/>
      <c r="H40" s="2139"/>
      <c r="I40" s="2227"/>
      <c r="J40" s="2228"/>
      <c r="K40" s="2236"/>
      <c r="L40" s="2139"/>
      <c r="M40" s="2139"/>
    </row>
    <row r="41" spans="1:18" ht="18" customHeight="1">
      <c r="A41" s="2072"/>
      <c r="B41" s="2140"/>
      <c r="C41" s="2073"/>
      <c r="D41" s="2141" t="s">
        <v>1457</v>
      </c>
      <c r="E41" s="2066" t="s">
        <v>1458</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1461</v>
      </c>
      <c r="F42" s="2074">
        <f ca="1">INDIRECT("'数据-取费表'!v"&amp;$G$1)</f>
        <v>0</v>
      </c>
      <c r="G42" s="851"/>
      <c r="H42" s="2143"/>
      <c r="I42" s="2227"/>
      <c r="J42" s="2228"/>
      <c r="K42" s="2235"/>
      <c r="L42" s="2143"/>
      <c r="M42" s="2143"/>
    </row>
    <row r="43" spans="1:18" ht="18" customHeight="1">
      <c r="A43" s="2115" t="s">
        <v>1463</v>
      </c>
      <c r="B43" s="2145" t="s">
        <v>1469</v>
      </c>
      <c r="C43" s="2146" t="e">
        <f ca="1">ROUND(C40/F43,0)</f>
        <v>#DIV/0!</v>
      </c>
      <c r="D43" s="2147" t="s">
        <v>1470</v>
      </c>
      <c r="E43" s="2148" t="s">
        <v>1471</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1568</v>
      </c>
      <c r="B45" s="2150"/>
      <c r="C45" s="2153" t="e">
        <f ca="1">ROUND((C68-C40)/10000,4)</f>
        <v>#DIV/0!</v>
      </c>
      <c r="D45" s="2154" t="s">
        <v>1569</v>
      </c>
      <c r="E45" s="2150"/>
      <c r="F45" s="2150"/>
      <c r="O45" s="2238" t="s">
        <v>1472</v>
      </c>
      <c r="P45" s="2139"/>
      <c r="Q45" s="2139"/>
      <c r="R45" s="2139"/>
    </row>
    <row r="46" spans="1:18" s="851" customFormat="1">
      <c r="A46" s="2155" t="s">
        <v>1473</v>
      </c>
      <c r="C46" s="2156" t="e">
        <f ca="1">ROUND(C45,0)</f>
        <v>#DIV/0!</v>
      </c>
      <c r="D46" s="2157" t="str">
        <f>C2</f>
        <v>万元</v>
      </c>
      <c r="I46" s="2239" t="s">
        <v>1474</v>
      </c>
      <c r="J46" s="2240"/>
      <c r="K46" s="2241"/>
      <c r="L46" s="2242" t="e">
        <f ca="1">IF(M47="住宅",0,IF(L48&gt;J51,L60,J60))</f>
        <v>#DIV/0!</v>
      </c>
      <c r="O46" s="2243" t="s">
        <v>1475</v>
      </c>
      <c r="P46" s="2244" t="s">
        <v>1476</v>
      </c>
      <c r="Q46" s="2289" t="s">
        <v>1477</v>
      </c>
      <c r="R46" s="2289" t="s">
        <v>1478</v>
      </c>
    </row>
    <row r="47" spans="1:18" s="851" customFormat="1">
      <c r="A47" s="2158" t="s">
        <v>1379</v>
      </c>
      <c r="B47" s="2159" t="s">
        <v>1380</v>
      </c>
      <c r="C47" s="2159" t="s">
        <v>1381</v>
      </c>
      <c r="D47" s="2159" t="s">
        <v>1382</v>
      </c>
      <c r="E47" s="2160" t="s">
        <v>1383</v>
      </c>
      <c r="F47" s="1097"/>
      <c r="G47" s="2161"/>
      <c r="I47" s="2245" t="s">
        <v>1479</v>
      </c>
      <c r="J47" s="2246"/>
      <c r="K47" s="2247" t="s">
        <v>1481</v>
      </c>
      <c r="L47" s="2248">
        <f ca="1">INDIRECT("'数据-取费表'!d"&amp;$G$1)</f>
        <v>0</v>
      </c>
      <c r="M47" s="2249" t="str">
        <f>IF(ISNUMBER(FIND("住宅",C1)),"住宅","非住宅")</f>
        <v>非住宅</v>
      </c>
      <c r="O47" s="2250" t="s">
        <v>1012</v>
      </c>
      <c r="P47" s="2251" t="s">
        <v>1482</v>
      </c>
      <c r="Q47" s="2290" t="e">
        <f ca="1">C40+J29</f>
        <v>#DIV/0!</v>
      </c>
      <c r="R47" s="2290" t="s">
        <v>1483</v>
      </c>
    </row>
    <row r="48" spans="1:18" s="851" customFormat="1" ht="39.6">
      <c r="A48" s="2162" t="s">
        <v>1484</v>
      </c>
      <c r="B48" s="2058" t="s">
        <v>1384</v>
      </c>
      <c r="C48" s="1105">
        <f ca="1">C49+C53+C55</f>
        <v>0</v>
      </c>
      <c r="D48" s="2163"/>
      <c r="E48" s="2164"/>
      <c r="F48" s="2165"/>
      <c r="G48" s="2161"/>
      <c r="H48" s="2166"/>
      <c r="I48" s="2252" t="s">
        <v>1485</v>
      </c>
      <c r="J48" s="2253"/>
      <c r="K48" s="2254" t="s">
        <v>1487</v>
      </c>
      <c r="L48" s="2255">
        <f ca="1">INDIRECT("'数据-取费表'!f"&amp;$G$1)</f>
        <v>0</v>
      </c>
      <c r="O48" s="2250" t="s">
        <v>1014</v>
      </c>
      <c r="P48" s="2251" t="s">
        <v>1488</v>
      </c>
      <c r="Q48" s="2290" t="e">
        <f ca="1">J60</f>
        <v>#DIV/0!</v>
      </c>
      <c r="R48" s="2290" t="s">
        <v>1489</v>
      </c>
    </row>
    <row r="49" spans="1:18" s="851" customFormat="1">
      <c r="A49" s="2167" t="s">
        <v>1490</v>
      </c>
      <c r="B49" s="2168" t="s">
        <v>1491</v>
      </c>
      <c r="C49" s="2169">
        <f ca="1">ROUND(F49*F51*F50*(1-F52),0)</f>
        <v>0</v>
      </c>
      <c r="D49" s="2170" t="s">
        <v>1570</v>
      </c>
      <c r="E49" s="2171" t="s">
        <v>1492</v>
      </c>
      <c r="F49" s="2172"/>
      <c r="G49" s="2173"/>
      <c r="H49" s="2166"/>
      <c r="I49" s="2252" t="s">
        <v>1493</v>
      </c>
      <c r="J49" s="2256"/>
      <c r="K49" s="2254" t="s">
        <v>1494</v>
      </c>
      <c r="L49" s="2257"/>
      <c r="O49" s="2258" t="s">
        <v>1495</v>
      </c>
      <c r="P49" s="2251" t="s">
        <v>1496</v>
      </c>
      <c r="Q49" s="2290">
        <f ca="1">C29</f>
        <v>0</v>
      </c>
      <c r="R49" s="2290" t="s">
        <v>1483</v>
      </c>
    </row>
    <row r="50" spans="1:18" s="851" customFormat="1">
      <c r="A50" s="2174"/>
      <c r="B50" s="2175"/>
      <c r="C50" s="2176"/>
      <c r="D50" s="2177"/>
      <c r="E50" s="2178" t="s">
        <v>1390</v>
      </c>
      <c r="F50" s="2179">
        <f ca="1">F7</f>
        <v>0</v>
      </c>
      <c r="H50" s="2166"/>
      <c r="I50" s="2252" t="s">
        <v>1497</v>
      </c>
      <c r="J50" s="2259">
        <f>SUMPRODUCT((I63:I65=J47)*(J62:L62=J48)*(J63:L65))</f>
        <v>0</v>
      </c>
      <c r="K50" s="2254" t="s">
        <v>1498</v>
      </c>
      <c r="L50" s="2257"/>
      <c r="M50" s="2260"/>
      <c r="O50" s="2258" t="s">
        <v>1499</v>
      </c>
      <c r="P50" s="2251" t="s">
        <v>1500</v>
      </c>
      <c r="Q50" s="2291" t="e">
        <f ca="1">J58</f>
        <v>#DIV/0!</v>
      </c>
      <c r="R50" s="2290"/>
    </row>
    <row r="51" spans="1:18" s="851" customFormat="1">
      <c r="A51" s="2180"/>
      <c r="B51" s="2175"/>
      <c r="C51" s="2176"/>
      <c r="D51" s="2177"/>
      <c r="E51" s="2181" t="s">
        <v>1391</v>
      </c>
      <c r="F51" s="2067">
        <f ca="1">F8</f>
        <v>0</v>
      </c>
      <c r="I51" s="2261" t="s">
        <v>1501</v>
      </c>
      <c r="J51" s="2262">
        <f>IF(J49="",J50,J49+J50-YEAR('数据-取费表'!B2))</f>
        <v>0</v>
      </c>
      <c r="K51" s="2263" t="s">
        <v>1502</v>
      </c>
      <c r="L51" s="2264">
        <f ca="1">ROUND(-PV(INDIRECT("'数据-取费表'!h"&amp;$G$1),J51,(C39-C13*C76),0),0)</f>
        <v>0</v>
      </c>
      <c r="M51" s="2265"/>
      <c r="O51" s="2258" t="s">
        <v>1503</v>
      </c>
      <c r="P51" s="2251" t="s">
        <v>1504</v>
      </c>
      <c r="Q51" s="2291">
        <f>J52</f>
        <v>0</v>
      </c>
      <c r="R51" s="2290"/>
    </row>
    <row r="52" spans="1:18" s="851" customFormat="1">
      <c r="A52" s="2180"/>
      <c r="B52" s="2175"/>
      <c r="C52" s="2176"/>
      <c r="D52" s="2177"/>
      <c r="E52" s="2181" t="s">
        <v>1392</v>
      </c>
      <c r="F52" s="2182"/>
      <c r="I52" s="2266" t="s">
        <v>1505</v>
      </c>
      <c r="J52" s="2267"/>
      <c r="K52" s="2266" t="s">
        <v>1506</v>
      </c>
      <c r="L52" s="2267"/>
      <c r="O52" s="2258" t="s">
        <v>1507</v>
      </c>
      <c r="P52" s="2251" t="s">
        <v>1508</v>
      </c>
      <c r="Q52" s="2290">
        <f ca="1">J53</f>
        <v>0</v>
      </c>
      <c r="R52" s="2290" t="s">
        <v>1509</v>
      </c>
    </row>
    <row r="53" spans="1:18" s="851" customFormat="1" ht="30.75" customHeight="1">
      <c r="A53" s="2183" t="s">
        <v>1510</v>
      </c>
      <c r="B53" s="2107" t="s">
        <v>1393</v>
      </c>
      <c r="C53" s="1103">
        <f ca="1">ROUND(IF(F53="押一",C49/12*F11,IF(F53="押二",C49/12*2*F11,IF(F53="押三",C49/12*3*F11,C54*F11))),0)</f>
        <v>0</v>
      </c>
      <c r="D53" s="2076" t="s">
        <v>1571</v>
      </c>
      <c r="E53" s="2077" t="s">
        <v>1395</v>
      </c>
      <c r="F53" s="2078"/>
      <c r="I53" s="2268" t="s">
        <v>1511</v>
      </c>
      <c r="J53" s="2269">
        <f ca="1">IF(M47="住宅",IF(D1="——",MAX(J51,L48),MAX(J51,L48-'数据-取费表'!B24)),IF(D1="——",MIN(J51,L48),MIN(J51,L48-'数据-取费表'!B24)))</f>
        <v>0</v>
      </c>
      <c r="K53" s="3856" t="s">
        <v>1512</v>
      </c>
      <c r="L53" s="3857"/>
      <c r="O53" s="2250" t="s">
        <v>1105</v>
      </c>
      <c r="P53" s="2251" t="s">
        <v>1513</v>
      </c>
      <c r="Q53" s="2290" t="e">
        <f ca="1">Q47+Q48</f>
        <v>#DIV/0!</v>
      </c>
      <c r="R53" s="2290" t="s">
        <v>1514</v>
      </c>
    </row>
    <row r="54" spans="1:18" s="851" customFormat="1">
      <c r="A54" s="2167"/>
      <c r="B54" s="2184" t="s">
        <v>1567</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1515</v>
      </c>
      <c r="P54" s="2272"/>
      <c r="Q54" s="2272"/>
      <c r="R54" s="2272"/>
    </row>
    <row r="55" spans="1:18" s="851" customFormat="1">
      <c r="A55" s="2084" t="s">
        <v>954</v>
      </c>
      <c r="B55" s="2085" t="s">
        <v>1398</v>
      </c>
      <c r="C55" s="2086"/>
      <c r="D55" s="2076"/>
      <c r="E55" s="2185"/>
      <c r="F55" s="2186"/>
      <c r="I55" s="2273" t="s">
        <v>1516</v>
      </c>
      <c r="J55" s="2274" t="e">
        <f ca="1">ROUND(IF(J47="钢混",J57/J50,1-(1-2%)*(J50-J57)/J50),3)</f>
        <v>#DIV/0!</v>
      </c>
      <c r="K55" s="2275" t="s">
        <v>1517</v>
      </c>
      <c r="L55" s="2276"/>
      <c r="O55" s="2243" t="s">
        <v>1475</v>
      </c>
      <c r="P55" s="2244" t="s">
        <v>1476</v>
      </c>
      <c r="Q55" s="2289" t="s">
        <v>1477</v>
      </c>
      <c r="R55" s="2289" t="s">
        <v>1478</v>
      </c>
    </row>
    <row r="56" spans="1:18" s="851" customFormat="1" ht="36" customHeight="1">
      <c r="A56" s="2187">
        <v>2</v>
      </c>
      <c r="B56" s="2188" t="s">
        <v>1399</v>
      </c>
      <c r="C56" s="504">
        <f ca="1">C13</f>
        <v>0</v>
      </c>
      <c r="D56" s="2189"/>
      <c r="E56" s="2190"/>
      <c r="F56" s="2186"/>
      <c r="I56" s="2277" t="s">
        <v>1518</v>
      </c>
      <c r="J56" s="2278"/>
      <c r="K56" s="2252" t="s">
        <v>1520</v>
      </c>
      <c r="L56" s="2255">
        <f ca="1">IF(L48&lt;J51,"——",L48-J51)</f>
        <v>0</v>
      </c>
      <c r="O56" s="2250" t="s">
        <v>1012</v>
      </c>
      <c r="P56" s="2251" t="s">
        <v>1482</v>
      </c>
      <c r="Q56" s="2290" t="e">
        <f ca="1">C40+J29</f>
        <v>#DIV/0!</v>
      </c>
      <c r="R56" s="2290" t="s">
        <v>1483</v>
      </c>
    </row>
    <row r="57" spans="1:18" s="851" customFormat="1" ht="24">
      <c r="A57" s="2191"/>
      <c r="B57" s="2192" t="s">
        <v>1462</v>
      </c>
      <c r="C57" s="514">
        <f ca="1">C29</f>
        <v>0</v>
      </c>
      <c r="D57" s="2193"/>
      <c r="E57" s="2194"/>
      <c r="F57" s="2195"/>
      <c r="I57" s="2279" t="s">
        <v>1521</v>
      </c>
      <c r="J57" s="2280">
        <f ca="1">IF(OR(M47="住宅",J51&lt;L48,J56="是"),"——",J51-L48)</f>
        <v>0</v>
      </c>
      <c r="K57" s="2252" t="s">
        <v>1572</v>
      </c>
      <c r="L57" s="2255">
        <f ca="1">IF(L48&lt;J51,"——",IF(L55="比较法",L49,IF(L55="基准地价",L50,L51)))</f>
        <v>0</v>
      </c>
      <c r="O57" s="2250" t="s">
        <v>1014</v>
      </c>
      <c r="P57" s="2251" t="s">
        <v>1523</v>
      </c>
      <c r="Q57" s="2290" t="e">
        <f ca="1">L60</f>
        <v>#DIV/0!</v>
      </c>
      <c r="R57" s="2290" t="s">
        <v>1524</v>
      </c>
    </row>
    <row r="58" spans="1:18" s="851" customFormat="1" ht="24">
      <c r="A58" s="2196" t="s">
        <v>1407</v>
      </c>
      <c r="B58" s="2188" t="s">
        <v>1408</v>
      </c>
      <c r="C58" s="1103">
        <f ca="1">ROUND(C59+C64+C65+C66,0)</f>
        <v>0</v>
      </c>
      <c r="D58" s="2197" t="s">
        <v>1409</v>
      </c>
      <c r="E58" s="2198"/>
      <c r="F58" s="2165"/>
      <c r="I58" s="2279" t="s">
        <v>1525</v>
      </c>
      <c r="J58" s="2281" t="e">
        <f ca="1">IF(J55&lt;0.4,0.4,J55)</f>
        <v>#DIV/0!</v>
      </c>
      <c r="K58" s="2263" t="s">
        <v>1573</v>
      </c>
      <c r="L58" s="2255" t="e">
        <f ca="1">ROUND(POWER(1+L52,L47-L48)*(POWER(1+L52,L48)-1)/(POWER(1+L52,L47)-1),4)</f>
        <v>#DIV/0!</v>
      </c>
      <c r="O58" s="2258" t="s">
        <v>1495</v>
      </c>
      <c r="P58" s="2251" t="s">
        <v>1527</v>
      </c>
      <c r="Q58" s="2290">
        <f>IF(L55="比较法",L49,IF(L55="基准地价",L50,0))</f>
        <v>0</v>
      </c>
      <c r="R58" s="2290" t="s">
        <v>1483</v>
      </c>
    </row>
    <row r="59" spans="1:18" s="851" customFormat="1" ht="24">
      <c r="A59" s="2095" t="s">
        <v>904</v>
      </c>
      <c r="B59" s="2192" t="s">
        <v>1414</v>
      </c>
      <c r="C59" s="2119">
        <f ca="1">ROUND(IF(AND(项目基本情况!B11="自然人",项目基本情况!B10="北京市"),C49*F59/(1+'数据-取费表'!C42),C60+C61+C62),0)</f>
        <v>0</v>
      </c>
      <c r="D59" s="2199" t="s">
        <v>1415</v>
      </c>
      <c r="E59" s="2200" t="s">
        <v>1416</v>
      </c>
      <c r="F59" s="2121" t="str">
        <f>IF(项目基本情况!B11="企业","——",IF('数据-取费表'!B10="住宅",IF(F49*F50*F51/12/(1+'数据-取费表'!F30)&gt;100000,4%,2.5%),IF(F49*F50*F51/12/(1+'数据-取费表'!F30)&gt;100000,12%,7%)))</f>
        <v>——</v>
      </c>
      <c r="I59" s="2279" t="s">
        <v>1528</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1499</v>
      </c>
      <c r="P59" s="2251" t="s">
        <v>1529</v>
      </c>
      <c r="Q59" s="2291">
        <f>L52</f>
        <v>0</v>
      </c>
      <c r="R59" s="2290"/>
    </row>
    <row r="60" spans="1:18" s="851" customFormat="1" ht="15.6">
      <c r="A60" s="2095" t="s">
        <v>927</v>
      </c>
      <c r="B60" s="2192" t="s">
        <v>1418</v>
      </c>
      <c r="C60" s="1104">
        <f ca="1">IF(项目基本情况!B11="自然人","——",ROUND(C48*F60/(1+'数据-取费表'!C42),0))</f>
        <v>0</v>
      </c>
      <c r="D60" s="2200" t="s">
        <v>1419</v>
      </c>
      <c r="E60" s="2192" t="s">
        <v>1406</v>
      </c>
      <c r="F60" s="2111">
        <f t="shared" ref="F60:F66" si="0">F32</f>
        <v>5.6000000000000001E-2</v>
      </c>
      <c r="I60" s="2282" t="s">
        <v>1530</v>
      </c>
      <c r="J60" s="2283" t="e">
        <f ca="1">IF(OR(M47="住宅",J51&lt;L48,J56="是"),"0",ROUND(J59/(1+J52)^J53,0))</f>
        <v>#DIV/0!</v>
      </c>
      <c r="K60" s="2284" t="s">
        <v>1531</v>
      </c>
      <c r="L60" s="2283" t="e">
        <f ca="1">IF(OR(M47="住宅",L48&lt;J51),0,ROUND(L57*(L58/L59-1),0))</f>
        <v>#DIV/0!</v>
      </c>
      <c r="O60" s="2258" t="s">
        <v>1503</v>
      </c>
      <c r="P60" s="2251" t="s">
        <v>1532</v>
      </c>
      <c r="Q60" s="2290" t="e">
        <f ca="1">L58</f>
        <v>#DIV/0!</v>
      </c>
      <c r="R60" s="2290" t="s">
        <v>1533</v>
      </c>
    </row>
    <row r="61" spans="1:18" s="851" customFormat="1">
      <c r="A61" s="2095" t="s">
        <v>931</v>
      </c>
      <c r="B61" s="2192" t="s">
        <v>1422</v>
      </c>
      <c r="C61" s="1104">
        <f ca="1">IF(项目基本情况!B11="自然人","——",IF(D61="按租金收入计税",ROUND(C49*F61/(1+'数据-取费表'!C42),0),IF(D61="按房产原值计税",ROUND(C57*F61*0.7,0),INDIRECT("'数据-取费表'!Aj"&amp;$G$1))))</f>
        <v>0</v>
      </c>
      <c r="D61" s="2123" t="s">
        <v>1423</v>
      </c>
      <c r="E61" s="2192" t="s">
        <v>1406</v>
      </c>
      <c r="F61" s="2104">
        <f t="shared" si="0"/>
        <v>0.12</v>
      </c>
      <c r="I61" s="2139"/>
      <c r="J61" s="2139"/>
      <c r="K61" s="2139"/>
      <c r="L61" s="2139"/>
      <c r="O61" s="2258" t="s">
        <v>1507</v>
      </c>
      <c r="P61" s="2251" t="str">
        <f>K59</f>
        <v>建筑物剩余耐用年限下的土地年期修正系数Kn</v>
      </c>
      <c r="Q61" s="2290" t="e">
        <f ca="1">L59</f>
        <v>#DIV/0!</v>
      </c>
      <c r="R61" s="2290" t="s">
        <v>1534</v>
      </c>
    </row>
    <row r="62" spans="1:18" s="851" customFormat="1">
      <c r="A62" s="2095" t="s">
        <v>934</v>
      </c>
      <c r="B62" s="2201" t="s">
        <v>1426</v>
      </c>
      <c r="C62" s="2125">
        <f ca="1">IF(项目基本情况!B11="自然人","——",ROUND(F62*F63,0))</f>
        <v>0</v>
      </c>
      <c r="D62" s="2202" t="s">
        <v>1427</v>
      </c>
      <c r="E62" s="2192" t="s">
        <v>1428</v>
      </c>
      <c r="F62" s="2110">
        <f t="shared" si="0"/>
        <v>24</v>
      </c>
      <c r="I62" s="2285" t="s">
        <v>1535</v>
      </c>
      <c r="J62" s="2286" t="s">
        <v>1536</v>
      </c>
      <c r="K62" s="2286" t="s">
        <v>1537</v>
      </c>
      <c r="L62" s="2286" t="s">
        <v>1538</v>
      </c>
      <c r="M62" s="2287" t="s">
        <v>1539</v>
      </c>
      <c r="O62" s="2250" t="s">
        <v>1105</v>
      </c>
      <c r="P62" s="2251" t="s">
        <v>1513</v>
      </c>
      <c r="Q62" s="2290" t="e">
        <f ca="1">Q56+Q57</f>
        <v>#DIV/0!</v>
      </c>
      <c r="R62" s="2290" t="s">
        <v>1514</v>
      </c>
    </row>
    <row r="63" spans="1:18" s="851" customFormat="1">
      <c r="A63" s="2108"/>
      <c r="B63" s="2203"/>
      <c r="C63" s="2129"/>
      <c r="D63" s="2204"/>
      <c r="E63" s="2192" t="s">
        <v>1432</v>
      </c>
      <c r="F63" s="2067">
        <f t="shared" ca="1" si="0"/>
        <v>0</v>
      </c>
      <c r="I63" s="2285" t="s">
        <v>1540</v>
      </c>
      <c r="J63" s="2286">
        <v>70</v>
      </c>
      <c r="K63" s="2286">
        <v>50</v>
      </c>
      <c r="L63" s="2286">
        <v>80</v>
      </c>
      <c r="M63" s="2288">
        <v>0.02</v>
      </c>
      <c r="O63" s="2238" t="s">
        <v>1541</v>
      </c>
      <c r="P63" s="2272"/>
      <c r="Q63" s="2272"/>
      <c r="R63" s="2272"/>
    </row>
    <row r="64" spans="1:18" s="851" customFormat="1">
      <c r="A64" s="2095" t="s">
        <v>908</v>
      </c>
      <c r="B64" s="2192" t="s">
        <v>1434</v>
      </c>
      <c r="C64" s="1104">
        <f ca="1">ROUND(C57*F64,0)</f>
        <v>0</v>
      </c>
      <c r="D64" s="2200" t="s">
        <v>1467</v>
      </c>
      <c r="E64" s="2192" t="s">
        <v>1406</v>
      </c>
      <c r="F64" s="2132">
        <f t="shared" ca="1" si="0"/>
        <v>0</v>
      </c>
      <c r="I64" s="2285" t="s">
        <v>1542</v>
      </c>
      <c r="J64" s="2286">
        <v>50</v>
      </c>
      <c r="K64" s="2286">
        <v>35</v>
      </c>
      <c r="L64" s="2286">
        <v>60</v>
      </c>
      <c r="M64" s="2287">
        <v>0</v>
      </c>
      <c r="O64" s="2243" t="s">
        <v>1475</v>
      </c>
      <c r="P64" s="2244" t="s">
        <v>1476</v>
      </c>
      <c r="Q64" s="2289" t="s">
        <v>1477</v>
      </c>
      <c r="R64" s="2289" t="s">
        <v>1478</v>
      </c>
    </row>
    <row r="65" spans="1:18" s="851" customFormat="1">
      <c r="A65" s="2095" t="s">
        <v>954</v>
      </c>
      <c r="B65" s="2192" t="s">
        <v>1438</v>
      </c>
      <c r="C65" s="1104">
        <f ca="1">ROUND(C56*F65,0)</f>
        <v>0</v>
      </c>
      <c r="D65" s="2200" t="s">
        <v>1439</v>
      </c>
      <c r="E65" s="2192" t="s">
        <v>1406</v>
      </c>
      <c r="F65" s="2133">
        <f t="shared" ca="1" si="0"/>
        <v>0</v>
      </c>
      <c r="I65" s="2285" t="s">
        <v>1543</v>
      </c>
      <c r="J65" s="2286">
        <v>40</v>
      </c>
      <c r="K65" s="2286">
        <v>30</v>
      </c>
      <c r="L65" s="2286">
        <v>50</v>
      </c>
      <c r="M65" s="2288">
        <v>0.02</v>
      </c>
      <c r="O65" s="2250" t="s">
        <v>1012</v>
      </c>
      <c r="P65" s="2251" t="s">
        <v>1482</v>
      </c>
      <c r="Q65" s="2290" t="e">
        <f ca="1">C40+J29</f>
        <v>#DIV/0!</v>
      </c>
      <c r="R65" s="2290" t="s">
        <v>1483</v>
      </c>
    </row>
    <row r="66" spans="1:18" s="851" customFormat="1" ht="15.6">
      <c r="A66" s="2095" t="s">
        <v>958</v>
      </c>
      <c r="B66" s="2192" t="s">
        <v>1424</v>
      </c>
      <c r="C66" s="1104">
        <f ca="1">ROUND(C48*F66,0)</f>
        <v>0</v>
      </c>
      <c r="D66" s="2200" t="s">
        <v>1442</v>
      </c>
      <c r="E66" s="2192" t="s">
        <v>1406</v>
      </c>
      <c r="F66" s="2074">
        <f t="shared" ca="1" si="0"/>
        <v>0</v>
      </c>
      <c r="O66" s="2250" t="s">
        <v>1014</v>
      </c>
      <c r="P66" s="2251" t="s">
        <v>1523</v>
      </c>
      <c r="Q66" s="2290" t="e">
        <f ca="1">L60</f>
        <v>#DIV/0!</v>
      </c>
      <c r="R66" s="2290" t="s">
        <v>1524</v>
      </c>
    </row>
    <row r="67" spans="1:18" s="851" customFormat="1" ht="24">
      <c r="A67" s="2187" t="s">
        <v>1445</v>
      </c>
      <c r="B67" s="2292" t="s">
        <v>1446</v>
      </c>
      <c r="C67" s="1103">
        <f ca="1">C48-C58</f>
        <v>0</v>
      </c>
      <c r="D67" s="2199" t="s">
        <v>1447</v>
      </c>
      <c r="E67" s="2293"/>
      <c r="F67" s="2294"/>
      <c r="O67" s="2258" t="s">
        <v>1495</v>
      </c>
      <c r="P67" s="2251" t="s">
        <v>1527</v>
      </c>
      <c r="Q67" s="2314">
        <f ca="1">L51</f>
        <v>0</v>
      </c>
      <c r="R67" s="2290" t="s">
        <v>1544</v>
      </c>
    </row>
    <row r="68" spans="1:18" s="851" customFormat="1" ht="15.6">
      <c r="A68" s="2295" t="s">
        <v>1451</v>
      </c>
      <c r="B68" s="2296" t="s">
        <v>1468</v>
      </c>
      <c r="C68" s="2138" t="e">
        <f ca="1">ROUND(C67*(1-((1+F70)/(1+F68))^F69)/(F68-F70),0)</f>
        <v>#DIV/0!</v>
      </c>
      <c r="D68" s="2202" t="s">
        <v>1453</v>
      </c>
      <c r="E68" s="2192" t="s">
        <v>1454</v>
      </c>
      <c r="F68" s="2074">
        <f ca="1">F40</f>
        <v>0</v>
      </c>
      <c r="O68" s="2258" t="s">
        <v>1499</v>
      </c>
      <c r="P68" s="2313" t="s">
        <v>1545</v>
      </c>
      <c r="Q68" s="2290">
        <f ca="1">ROUND(Q69-Q70*Q71,0)</f>
        <v>0</v>
      </c>
      <c r="R68" s="2290" t="s">
        <v>1546</v>
      </c>
    </row>
    <row r="69" spans="1:18" s="851" customFormat="1">
      <c r="A69" s="2297"/>
      <c r="B69" s="2298"/>
      <c r="C69" s="2073"/>
      <c r="D69" s="2299" t="s">
        <v>1457</v>
      </c>
      <c r="E69" s="2192" t="s">
        <v>1458</v>
      </c>
      <c r="F69" s="2142">
        <f ca="1">F41</f>
        <v>0</v>
      </c>
      <c r="O69" s="2258" t="s">
        <v>1547</v>
      </c>
      <c r="P69" s="2313" t="s">
        <v>1548</v>
      </c>
      <c r="Q69" s="2290">
        <f ca="1">C39</f>
        <v>0</v>
      </c>
      <c r="R69" s="2290" t="s">
        <v>1483</v>
      </c>
    </row>
    <row r="70" spans="1:18" s="851" customFormat="1">
      <c r="A70" s="2300"/>
      <c r="B70" s="2301"/>
      <c r="C70" s="2092"/>
      <c r="D70" s="2204"/>
      <c r="E70" s="2192" t="s">
        <v>1461</v>
      </c>
      <c r="F70" s="2182"/>
      <c r="O70" s="2258" t="s">
        <v>1549</v>
      </c>
      <c r="P70" s="2313" t="s">
        <v>1550</v>
      </c>
      <c r="Q70" s="2290">
        <f ca="1">C13</f>
        <v>0</v>
      </c>
      <c r="R70" s="2290" t="s">
        <v>1483</v>
      </c>
    </row>
    <row r="71" spans="1:18" s="851" customFormat="1">
      <c r="A71" s="2302" t="s">
        <v>1463</v>
      </c>
      <c r="B71" s="2303" t="s">
        <v>1469</v>
      </c>
      <c r="C71" s="2146" t="e">
        <f ca="1">ROUND(C68/F71,0)</f>
        <v>#DIV/0!</v>
      </c>
      <c r="D71" s="2304" t="s">
        <v>1470</v>
      </c>
      <c r="E71" s="2305" t="s">
        <v>1471</v>
      </c>
      <c r="F71" s="2149">
        <f ca="1">F43</f>
        <v>0</v>
      </c>
      <c r="O71" s="2258" t="s">
        <v>1551</v>
      </c>
      <c r="P71" s="2313" t="s">
        <v>1552</v>
      </c>
      <c r="Q71" s="2291">
        <f ca="1">C76</f>
        <v>0</v>
      </c>
      <c r="R71" s="2290"/>
    </row>
    <row r="72" spans="1:18" s="851" customFormat="1">
      <c r="B72" s="1137"/>
      <c r="C72" s="1137"/>
      <c r="O72" s="2258" t="s">
        <v>1503</v>
      </c>
      <c r="P72" s="2251" t="s">
        <v>1529</v>
      </c>
      <c r="Q72" s="2291">
        <f>L52</f>
        <v>0</v>
      </c>
      <c r="R72" s="2290"/>
    </row>
    <row r="73" spans="1:18" ht="15.6">
      <c r="A73" s="851"/>
      <c r="B73" s="1137"/>
      <c r="C73" s="1137"/>
      <c r="D73" s="851"/>
      <c r="E73" s="851"/>
      <c r="F73" s="851"/>
      <c r="O73" s="2258" t="s">
        <v>1507</v>
      </c>
      <c r="P73" s="2251" t="s">
        <v>1532</v>
      </c>
      <c r="Q73" s="2290" t="e">
        <f ca="1">L58</f>
        <v>#DIV/0!</v>
      </c>
      <c r="R73" s="2290" t="s">
        <v>1533</v>
      </c>
    </row>
    <row r="74" spans="1:18">
      <c r="A74" s="851"/>
      <c r="B74" s="546" t="s">
        <v>1553</v>
      </c>
      <c r="C74" s="2306"/>
      <c r="D74" s="851"/>
      <c r="E74" s="851"/>
      <c r="F74" s="851"/>
      <c r="O74" s="2258" t="s">
        <v>1554</v>
      </c>
      <c r="P74" s="2251" t="str">
        <f>K59</f>
        <v>建筑物剩余耐用年限下的土地年期修正系数Kn</v>
      </c>
      <c r="Q74" s="2290" t="e">
        <f ca="1">L59</f>
        <v>#DIV/0!</v>
      </c>
      <c r="R74" s="2290" t="s">
        <v>1534</v>
      </c>
    </row>
    <row r="75" spans="1:18">
      <c r="A75" s="851"/>
      <c r="B75" s="2307" t="s">
        <v>1555</v>
      </c>
      <c r="C75" s="2308">
        <f ca="1">ROUND(C13*C76,0)</f>
        <v>0</v>
      </c>
      <c r="D75" s="851"/>
      <c r="E75" s="851"/>
      <c r="F75" s="851"/>
      <c r="K75" s="2237"/>
      <c r="L75" s="851"/>
      <c r="O75" s="2250" t="s">
        <v>1105</v>
      </c>
      <c r="P75" s="2251" t="s">
        <v>1513</v>
      </c>
      <c r="Q75" s="2290" t="e">
        <f ca="1">Q65+Q66</f>
        <v>#DIV/0!</v>
      </c>
      <c r="R75" s="2290" t="s">
        <v>1514</v>
      </c>
    </row>
    <row r="76" spans="1:18">
      <c r="B76" s="636" t="s">
        <v>1556</v>
      </c>
      <c r="C76" s="2309">
        <f ca="1">INDIRECT("'数据-取费表'!j"&amp;$G$1)</f>
        <v>0</v>
      </c>
      <c r="I76" s="851"/>
      <c r="J76" s="851"/>
      <c r="K76" s="2237"/>
      <c r="L76" s="851"/>
    </row>
    <row r="77" spans="1:18">
      <c r="B77" s="2310" t="s">
        <v>1557</v>
      </c>
      <c r="C77" s="2311"/>
      <c r="I77" s="851"/>
      <c r="J77" s="851"/>
      <c r="K77" s="2237"/>
      <c r="L77" s="851"/>
    </row>
    <row r="78" spans="1:18">
      <c r="B78" s="544" t="s">
        <v>1558</v>
      </c>
      <c r="C78" s="2312"/>
    </row>
    <row r="79" spans="1:18">
      <c r="B79" s="2307" t="s">
        <v>1559</v>
      </c>
      <c r="C79" s="547" t="e">
        <f ca="1">1-C80</f>
        <v>#DIV/0!</v>
      </c>
    </row>
    <row r="80" spans="1:18">
      <c r="B80" s="2307" t="s">
        <v>1560</v>
      </c>
      <c r="C80" s="547" t="e">
        <f ca="1">ROUND(C75/C39,3)</f>
        <v>#DIV/0!</v>
      </c>
    </row>
    <row r="81" spans="2:3">
      <c r="B81" s="544" t="s">
        <v>1561</v>
      </c>
      <c r="C81" s="514"/>
    </row>
    <row r="82" spans="2:3">
      <c r="B82" s="546" t="s">
        <v>1087</v>
      </c>
      <c r="C82" s="548" t="e">
        <f ca="1">1-C83</f>
        <v>#DIV/0!</v>
      </c>
    </row>
    <row r="83" spans="2:3">
      <c r="B83" s="546" t="s">
        <v>1088</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858" customWidth="1"/>
    <col min="2" max="2" width="8.88671875" style="1858"/>
    <col min="3" max="5" width="12.88671875" style="1858" customWidth="1"/>
    <col min="6" max="6" width="47.44140625" style="1858" customWidth="1"/>
    <col min="7" max="7" width="13" style="1859" customWidth="1"/>
    <col min="8" max="8" width="8.88671875" style="1860"/>
    <col min="9" max="9" width="8.88671875" style="1861"/>
    <col min="10" max="10" width="5.77734375" style="1862" customWidth="1"/>
    <col min="11" max="11" width="11.77734375" style="1862" customWidth="1"/>
    <col min="12" max="13" width="10.77734375" style="1862" customWidth="1"/>
    <col min="14" max="14" width="10" style="1862" customWidth="1"/>
    <col min="15" max="16" width="10.44140625" style="1862" customWidth="1"/>
    <col min="17" max="17" width="10" style="1862" customWidth="1"/>
    <col min="18" max="18" width="10.109375" style="1862" customWidth="1"/>
    <col min="19" max="19" width="10" style="1862" customWidth="1"/>
    <col min="20" max="20" width="26.109375" style="1862" customWidth="1"/>
    <col min="21" max="21" width="8.88671875" style="1862"/>
    <col min="22" max="22" width="8.88671875" style="1861"/>
    <col min="23" max="256" width="8.88671875" style="1858"/>
    <col min="257" max="257" width="9.44140625" style="1858" customWidth="1"/>
    <col min="258" max="258" width="8.88671875" style="1858"/>
    <col min="259" max="261" width="12.88671875" style="1858" customWidth="1"/>
    <col min="262" max="262" width="47.44140625" style="1858" customWidth="1"/>
    <col min="263" max="263" width="13" style="1858" customWidth="1"/>
    <col min="264" max="265" width="8.88671875" style="1858"/>
    <col min="266" max="266" width="5.77734375" style="1858" customWidth="1"/>
    <col min="267" max="267" width="11.77734375" style="1858" customWidth="1"/>
    <col min="268" max="269" width="10.77734375" style="1858" customWidth="1"/>
    <col min="270" max="270" width="10" style="1858" customWidth="1"/>
    <col min="271" max="272" width="10.44140625" style="1858" customWidth="1"/>
    <col min="273" max="273" width="10" style="1858" customWidth="1"/>
    <col min="274" max="274" width="10.109375" style="1858" customWidth="1"/>
    <col min="275" max="275" width="10" style="1858" customWidth="1"/>
    <col min="276" max="276" width="26.109375" style="1858" customWidth="1"/>
    <col min="277" max="512" width="8.88671875" style="1858"/>
    <col min="513" max="513" width="9.44140625" style="1858" customWidth="1"/>
    <col min="514" max="514" width="8.88671875" style="1858"/>
    <col min="515" max="517" width="12.88671875" style="1858" customWidth="1"/>
    <col min="518" max="518" width="47.44140625" style="1858" customWidth="1"/>
    <col min="519" max="519" width="13" style="1858" customWidth="1"/>
    <col min="520" max="521" width="8.88671875" style="1858"/>
    <col min="522" max="522" width="5.77734375" style="1858" customWidth="1"/>
    <col min="523" max="523" width="11.77734375" style="1858" customWidth="1"/>
    <col min="524" max="525" width="10.77734375" style="1858" customWidth="1"/>
    <col min="526" max="526" width="10" style="1858" customWidth="1"/>
    <col min="527" max="528" width="10.44140625" style="1858" customWidth="1"/>
    <col min="529" max="529" width="10" style="1858" customWidth="1"/>
    <col min="530" max="530" width="10.109375" style="1858" customWidth="1"/>
    <col min="531" max="531" width="10" style="1858" customWidth="1"/>
    <col min="532" max="532" width="26.109375" style="1858" customWidth="1"/>
    <col min="533" max="768" width="8.88671875" style="1858"/>
    <col min="769" max="769" width="9.44140625" style="1858" customWidth="1"/>
    <col min="770" max="770" width="8.88671875" style="1858"/>
    <col min="771" max="773" width="12.88671875" style="1858" customWidth="1"/>
    <col min="774" max="774" width="47.44140625" style="1858" customWidth="1"/>
    <col min="775" max="775" width="13" style="1858" customWidth="1"/>
    <col min="776" max="777" width="8.88671875" style="1858"/>
    <col min="778" max="778" width="5.77734375" style="1858" customWidth="1"/>
    <col min="779" max="779" width="11.77734375" style="1858" customWidth="1"/>
    <col min="780" max="781" width="10.77734375" style="1858" customWidth="1"/>
    <col min="782" max="782" width="10" style="1858" customWidth="1"/>
    <col min="783" max="784" width="10.44140625" style="1858" customWidth="1"/>
    <col min="785" max="785" width="10" style="1858" customWidth="1"/>
    <col min="786" max="786" width="10.109375" style="1858" customWidth="1"/>
    <col min="787" max="787" width="10" style="1858" customWidth="1"/>
    <col min="788" max="788" width="26.109375" style="1858" customWidth="1"/>
    <col min="789" max="1024" width="8.88671875" style="1858"/>
    <col min="1025" max="1025" width="9.44140625" style="1858" customWidth="1"/>
    <col min="1026" max="1026" width="8.88671875" style="1858"/>
    <col min="1027" max="1029" width="12.88671875" style="1858" customWidth="1"/>
    <col min="1030" max="1030" width="47.44140625" style="1858" customWidth="1"/>
    <col min="1031" max="1031" width="13" style="1858" customWidth="1"/>
    <col min="1032" max="1033" width="8.88671875" style="1858"/>
    <col min="1034" max="1034" width="5.77734375" style="1858" customWidth="1"/>
    <col min="1035" max="1035" width="11.77734375" style="1858" customWidth="1"/>
    <col min="1036" max="1037" width="10.77734375" style="1858" customWidth="1"/>
    <col min="1038" max="1038" width="10" style="1858" customWidth="1"/>
    <col min="1039" max="1040" width="10.44140625" style="1858" customWidth="1"/>
    <col min="1041" max="1041" width="10" style="1858" customWidth="1"/>
    <col min="1042" max="1042" width="10.109375" style="1858" customWidth="1"/>
    <col min="1043" max="1043" width="10" style="1858" customWidth="1"/>
    <col min="1044" max="1044" width="26.109375" style="1858" customWidth="1"/>
    <col min="1045" max="1280" width="8.88671875" style="1858"/>
    <col min="1281" max="1281" width="9.44140625" style="1858" customWidth="1"/>
    <col min="1282" max="1282" width="8.88671875" style="1858"/>
    <col min="1283" max="1285" width="12.88671875" style="1858" customWidth="1"/>
    <col min="1286" max="1286" width="47.44140625" style="1858" customWidth="1"/>
    <col min="1287" max="1287" width="13" style="1858" customWidth="1"/>
    <col min="1288" max="1289" width="8.88671875" style="1858"/>
    <col min="1290" max="1290" width="5.77734375" style="1858" customWidth="1"/>
    <col min="1291" max="1291" width="11.77734375" style="1858" customWidth="1"/>
    <col min="1292" max="1293" width="10.77734375" style="1858" customWidth="1"/>
    <col min="1294" max="1294" width="10" style="1858" customWidth="1"/>
    <col min="1295" max="1296" width="10.44140625" style="1858" customWidth="1"/>
    <col min="1297" max="1297" width="10" style="1858" customWidth="1"/>
    <col min="1298" max="1298" width="10.109375" style="1858" customWidth="1"/>
    <col min="1299" max="1299" width="10" style="1858" customWidth="1"/>
    <col min="1300" max="1300" width="26.109375" style="1858" customWidth="1"/>
    <col min="1301" max="1536" width="8.88671875" style="1858"/>
    <col min="1537" max="1537" width="9.44140625" style="1858" customWidth="1"/>
    <col min="1538" max="1538" width="8.88671875" style="1858"/>
    <col min="1539" max="1541" width="12.88671875" style="1858" customWidth="1"/>
    <col min="1542" max="1542" width="47.44140625" style="1858" customWidth="1"/>
    <col min="1543" max="1543" width="13" style="1858" customWidth="1"/>
    <col min="1544" max="1545" width="8.88671875" style="1858"/>
    <col min="1546" max="1546" width="5.77734375" style="1858" customWidth="1"/>
    <col min="1547" max="1547" width="11.77734375" style="1858" customWidth="1"/>
    <col min="1548" max="1549" width="10.77734375" style="1858" customWidth="1"/>
    <col min="1550" max="1550" width="10" style="1858" customWidth="1"/>
    <col min="1551" max="1552" width="10.44140625" style="1858" customWidth="1"/>
    <col min="1553" max="1553" width="10" style="1858" customWidth="1"/>
    <col min="1554" max="1554" width="10.109375" style="1858" customWidth="1"/>
    <col min="1555" max="1555" width="10" style="1858" customWidth="1"/>
    <col min="1556" max="1556" width="26.109375" style="1858" customWidth="1"/>
    <col min="1557" max="1792" width="8.88671875" style="1858"/>
    <col min="1793" max="1793" width="9.44140625" style="1858" customWidth="1"/>
    <col min="1794" max="1794" width="8.88671875" style="1858"/>
    <col min="1795" max="1797" width="12.88671875" style="1858" customWidth="1"/>
    <col min="1798" max="1798" width="47.44140625" style="1858" customWidth="1"/>
    <col min="1799" max="1799" width="13" style="1858" customWidth="1"/>
    <col min="1800" max="1801" width="8.88671875" style="1858"/>
    <col min="1802" max="1802" width="5.77734375" style="1858" customWidth="1"/>
    <col min="1803" max="1803" width="11.77734375" style="1858" customWidth="1"/>
    <col min="1804" max="1805" width="10.77734375" style="1858" customWidth="1"/>
    <col min="1806" max="1806" width="10" style="1858" customWidth="1"/>
    <col min="1807" max="1808" width="10.44140625" style="1858" customWidth="1"/>
    <col min="1809" max="1809" width="10" style="1858" customWidth="1"/>
    <col min="1810" max="1810" width="10.109375" style="1858" customWidth="1"/>
    <col min="1811" max="1811" width="10" style="1858" customWidth="1"/>
    <col min="1812" max="1812" width="26.109375" style="1858" customWidth="1"/>
    <col min="1813" max="2048" width="8.88671875" style="1858"/>
    <col min="2049" max="2049" width="9.44140625" style="1858" customWidth="1"/>
    <col min="2050" max="2050" width="8.88671875" style="1858"/>
    <col min="2051" max="2053" width="12.88671875" style="1858" customWidth="1"/>
    <col min="2054" max="2054" width="47.44140625" style="1858" customWidth="1"/>
    <col min="2055" max="2055" width="13" style="1858" customWidth="1"/>
    <col min="2056" max="2057" width="8.88671875" style="1858"/>
    <col min="2058" max="2058" width="5.77734375" style="1858" customWidth="1"/>
    <col min="2059" max="2059" width="11.77734375" style="1858" customWidth="1"/>
    <col min="2060" max="2061" width="10.77734375" style="1858" customWidth="1"/>
    <col min="2062" max="2062" width="10" style="1858" customWidth="1"/>
    <col min="2063" max="2064" width="10.44140625" style="1858" customWidth="1"/>
    <col min="2065" max="2065" width="10" style="1858" customWidth="1"/>
    <col min="2066" max="2066" width="10.109375" style="1858" customWidth="1"/>
    <col min="2067" max="2067" width="10" style="1858" customWidth="1"/>
    <col min="2068" max="2068" width="26.109375" style="1858" customWidth="1"/>
    <col min="2069" max="2304" width="8.88671875" style="1858"/>
    <col min="2305" max="2305" width="9.44140625" style="1858" customWidth="1"/>
    <col min="2306" max="2306" width="8.88671875" style="1858"/>
    <col min="2307" max="2309" width="12.88671875" style="1858" customWidth="1"/>
    <col min="2310" max="2310" width="47.44140625" style="1858" customWidth="1"/>
    <col min="2311" max="2311" width="13" style="1858" customWidth="1"/>
    <col min="2312" max="2313" width="8.88671875" style="1858"/>
    <col min="2314" max="2314" width="5.77734375" style="1858" customWidth="1"/>
    <col min="2315" max="2315" width="11.77734375" style="1858" customWidth="1"/>
    <col min="2316" max="2317" width="10.77734375" style="1858" customWidth="1"/>
    <col min="2318" max="2318" width="10" style="1858" customWidth="1"/>
    <col min="2319" max="2320" width="10.44140625" style="1858" customWidth="1"/>
    <col min="2321" max="2321" width="10" style="1858" customWidth="1"/>
    <col min="2322" max="2322" width="10.109375" style="1858" customWidth="1"/>
    <col min="2323" max="2323" width="10" style="1858" customWidth="1"/>
    <col min="2324" max="2324" width="26.109375" style="1858" customWidth="1"/>
    <col min="2325" max="2560" width="8.88671875" style="1858"/>
    <col min="2561" max="2561" width="9.44140625" style="1858" customWidth="1"/>
    <col min="2562" max="2562" width="8.88671875" style="1858"/>
    <col min="2563" max="2565" width="12.88671875" style="1858" customWidth="1"/>
    <col min="2566" max="2566" width="47.44140625" style="1858" customWidth="1"/>
    <col min="2567" max="2567" width="13" style="1858" customWidth="1"/>
    <col min="2568" max="2569" width="8.88671875" style="1858"/>
    <col min="2570" max="2570" width="5.77734375" style="1858" customWidth="1"/>
    <col min="2571" max="2571" width="11.77734375" style="1858" customWidth="1"/>
    <col min="2572" max="2573" width="10.77734375" style="1858" customWidth="1"/>
    <col min="2574" max="2574" width="10" style="1858" customWidth="1"/>
    <col min="2575" max="2576" width="10.44140625" style="1858" customWidth="1"/>
    <col min="2577" max="2577" width="10" style="1858" customWidth="1"/>
    <col min="2578" max="2578" width="10.109375" style="1858" customWidth="1"/>
    <col min="2579" max="2579" width="10" style="1858" customWidth="1"/>
    <col min="2580" max="2580" width="26.109375" style="1858" customWidth="1"/>
    <col min="2581" max="2816" width="8.88671875" style="1858"/>
    <col min="2817" max="2817" width="9.44140625" style="1858" customWidth="1"/>
    <col min="2818" max="2818" width="8.88671875" style="1858"/>
    <col min="2819" max="2821" width="12.88671875" style="1858" customWidth="1"/>
    <col min="2822" max="2822" width="47.44140625" style="1858" customWidth="1"/>
    <col min="2823" max="2823" width="13" style="1858" customWidth="1"/>
    <col min="2824" max="2825" width="8.88671875" style="1858"/>
    <col min="2826" max="2826" width="5.77734375" style="1858" customWidth="1"/>
    <col min="2827" max="2827" width="11.77734375" style="1858" customWidth="1"/>
    <col min="2828" max="2829" width="10.77734375" style="1858" customWidth="1"/>
    <col min="2830" max="2830" width="10" style="1858" customWidth="1"/>
    <col min="2831" max="2832" width="10.44140625" style="1858" customWidth="1"/>
    <col min="2833" max="2833" width="10" style="1858" customWidth="1"/>
    <col min="2834" max="2834" width="10.109375" style="1858" customWidth="1"/>
    <col min="2835" max="2835" width="10" style="1858" customWidth="1"/>
    <col min="2836" max="2836" width="26.109375" style="1858" customWidth="1"/>
    <col min="2837" max="3072" width="8.88671875" style="1858"/>
    <col min="3073" max="3073" width="9.44140625" style="1858" customWidth="1"/>
    <col min="3074" max="3074" width="8.88671875" style="1858"/>
    <col min="3075" max="3077" width="12.88671875" style="1858" customWidth="1"/>
    <col min="3078" max="3078" width="47.44140625" style="1858" customWidth="1"/>
    <col min="3079" max="3079" width="13" style="1858" customWidth="1"/>
    <col min="3080" max="3081" width="8.88671875" style="1858"/>
    <col min="3082" max="3082" width="5.77734375" style="1858" customWidth="1"/>
    <col min="3083" max="3083" width="11.77734375" style="1858" customWidth="1"/>
    <col min="3084" max="3085" width="10.77734375" style="1858" customWidth="1"/>
    <col min="3086" max="3086" width="10" style="1858" customWidth="1"/>
    <col min="3087" max="3088" width="10.44140625" style="1858" customWidth="1"/>
    <col min="3089" max="3089" width="10" style="1858" customWidth="1"/>
    <col min="3090" max="3090" width="10.109375" style="1858" customWidth="1"/>
    <col min="3091" max="3091" width="10" style="1858" customWidth="1"/>
    <col min="3092" max="3092" width="26.109375" style="1858" customWidth="1"/>
    <col min="3093" max="3328" width="8.88671875" style="1858"/>
    <col min="3329" max="3329" width="9.44140625" style="1858" customWidth="1"/>
    <col min="3330" max="3330" width="8.88671875" style="1858"/>
    <col min="3331" max="3333" width="12.88671875" style="1858" customWidth="1"/>
    <col min="3334" max="3334" width="47.44140625" style="1858" customWidth="1"/>
    <col min="3335" max="3335" width="13" style="1858" customWidth="1"/>
    <col min="3336" max="3337" width="8.88671875" style="1858"/>
    <col min="3338" max="3338" width="5.77734375" style="1858" customWidth="1"/>
    <col min="3339" max="3339" width="11.77734375" style="1858" customWidth="1"/>
    <col min="3340" max="3341" width="10.77734375" style="1858" customWidth="1"/>
    <col min="3342" max="3342" width="10" style="1858" customWidth="1"/>
    <col min="3343" max="3344" width="10.44140625" style="1858" customWidth="1"/>
    <col min="3345" max="3345" width="10" style="1858" customWidth="1"/>
    <col min="3346" max="3346" width="10.109375" style="1858" customWidth="1"/>
    <col min="3347" max="3347" width="10" style="1858" customWidth="1"/>
    <col min="3348" max="3348" width="26.109375" style="1858" customWidth="1"/>
    <col min="3349" max="3584" width="8.88671875" style="1858"/>
    <col min="3585" max="3585" width="9.44140625" style="1858" customWidth="1"/>
    <col min="3586" max="3586" width="8.88671875" style="1858"/>
    <col min="3587" max="3589" width="12.88671875" style="1858" customWidth="1"/>
    <col min="3590" max="3590" width="47.44140625" style="1858" customWidth="1"/>
    <col min="3591" max="3591" width="13" style="1858" customWidth="1"/>
    <col min="3592" max="3593" width="8.88671875" style="1858"/>
    <col min="3594" max="3594" width="5.77734375" style="1858" customWidth="1"/>
    <col min="3595" max="3595" width="11.77734375" style="1858" customWidth="1"/>
    <col min="3596" max="3597" width="10.77734375" style="1858" customWidth="1"/>
    <col min="3598" max="3598" width="10" style="1858" customWidth="1"/>
    <col min="3599" max="3600" width="10.44140625" style="1858" customWidth="1"/>
    <col min="3601" max="3601" width="10" style="1858" customWidth="1"/>
    <col min="3602" max="3602" width="10.109375" style="1858" customWidth="1"/>
    <col min="3603" max="3603" width="10" style="1858" customWidth="1"/>
    <col min="3604" max="3604" width="26.109375" style="1858" customWidth="1"/>
    <col min="3605" max="3840" width="8.88671875" style="1858"/>
    <col min="3841" max="3841" width="9.44140625" style="1858" customWidth="1"/>
    <col min="3842" max="3842" width="8.88671875" style="1858"/>
    <col min="3843" max="3845" width="12.88671875" style="1858" customWidth="1"/>
    <col min="3846" max="3846" width="47.44140625" style="1858" customWidth="1"/>
    <col min="3847" max="3847" width="13" style="1858" customWidth="1"/>
    <col min="3848" max="3849" width="8.88671875" style="1858"/>
    <col min="3850" max="3850" width="5.77734375" style="1858" customWidth="1"/>
    <col min="3851" max="3851" width="11.77734375" style="1858" customWidth="1"/>
    <col min="3852" max="3853" width="10.77734375" style="1858" customWidth="1"/>
    <col min="3854" max="3854" width="10" style="1858" customWidth="1"/>
    <col min="3855" max="3856" width="10.44140625" style="1858" customWidth="1"/>
    <col min="3857" max="3857" width="10" style="1858" customWidth="1"/>
    <col min="3858" max="3858" width="10.109375" style="1858" customWidth="1"/>
    <col min="3859" max="3859" width="10" style="1858" customWidth="1"/>
    <col min="3860" max="3860" width="26.109375" style="1858" customWidth="1"/>
    <col min="3861" max="4096" width="8.88671875" style="1858"/>
    <col min="4097" max="4097" width="9.44140625" style="1858" customWidth="1"/>
    <col min="4098" max="4098" width="8.88671875" style="1858"/>
    <col min="4099" max="4101" width="12.88671875" style="1858" customWidth="1"/>
    <col min="4102" max="4102" width="47.44140625" style="1858" customWidth="1"/>
    <col min="4103" max="4103" width="13" style="1858" customWidth="1"/>
    <col min="4104" max="4105" width="8.88671875" style="1858"/>
    <col min="4106" max="4106" width="5.77734375" style="1858" customWidth="1"/>
    <col min="4107" max="4107" width="11.77734375" style="1858" customWidth="1"/>
    <col min="4108" max="4109" width="10.77734375" style="1858" customWidth="1"/>
    <col min="4110" max="4110" width="10" style="1858" customWidth="1"/>
    <col min="4111" max="4112" width="10.44140625" style="1858" customWidth="1"/>
    <col min="4113" max="4113" width="10" style="1858" customWidth="1"/>
    <col min="4114" max="4114" width="10.109375" style="1858" customWidth="1"/>
    <col min="4115" max="4115" width="10" style="1858" customWidth="1"/>
    <col min="4116" max="4116" width="26.109375" style="1858" customWidth="1"/>
    <col min="4117" max="4352" width="8.88671875" style="1858"/>
    <col min="4353" max="4353" width="9.44140625" style="1858" customWidth="1"/>
    <col min="4354" max="4354" width="8.88671875" style="1858"/>
    <col min="4355" max="4357" width="12.88671875" style="1858" customWidth="1"/>
    <col min="4358" max="4358" width="47.44140625" style="1858" customWidth="1"/>
    <col min="4359" max="4359" width="13" style="1858" customWidth="1"/>
    <col min="4360" max="4361" width="8.88671875" style="1858"/>
    <col min="4362" max="4362" width="5.77734375" style="1858" customWidth="1"/>
    <col min="4363" max="4363" width="11.77734375" style="1858" customWidth="1"/>
    <col min="4364" max="4365" width="10.77734375" style="1858" customWidth="1"/>
    <col min="4366" max="4366" width="10" style="1858" customWidth="1"/>
    <col min="4367" max="4368" width="10.44140625" style="1858" customWidth="1"/>
    <col min="4369" max="4369" width="10" style="1858" customWidth="1"/>
    <col min="4370" max="4370" width="10.109375" style="1858" customWidth="1"/>
    <col min="4371" max="4371" width="10" style="1858" customWidth="1"/>
    <col min="4372" max="4372" width="26.109375" style="1858" customWidth="1"/>
    <col min="4373" max="4608" width="8.88671875" style="1858"/>
    <col min="4609" max="4609" width="9.44140625" style="1858" customWidth="1"/>
    <col min="4610" max="4610" width="8.88671875" style="1858"/>
    <col min="4611" max="4613" width="12.88671875" style="1858" customWidth="1"/>
    <col min="4614" max="4614" width="47.44140625" style="1858" customWidth="1"/>
    <col min="4615" max="4615" width="13" style="1858" customWidth="1"/>
    <col min="4616" max="4617" width="8.88671875" style="1858"/>
    <col min="4618" max="4618" width="5.77734375" style="1858" customWidth="1"/>
    <col min="4619" max="4619" width="11.77734375" style="1858" customWidth="1"/>
    <col min="4620" max="4621" width="10.77734375" style="1858" customWidth="1"/>
    <col min="4622" max="4622" width="10" style="1858" customWidth="1"/>
    <col min="4623" max="4624" width="10.44140625" style="1858" customWidth="1"/>
    <col min="4625" max="4625" width="10" style="1858" customWidth="1"/>
    <col min="4626" max="4626" width="10.109375" style="1858" customWidth="1"/>
    <col min="4627" max="4627" width="10" style="1858" customWidth="1"/>
    <col min="4628" max="4628" width="26.109375" style="1858" customWidth="1"/>
    <col min="4629" max="4864" width="8.88671875" style="1858"/>
    <col min="4865" max="4865" width="9.44140625" style="1858" customWidth="1"/>
    <col min="4866" max="4866" width="8.88671875" style="1858"/>
    <col min="4867" max="4869" width="12.88671875" style="1858" customWidth="1"/>
    <col min="4870" max="4870" width="47.44140625" style="1858" customWidth="1"/>
    <col min="4871" max="4871" width="13" style="1858" customWidth="1"/>
    <col min="4872" max="4873" width="8.88671875" style="1858"/>
    <col min="4874" max="4874" width="5.77734375" style="1858" customWidth="1"/>
    <col min="4875" max="4875" width="11.77734375" style="1858" customWidth="1"/>
    <col min="4876" max="4877" width="10.77734375" style="1858" customWidth="1"/>
    <col min="4878" max="4878" width="10" style="1858" customWidth="1"/>
    <col min="4879" max="4880" width="10.44140625" style="1858" customWidth="1"/>
    <col min="4881" max="4881" width="10" style="1858" customWidth="1"/>
    <col min="4882" max="4882" width="10.109375" style="1858" customWidth="1"/>
    <col min="4883" max="4883" width="10" style="1858" customWidth="1"/>
    <col min="4884" max="4884" width="26.109375" style="1858" customWidth="1"/>
    <col min="4885" max="5120" width="8.88671875" style="1858"/>
    <col min="5121" max="5121" width="9.44140625" style="1858" customWidth="1"/>
    <col min="5122" max="5122" width="8.88671875" style="1858"/>
    <col min="5123" max="5125" width="12.88671875" style="1858" customWidth="1"/>
    <col min="5126" max="5126" width="47.44140625" style="1858" customWidth="1"/>
    <col min="5127" max="5127" width="13" style="1858" customWidth="1"/>
    <col min="5128" max="5129" width="8.88671875" style="1858"/>
    <col min="5130" max="5130" width="5.77734375" style="1858" customWidth="1"/>
    <col min="5131" max="5131" width="11.77734375" style="1858" customWidth="1"/>
    <col min="5132" max="5133" width="10.77734375" style="1858" customWidth="1"/>
    <col min="5134" max="5134" width="10" style="1858" customWidth="1"/>
    <col min="5135" max="5136" width="10.44140625" style="1858" customWidth="1"/>
    <col min="5137" max="5137" width="10" style="1858" customWidth="1"/>
    <col min="5138" max="5138" width="10.109375" style="1858" customWidth="1"/>
    <col min="5139" max="5139" width="10" style="1858" customWidth="1"/>
    <col min="5140" max="5140" width="26.109375" style="1858" customWidth="1"/>
    <col min="5141" max="5376" width="8.88671875" style="1858"/>
    <col min="5377" max="5377" width="9.44140625" style="1858" customWidth="1"/>
    <col min="5378" max="5378" width="8.88671875" style="1858"/>
    <col min="5379" max="5381" width="12.88671875" style="1858" customWidth="1"/>
    <col min="5382" max="5382" width="47.44140625" style="1858" customWidth="1"/>
    <col min="5383" max="5383" width="13" style="1858" customWidth="1"/>
    <col min="5384" max="5385" width="8.88671875" style="1858"/>
    <col min="5386" max="5386" width="5.77734375" style="1858" customWidth="1"/>
    <col min="5387" max="5387" width="11.77734375" style="1858" customWidth="1"/>
    <col min="5388" max="5389" width="10.77734375" style="1858" customWidth="1"/>
    <col min="5390" max="5390" width="10" style="1858" customWidth="1"/>
    <col min="5391" max="5392" width="10.44140625" style="1858" customWidth="1"/>
    <col min="5393" max="5393" width="10" style="1858" customWidth="1"/>
    <col min="5394" max="5394" width="10.109375" style="1858" customWidth="1"/>
    <col min="5395" max="5395" width="10" style="1858" customWidth="1"/>
    <col min="5396" max="5396" width="26.109375" style="1858" customWidth="1"/>
    <col min="5397" max="5632" width="8.88671875" style="1858"/>
    <col min="5633" max="5633" width="9.44140625" style="1858" customWidth="1"/>
    <col min="5634" max="5634" width="8.88671875" style="1858"/>
    <col min="5635" max="5637" width="12.88671875" style="1858" customWidth="1"/>
    <col min="5638" max="5638" width="47.44140625" style="1858" customWidth="1"/>
    <col min="5639" max="5639" width="13" style="1858" customWidth="1"/>
    <col min="5640" max="5641" width="8.88671875" style="1858"/>
    <col min="5642" max="5642" width="5.77734375" style="1858" customWidth="1"/>
    <col min="5643" max="5643" width="11.77734375" style="1858" customWidth="1"/>
    <col min="5644" max="5645" width="10.77734375" style="1858" customWidth="1"/>
    <col min="5646" max="5646" width="10" style="1858" customWidth="1"/>
    <col min="5647" max="5648" width="10.44140625" style="1858" customWidth="1"/>
    <col min="5649" max="5649" width="10" style="1858" customWidth="1"/>
    <col min="5650" max="5650" width="10.109375" style="1858" customWidth="1"/>
    <col min="5651" max="5651" width="10" style="1858" customWidth="1"/>
    <col min="5652" max="5652" width="26.109375" style="1858" customWidth="1"/>
    <col min="5653" max="5888" width="8.88671875" style="1858"/>
    <col min="5889" max="5889" width="9.44140625" style="1858" customWidth="1"/>
    <col min="5890" max="5890" width="8.88671875" style="1858"/>
    <col min="5891" max="5893" width="12.88671875" style="1858" customWidth="1"/>
    <col min="5894" max="5894" width="47.44140625" style="1858" customWidth="1"/>
    <col min="5895" max="5895" width="13" style="1858" customWidth="1"/>
    <col min="5896" max="5897" width="8.88671875" style="1858"/>
    <col min="5898" max="5898" width="5.77734375" style="1858" customWidth="1"/>
    <col min="5899" max="5899" width="11.77734375" style="1858" customWidth="1"/>
    <col min="5900" max="5901" width="10.77734375" style="1858" customWidth="1"/>
    <col min="5902" max="5902" width="10" style="1858" customWidth="1"/>
    <col min="5903" max="5904" width="10.44140625" style="1858" customWidth="1"/>
    <col min="5905" max="5905" width="10" style="1858" customWidth="1"/>
    <col min="5906" max="5906" width="10.109375" style="1858" customWidth="1"/>
    <col min="5907" max="5907" width="10" style="1858" customWidth="1"/>
    <col min="5908" max="5908" width="26.109375" style="1858" customWidth="1"/>
    <col min="5909" max="6144" width="8.88671875" style="1858"/>
    <col min="6145" max="6145" width="9.44140625" style="1858" customWidth="1"/>
    <col min="6146" max="6146" width="8.88671875" style="1858"/>
    <col min="6147" max="6149" width="12.88671875" style="1858" customWidth="1"/>
    <col min="6150" max="6150" width="47.44140625" style="1858" customWidth="1"/>
    <col min="6151" max="6151" width="13" style="1858" customWidth="1"/>
    <col min="6152" max="6153" width="8.88671875" style="1858"/>
    <col min="6154" max="6154" width="5.77734375" style="1858" customWidth="1"/>
    <col min="6155" max="6155" width="11.77734375" style="1858" customWidth="1"/>
    <col min="6156" max="6157" width="10.77734375" style="1858" customWidth="1"/>
    <col min="6158" max="6158" width="10" style="1858" customWidth="1"/>
    <col min="6159" max="6160" width="10.44140625" style="1858" customWidth="1"/>
    <col min="6161" max="6161" width="10" style="1858" customWidth="1"/>
    <col min="6162" max="6162" width="10.109375" style="1858" customWidth="1"/>
    <col min="6163" max="6163" width="10" style="1858" customWidth="1"/>
    <col min="6164" max="6164" width="26.109375" style="1858" customWidth="1"/>
    <col min="6165" max="6400" width="8.88671875" style="1858"/>
    <col min="6401" max="6401" width="9.44140625" style="1858" customWidth="1"/>
    <col min="6402" max="6402" width="8.88671875" style="1858"/>
    <col min="6403" max="6405" width="12.88671875" style="1858" customWidth="1"/>
    <col min="6406" max="6406" width="47.44140625" style="1858" customWidth="1"/>
    <col min="6407" max="6407" width="13" style="1858" customWidth="1"/>
    <col min="6408" max="6409" width="8.88671875" style="1858"/>
    <col min="6410" max="6410" width="5.77734375" style="1858" customWidth="1"/>
    <col min="6411" max="6411" width="11.77734375" style="1858" customWidth="1"/>
    <col min="6412" max="6413" width="10.77734375" style="1858" customWidth="1"/>
    <col min="6414" max="6414" width="10" style="1858" customWidth="1"/>
    <col min="6415" max="6416" width="10.44140625" style="1858" customWidth="1"/>
    <col min="6417" max="6417" width="10" style="1858" customWidth="1"/>
    <col min="6418" max="6418" width="10.109375" style="1858" customWidth="1"/>
    <col min="6419" max="6419" width="10" style="1858" customWidth="1"/>
    <col min="6420" max="6420" width="26.109375" style="1858" customWidth="1"/>
    <col min="6421" max="6656" width="8.88671875" style="1858"/>
    <col min="6657" max="6657" width="9.44140625" style="1858" customWidth="1"/>
    <col min="6658" max="6658" width="8.88671875" style="1858"/>
    <col min="6659" max="6661" width="12.88671875" style="1858" customWidth="1"/>
    <col min="6662" max="6662" width="47.44140625" style="1858" customWidth="1"/>
    <col min="6663" max="6663" width="13" style="1858" customWidth="1"/>
    <col min="6664" max="6665" width="8.88671875" style="1858"/>
    <col min="6666" max="6666" width="5.77734375" style="1858" customWidth="1"/>
    <col min="6667" max="6667" width="11.77734375" style="1858" customWidth="1"/>
    <col min="6668" max="6669" width="10.77734375" style="1858" customWidth="1"/>
    <col min="6670" max="6670" width="10" style="1858" customWidth="1"/>
    <col min="6671" max="6672" width="10.44140625" style="1858" customWidth="1"/>
    <col min="6673" max="6673" width="10" style="1858" customWidth="1"/>
    <col min="6674" max="6674" width="10.109375" style="1858" customWidth="1"/>
    <col min="6675" max="6675" width="10" style="1858" customWidth="1"/>
    <col min="6676" max="6676" width="26.109375" style="1858" customWidth="1"/>
    <col min="6677" max="6912" width="8.88671875" style="1858"/>
    <col min="6913" max="6913" width="9.44140625" style="1858" customWidth="1"/>
    <col min="6914" max="6914" width="8.88671875" style="1858"/>
    <col min="6915" max="6917" width="12.88671875" style="1858" customWidth="1"/>
    <col min="6918" max="6918" width="47.44140625" style="1858" customWidth="1"/>
    <col min="6919" max="6919" width="13" style="1858" customWidth="1"/>
    <col min="6920" max="6921" width="8.88671875" style="1858"/>
    <col min="6922" max="6922" width="5.77734375" style="1858" customWidth="1"/>
    <col min="6923" max="6923" width="11.77734375" style="1858" customWidth="1"/>
    <col min="6924" max="6925" width="10.77734375" style="1858" customWidth="1"/>
    <col min="6926" max="6926" width="10" style="1858" customWidth="1"/>
    <col min="6927" max="6928" width="10.44140625" style="1858" customWidth="1"/>
    <col min="6929" max="6929" width="10" style="1858" customWidth="1"/>
    <col min="6930" max="6930" width="10.109375" style="1858" customWidth="1"/>
    <col min="6931" max="6931" width="10" style="1858" customWidth="1"/>
    <col min="6932" max="6932" width="26.109375" style="1858" customWidth="1"/>
    <col min="6933" max="7168" width="8.88671875" style="1858"/>
    <col min="7169" max="7169" width="9.44140625" style="1858" customWidth="1"/>
    <col min="7170" max="7170" width="8.88671875" style="1858"/>
    <col min="7171" max="7173" width="12.88671875" style="1858" customWidth="1"/>
    <col min="7174" max="7174" width="47.44140625" style="1858" customWidth="1"/>
    <col min="7175" max="7175" width="13" style="1858" customWidth="1"/>
    <col min="7176" max="7177" width="8.88671875" style="1858"/>
    <col min="7178" max="7178" width="5.77734375" style="1858" customWidth="1"/>
    <col min="7179" max="7179" width="11.77734375" style="1858" customWidth="1"/>
    <col min="7180" max="7181" width="10.77734375" style="1858" customWidth="1"/>
    <col min="7182" max="7182" width="10" style="1858" customWidth="1"/>
    <col min="7183" max="7184" width="10.44140625" style="1858" customWidth="1"/>
    <col min="7185" max="7185" width="10" style="1858" customWidth="1"/>
    <col min="7186" max="7186" width="10.109375" style="1858" customWidth="1"/>
    <col min="7187" max="7187" width="10" style="1858" customWidth="1"/>
    <col min="7188" max="7188" width="26.109375" style="1858" customWidth="1"/>
    <col min="7189" max="7424" width="8.88671875" style="1858"/>
    <col min="7425" max="7425" width="9.44140625" style="1858" customWidth="1"/>
    <col min="7426" max="7426" width="8.88671875" style="1858"/>
    <col min="7427" max="7429" width="12.88671875" style="1858" customWidth="1"/>
    <col min="7430" max="7430" width="47.44140625" style="1858" customWidth="1"/>
    <col min="7431" max="7431" width="13" style="1858" customWidth="1"/>
    <col min="7432" max="7433" width="8.88671875" style="1858"/>
    <col min="7434" max="7434" width="5.77734375" style="1858" customWidth="1"/>
    <col min="7435" max="7435" width="11.77734375" style="1858" customWidth="1"/>
    <col min="7436" max="7437" width="10.77734375" style="1858" customWidth="1"/>
    <col min="7438" max="7438" width="10" style="1858" customWidth="1"/>
    <col min="7439" max="7440" width="10.44140625" style="1858" customWidth="1"/>
    <col min="7441" max="7441" width="10" style="1858" customWidth="1"/>
    <col min="7442" max="7442" width="10.109375" style="1858" customWidth="1"/>
    <col min="7443" max="7443" width="10" style="1858" customWidth="1"/>
    <col min="7444" max="7444" width="26.109375" style="1858" customWidth="1"/>
    <col min="7445" max="7680" width="8.88671875" style="1858"/>
    <col min="7681" max="7681" width="9.44140625" style="1858" customWidth="1"/>
    <col min="7682" max="7682" width="8.88671875" style="1858"/>
    <col min="7683" max="7685" width="12.88671875" style="1858" customWidth="1"/>
    <col min="7686" max="7686" width="47.44140625" style="1858" customWidth="1"/>
    <col min="7687" max="7687" width="13" style="1858" customWidth="1"/>
    <col min="7688" max="7689" width="8.88671875" style="1858"/>
    <col min="7690" max="7690" width="5.77734375" style="1858" customWidth="1"/>
    <col min="7691" max="7691" width="11.77734375" style="1858" customWidth="1"/>
    <col min="7692" max="7693" width="10.77734375" style="1858" customWidth="1"/>
    <col min="7694" max="7694" width="10" style="1858" customWidth="1"/>
    <col min="7695" max="7696" width="10.44140625" style="1858" customWidth="1"/>
    <col min="7697" max="7697" width="10" style="1858" customWidth="1"/>
    <col min="7698" max="7698" width="10.109375" style="1858" customWidth="1"/>
    <col min="7699" max="7699" width="10" style="1858" customWidth="1"/>
    <col min="7700" max="7700" width="26.109375" style="1858" customWidth="1"/>
    <col min="7701" max="7936" width="8.88671875" style="1858"/>
    <col min="7937" max="7937" width="9.44140625" style="1858" customWidth="1"/>
    <col min="7938" max="7938" width="8.88671875" style="1858"/>
    <col min="7939" max="7941" width="12.88671875" style="1858" customWidth="1"/>
    <col min="7942" max="7942" width="47.44140625" style="1858" customWidth="1"/>
    <col min="7943" max="7943" width="13" style="1858" customWidth="1"/>
    <col min="7944" max="7945" width="8.88671875" style="1858"/>
    <col min="7946" max="7946" width="5.77734375" style="1858" customWidth="1"/>
    <col min="7947" max="7947" width="11.77734375" style="1858" customWidth="1"/>
    <col min="7948" max="7949" width="10.77734375" style="1858" customWidth="1"/>
    <col min="7950" max="7950" width="10" style="1858" customWidth="1"/>
    <col min="7951" max="7952" width="10.44140625" style="1858" customWidth="1"/>
    <col min="7953" max="7953" width="10" style="1858" customWidth="1"/>
    <col min="7954" max="7954" width="10.109375" style="1858" customWidth="1"/>
    <col min="7955" max="7955" width="10" style="1858" customWidth="1"/>
    <col min="7956" max="7956" width="26.109375" style="1858" customWidth="1"/>
    <col min="7957" max="8192" width="8.88671875" style="1858"/>
    <col min="8193" max="8193" width="9.44140625" style="1858" customWidth="1"/>
    <col min="8194" max="8194" width="8.88671875" style="1858"/>
    <col min="8195" max="8197" width="12.88671875" style="1858" customWidth="1"/>
    <col min="8198" max="8198" width="47.44140625" style="1858" customWidth="1"/>
    <col min="8199" max="8199" width="13" style="1858" customWidth="1"/>
    <col min="8200" max="8201" width="8.88671875" style="1858"/>
    <col min="8202" max="8202" width="5.77734375" style="1858" customWidth="1"/>
    <col min="8203" max="8203" width="11.77734375" style="1858" customWidth="1"/>
    <col min="8204" max="8205" width="10.77734375" style="1858" customWidth="1"/>
    <col min="8206" max="8206" width="10" style="1858" customWidth="1"/>
    <col min="8207" max="8208" width="10.44140625" style="1858" customWidth="1"/>
    <col min="8209" max="8209" width="10" style="1858" customWidth="1"/>
    <col min="8210" max="8210" width="10.109375" style="1858" customWidth="1"/>
    <col min="8211" max="8211" width="10" style="1858" customWidth="1"/>
    <col min="8212" max="8212" width="26.109375" style="1858" customWidth="1"/>
    <col min="8213" max="8448" width="8.88671875" style="1858"/>
    <col min="8449" max="8449" width="9.44140625" style="1858" customWidth="1"/>
    <col min="8450" max="8450" width="8.88671875" style="1858"/>
    <col min="8451" max="8453" width="12.88671875" style="1858" customWidth="1"/>
    <col min="8454" max="8454" width="47.44140625" style="1858" customWidth="1"/>
    <col min="8455" max="8455" width="13" style="1858" customWidth="1"/>
    <col min="8456" max="8457" width="8.88671875" style="1858"/>
    <col min="8458" max="8458" width="5.77734375" style="1858" customWidth="1"/>
    <col min="8459" max="8459" width="11.77734375" style="1858" customWidth="1"/>
    <col min="8460" max="8461" width="10.77734375" style="1858" customWidth="1"/>
    <col min="8462" max="8462" width="10" style="1858" customWidth="1"/>
    <col min="8463" max="8464" width="10.44140625" style="1858" customWidth="1"/>
    <col min="8465" max="8465" width="10" style="1858" customWidth="1"/>
    <col min="8466" max="8466" width="10.109375" style="1858" customWidth="1"/>
    <col min="8467" max="8467" width="10" style="1858" customWidth="1"/>
    <col min="8468" max="8468" width="26.109375" style="1858" customWidth="1"/>
    <col min="8469" max="8704" width="8.88671875" style="1858"/>
    <col min="8705" max="8705" width="9.44140625" style="1858" customWidth="1"/>
    <col min="8706" max="8706" width="8.88671875" style="1858"/>
    <col min="8707" max="8709" width="12.88671875" style="1858" customWidth="1"/>
    <col min="8710" max="8710" width="47.44140625" style="1858" customWidth="1"/>
    <col min="8711" max="8711" width="13" style="1858" customWidth="1"/>
    <col min="8712" max="8713" width="8.88671875" style="1858"/>
    <col min="8714" max="8714" width="5.77734375" style="1858" customWidth="1"/>
    <col min="8715" max="8715" width="11.77734375" style="1858" customWidth="1"/>
    <col min="8716" max="8717" width="10.77734375" style="1858" customWidth="1"/>
    <col min="8718" max="8718" width="10" style="1858" customWidth="1"/>
    <col min="8719" max="8720" width="10.44140625" style="1858" customWidth="1"/>
    <col min="8721" max="8721" width="10" style="1858" customWidth="1"/>
    <col min="8722" max="8722" width="10.109375" style="1858" customWidth="1"/>
    <col min="8723" max="8723" width="10" style="1858" customWidth="1"/>
    <col min="8724" max="8724" width="26.109375" style="1858" customWidth="1"/>
    <col min="8725" max="8960" width="8.88671875" style="1858"/>
    <col min="8961" max="8961" width="9.44140625" style="1858" customWidth="1"/>
    <col min="8962" max="8962" width="8.88671875" style="1858"/>
    <col min="8963" max="8965" width="12.88671875" style="1858" customWidth="1"/>
    <col min="8966" max="8966" width="47.44140625" style="1858" customWidth="1"/>
    <col min="8967" max="8967" width="13" style="1858" customWidth="1"/>
    <col min="8968" max="8969" width="8.88671875" style="1858"/>
    <col min="8970" max="8970" width="5.77734375" style="1858" customWidth="1"/>
    <col min="8971" max="8971" width="11.77734375" style="1858" customWidth="1"/>
    <col min="8972" max="8973" width="10.77734375" style="1858" customWidth="1"/>
    <col min="8974" max="8974" width="10" style="1858" customWidth="1"/>
    <col min="8975" max="8976" width="10.44140625" style="1858" customWidth="1"/>
    <col min="8977" max="8977" width="10" style="1858" customWidth="1"/>
    <col min="8978" max="8978" width="10.109375" style="1858" customWidth="1"/>
    <col min="8979" max="8979" width="10" style="1858" customWidth="1"/>
    <col min="8980" max="8980" width="26.109375" style="1858" customWidth="1"/>
    <col min="8981" max="9216" width="8.88671875" style="1858"/>
    <col min="9217" max="9217" width="9.44140625" style="1858" customWidth="1"/>
    <col min="9218" max="9218" width="8.88671875" style="1858"/>
    <col min="9219" max="9221" width="12.88671875" style="1858" customWidth="1"/>
    <col min="9222" max="9222" width="47.44140625" style="1858" customWidth="1"/>
    <col min="9223" max="9223" width="13" style="1858" customWidth="1"/>
    <col min="9224" max="9225" width="8.88671875" style="1858"/>
    <col min="9226" max="9226" width="5.77734375" style="1858" customWidth="1"/>
    <col min="9227" max="9227" width="11.77734375" style="1858" customWidth="1"/>
    <col min="9228" max="9229" width="10.77734375" style="1858" customWidth="1"/>
    <col min="9230" max="9230" width="10" style="1858" customWidth="1"/>
    <col min="9231" max="9232" width="10.44140625" style="1858" customWidth="1"/>
    <col min="9233" max="9233" width="10" style="1858" customWidth="1"/>
    <col min="9234" max="9234" width="10.109375" style="1858" customWidth="1"/>
    <col min="9235" max="9235" width="10" style="1858" customWidth="1"/>
    <col min="9236" max="9236" width="26.109375" style="1858" customWidth="1"/>
    <col min="9237" max="9472" width="8.88671875" style="1858"/>
    <col min="9473" max="9473" width="9.44140625" style="1858" customWidth="1"/>
    <col min="9474" max="9474" width="8.88671875" style="1858"/>
    <col min="9475" max="9477" width="12.88671875" style="1858" customWidth="1"/>
    <col min="9478" max="9478" width="47.44140625" style="1858" customWidth="1"/>
    <col min="9479" max="9479" width="13" style="1858" customWidth="1"/>
    <col min="9480" max="9481" width="8.88671875" style="1858"/>
    <col min="9482" max="9482" width="5.77734375" style="1858" customWidth="1"/>
    <col min="9483" max="9483" width="11.77734375" style="1858" customWidth="1"/>
    <col min="9484" max="9485" width="10.77734375" style="1858" customWidth="1"/>
    <col min="9486" max="9486" width="10" style="1858" customWidth="1"/>
    <col min="9487" max="9488" width="10.44140625" style="1858" customWidth="1"/>
    <col min="9489" max="9489" width="10" style="1858" customWidth="1"/>
    <col min="9490" max="9490" width="10.109375" style="1858" customWidth="1"/>
    <col min="9491" max="9491" width="10" style="1858" customWidth="1"/>
    <col min="9492" max="9492" width="26.109375" style="1858" customWidth="1"/>
    <col min="9493" max="9728" width="8.88671875" style="1858"/>
    <col min="9729" max="9729" width="9.44140625" style="1858" customWidth="1"/>
    <col min="9730" max="9730" width="8.88671875" style="1858"/>
    <col min="9731" max="9733" width="12.88671875" style="1858" customWidth="1"/>
    <col min="9734" max="9734" width="47.44140625" style="1858" customWidth="1"/>
    <col min="9735" max="9735" width="13" style="1858" customWidth="1"/>
    <col min="9736" max="9737" width="8.88671875" style="1858"/>
    <col min="9738" max="9738" width="5.77734375" style="1858" customWidth="1"/>
    <col min="9739" max="9739" width="11.77734375" style="1858" customWidth="1"/>
    <col min="9740" max="9741" width="10.77734375" style="1858" customWidth="1"/>
    <col min="9742" max="9742" width="10" style="1858" customWidth="1"/>
    <col min="9743" max="9744" width="10.44140625" style="1858" customWidth="1"/>
    <col min="9745" max="9745" width="10" style="1858" customWidth="1"/>
    <col min="9746" max="9746" width="10.109375" style="1858" customWidth="1"/>
    <col min="9747" max="9747" width="10" style="1858" customWidth="1"/>
    <col min="9748" max="9748" width="26.109375" style="1858" customWidth="1"/>
    <col min="9749" max="9984" width="8.88671875" style="1858"/>
    <col min="9985" max="9985" width="9.44140625" style="1858" customWidth="1"/>
    <col min="9986" max="9986" width="8.88671875" style="1858"/>
    <col min="9987" max="9989" width="12.88671875" style="1858" customWidth="1"/>
    <col min="9990" max="9990" width="47.44140625" style="1858" customWidth="1"/>
    <col min="9991" max="9991" width="13" style="1858" customWidth="1"/>
    <col min="9992" max="9993" width="8.88671875" style="1858"/>
    <col min="9994" max="9994" width="5.77734375" style="1858" customWidth="1"/>
    <col min="9995" max="9995" width="11.77734375" style="1858" customWidth="1"/>
    <col min="9996" max="9997" width="10.77734375" style="1858" customWidth="1"/>
    <col min="9998" max="9998" width="10" style="1858" customWidth="1"/>
    <col min="9999" max="10000" width="10.44140625" style="1858" customWidth="1"/>
    <col min="10001" max="10001" width="10" style="1858" customWidth="1"/>
    <col min="10002" max="10002" width="10.109375" style="1858" customWidth="1"/>
    <col min="10003" max="10003" width="10" style="1858" customWidth="1"/>
    <col min="10004" max="10004" width="26.109375" style="1858" customWidth="1"/>
    <col min="10005" max="10240" width="8.88671875" style="1858"/>
    <col min="10241" max="10241" width="9.44140625" style="1858" customWidth="1"/>
    <col min="10242" max="10242" width="8.88671875" style="1858"/>
    <col min="10243" max="10245" width="12.88671875" style="1858" customWidth="1"/>
    <col min="10246" max="10246" width="47.44140625" style="1858" customWidth="1"/>
    <col min="10247" max="10247" width="13" style="1858" customWidth="1"/>
    <col min="10248" max="10249" width="8.88671875" style="1858"/>
    <col min="10250" max="10250" width="5.77734375" style="1858" customWidth="1"/>
    <col min="10251" max="10251" width="11.77734375" style="1858" customWidth="1"/>
    <col min="10252" max="10253" width="10.77734375" style="1858" customWidth="1"/>
    <col min="10254" max="10254" width="10" style="1858" customWidth="1"/>
    <col min="10255" max="10256" width="10.44140625" style="1858" customWidth="1"/>
    <col min="10257" max="10257" width="10" style="1858" customWidth="1"/>
    <col min="10258" max="10258" width="10.109375" style="1858" customWidth="1"/>
    <col min="10259" max="10259" width="10" style="1858" customWidth="1"/>
    <col min="10260" max="10260" width="26.109375" style="1858" customWidth="1"/>
    <col min="10261" max="10496" width="8.88671875" style="1858"/>
    <col min="10497" max="10497" width="9.44140625" style="1858" customWidth="1"/>
    <col min="10498" max="10498" width="8.88671875" style="1858"/>
    <col min="10499" max="10501" width="12.88671875" style="1858" customWidth="1"/>
    <col min="10502" max="10502" width="47.44140625" style="1858" customWidth="1"/>
    <col min="10503" max="10503" width="13" style="1858" customWidth="1"/>
    <col min="10504" max="10505" width="8.88671875" style="1858"/>
    <col min="10506" max="10506" width="5.77734375" style="1858" customWidth="1"/>
    <col min="10507" max="10507" width="11.77734375" style="1858" customWidth="1"/>
    <col min="10508" max="10509" width="10.77734375" style="1858" customWidth="1"/>
    <col min="10510" max="10510" width="10" style="1858" customWidth="1"/>
    <col min="10511" max="10512" width="10.44140625" style="1858" customWidth="1"/>
    <col min="10513" max="10513" width="10" style="1858" customWidth="1"/>
    <col min="10514" max="10514" width="10.109375" style="1858" customWidth="1"/>
    <col min="10515" max="10515" width="10" style="1858" customWidth="1"/>
    <col min="10516" max="10516" width="26.109375" style="1858" customWidth="1"/>
    <col min="10517" max="10752" width="8.88671875" style="1858"/>
    <col min="10753" max="10753" width="9.44140625" style="1858" customWidth="1"/>
    <col min="10754" max="10754" width="8.88671875" style="1858"/>
    <col min="10755" max="10757" width="12.88671875" style="1858" customWidth="1"/>
    <col min="10758" max="10758" width="47.44140625" style="1858" customWidth="1"/>
    <col min="10759" max="10759" width="13" style="1858" customWidth="1"/>
    <col min="10760" max="10761" width="8.88671875" style="1858"/>
    <col min="10762" max="10762" width="5.77734375" style="1858" customWidth="1"/>
    <col min="10763" max="10763" width="11.77734375" style="1858" customWidth="1"/>
    <col min="10764" max="10765" width="10.77734375" style="1858" customWidth="1"/>
    <col min="10766" max="10766" width="10" style="1858" customWidth="1"/>
    <col min="10767" max="10768" width="10.44140625" style="1858" customWidth="1"/>
    <col min="10769" max="10769" width="10" style="1858" customWidth="1"/>
    <col min="10770" max="10770" width="10.109375" style="1858" customWidth="1"/>
    <col min="10771" max="10771" width="10" style="1858" customWidth="1"/>
    <col min="10772" max="10772" width="26.109375" style="1858" customWidth="1"/>
    <col min="10773" max="11008" width="8.88671875" style="1858"/>
    <col min="11009" max="11009" width="9.44140625" style="1858" customWidth="1"/>
    <col min="11010" max="11010" width="8.88671875" style="1858"/>
    <col min="11011" max="11013" width="12.88671875" style="1858" customWidth="1"/>
    <col min="11014" max="11014" width="47.44140625" style="1858" customWidth="1"/>
    <col min="11015" max="11015" width="13" style="1858" customWidth="1"/>
    <col min="11016" max="11017" width="8.88671875" style="1858"/>
    <col min="11018" max="11018" width="5.77734375" style="1858" customWidth="1"/>
    <col min="11019" max="11019" width="11.77734375" style="1858" customWidth="1"/>
    <col min="11020" max="11021" width="10.77734375" style="1858" customWidth="1"/>
    <col min="11022" max="11022" width="10" style="1858" customWidth="1"/>
    <col min="11023" max="11024" width="10.44140625" style="1858" customWidth="1"/>
    <col min="11025" max="11025" width="10" style="1858" customWidth="1"/>
    <col min="11026" max="11026" width="10.109375" style="1858" customWidth="1"/>
    <col min="11027" max="11027" width="10" style="1858" customWidth="1"/>
    <col min="11028" max="11028" width="26.109375" style="1858" customWidth="1"/>
    <col min="11029" max="11264" width="8.88671875" style="1858"/>
    <col min="11265" max="11265" width="9.44140625" style="1858" customWidth="1"/>
    <col min="11266" max="11266" width="8.88671875" style="1858"/>
    <col min="11267" max="11269" width="12.88671875" style="1858" customWidth="1"/>
    <col min="11270" max="11270" width="47.44140625" style="1858" customWidth="1"/>
    <col min="11271" max="11271" width="13" style="1858" customWidth="1"/>
    <col min="11272" max="11273" width="8.88671875" style="1858"/>
    <col min="11274" max="11274" width="5.77734375" style="1858" customWidth="1"/>
    <col min="11275" max="11275" width="11.77734375" style="1858" customWidth="1"/>
    <col min="11276" max="11277" width="10.77734375" style="1858" customWidth="1"/>
    <col min="11278" max="11278" width="10" style="1858" customWidth="1"/>
    <col min="11279" max="11280" width="10.44140625" style="1858" customWidth="1"/>
    <col min="11281" max="11281" width="10" style="1858" customWidth="1"/>
    <col min="11282" max="11282" width="10.109375" style="1858" customWidth="1"/>
    <col min="11283" max="11283" width="10" style="1858" customWidth="1"/>
    <col min="11284" max="11284" width="26.109375" style="1858" customWidth="1"/>
    <col min="11285" max="11520" width="8.88671875" style="1858"/>
    <col min="11521" max="11521" width="9.44140625" style="1858" customWidth="1"/>
    <col min="11522" max="11522" width="8.88671875" style="1858"/>
    <col min="11523" max="11525" width="12.88671875" style="1858" customWidth="1"/>
    <col min="11526" max="11526" width="47.44140625" style="1858" customWidth="1"/>
    <col min="11527" max="11527" width="13" style="1858" customWidth="1"/>
    <col min="11528" max="11529" width="8.88671875" style="1858"/>
    <col min="11530" max="11530" width="5.77734375" style="1858" customWidth="1"/>
    <col min="11531" max="11531" width="11.77734375" style="1858" customWidth="1"/>
    <col min="11532" max="11533" width="10.77734375" style="1858" customWidth="1"/>
    <col min="11534" max="11534" width="10" style="1858" customWidth="1"/>
    <col min="11535" max="11536" width="10.44140625" style="1858" customWidth="1"/>
    <col min="11537" max="11537" width="10" style="1858" customWidth="1"/>
    <col min="11538" max="11538" width="10.109375" style="1858" customWidth="1"/>
    <col min="11539" max="11539" width="10" style="1858" customWidth="1"/>
    <col min="11540" max="11540" width="26.109375" style="1858" customWidth="1"/>
    <col min="11541" max="11776" width="8.88671875" style="1858"/>
    <col min="11777" max="11777" width="9.44140625" style="1858" customWidth="1"/>
    <col min="11778" max="11778" width="8.88671875" style="1858"/>
    <col min="11779" max="11781" width="12.88671875" style="1858" customWidth="1"/>
    <col min="11782" max="11782" width="47.44140625" style="1858" customWidth="1"/>
    <col min="11783" max="11783" width="13" style="1858" customWidth="1"/>
    <col min="11784" max="11785" width="8.88671875" style="1858"/>
    <col min="11786" max="11786" width="5.77734375" style="1858" customWidth="1"/>
    <col min="11787" max="11787" width="11.77734375" style="1858" customWidth="1"/>
    <col min="11788" max="11789" width="10.77734375" style="1858" customWidth="1"/>
    <col min="11790" max="11790" width="10" style="1858" customWidth="1"/>
    <col min="11791" max="11792" width="10.44140625" style="1858" customWidth="1"/>
    <col min="11793" max="11793" width="10" style="1858" customWidth="1"/>
    <col min="11794" max="11794" width="10.109375" style="1858" customWidth="1"/>
    <col min="11795" max="11795" width="10" style="1858" customWidth="1"/>
    <col min="11796" max="11796" width="26.109375" style="1858" customWidth="1"/>
    <col min="11797" max="12032" width="8.88671875" style="1858"/>
    <col min="12033" max="12033" width="9.44140625" style="1858" customWidth="1"/>
    <col min="12034" max="12034" width="8.88671875" style="1858"/>
    <col min="12035" max="12037" width="12.88671875" style="1858" customWidth="1"/>
    <col min="12038" max="12038" width="47.44140625" style="1858" customWidth="1"/>
    <col min="12039" max="12039" width="13" style="1858" customWidth="1"/>
    <col min="12040" max="12041" width="8.88671875" style="1858"/>
    <col min="12042" max="12042" width="5.77734375" style="1858" customWidth="1"/>
    <col min="12043" max="12043" width="11.77734375" style="1858" customWidth="1"/>
    <col min="12044" max="12045" width="10.77734375" style="1858" customWidth="1"/>
    <col min="12046" max="12046" width="10" style="1858" customWidth="1"/>
    <col min="12047" max="12048" width="10.44140625" style="1858" customWidth="1"/>
    <col min="12049" max="12049" width="10" style="1858" customWidth="1"/>
    <col min="12050" max="12050" width="10.109375" style="1858" customWidth="1"/>
    <col min="12051" max="12051" width="10" style="1858" customWidth="1"/>
    <col min="12052" max="12052" width="26.109375" style="1858" customWidth="1"/>
    <col min="12053" max="12288" width="8.88671875" style="1858"/>
    <col min="12289" max="12289" width="9.44140625" style="1858" customWidth="1"/>
    <col min="12290" max="12290" width="8.88671875" style="1858"/>
    <col min="12291" max="12293" width="12.88671875" style="1858" customWidth="1"/>
    <col min="12294" max="12294" width="47.44140625" style="1858" customWidth="1"/>
    <col min="12295" max="12295" width="13" style="1858" customWidth="1"/>
    <col min="12296" max="12297" width="8.88671875" style="1858"/>
    <col min="12298" max="12298" width="5.77734375" style="1858" customWidth="1"/>
    <col min="12299" max="12299" width="11.77734375" style="1858" customWidth="1"/>
    <col min="12300" max="12301" width="10.77734375" style="1858" customWidth="1"/>
    <col min="12302" max="12302" width="10" style="1858" customWidth="1"/>
    <col min="12303" max="12304" width="10.44140625" style="1858" customWidth="1"/>
    <col min="12305" max="12305" width="10" style="1858" customWidth="1"/>
    <col min="12306" max="12306" width="10.109375" style="1858" customWidth="1"/>
    <col min="12307" max="12307" width="10" style="1858" customWidth="1"/>
    <col min="12308" max="12308" width="26.109375" style="1858" customWidth="1"/>
    <col min="12309" max="12544" width="8.88671875" style="1858"/>
    <col min="12545" max="12545" width="9.44140625" style="1858" customWidth="1"/>
    <col min="12546" max="12546" width="8.88671875" style="1858"/>
    <col min="12547" max="12549" width="12.88671875" style="1858" customWidth="1"/>
    <col min="12550" max="12550" width="47.44140625" style="1858" customWidth="1"/>
    <col min="12551" max="12551" width="13" style="1858" customWidth="1"/>
    <col min="12552" max="12553" width="8.88671875" style="1858"/>
    <col min="12554" max="12554" width="5.77734375" style="1858" customWidth="1"/>
    <col min="12555" max="12555" width="11.77734375" style="1858" customWidth="1"/>
    <col min="12556" max="12557" width="10.77734375" style="1858" customWidth="1"/>
    <col min="12558" max="12558" width="10" style="1858" customWidth="1"/>
    <col min="12559" max="12560" width="10.44140625" style="1858" customWidth="1"/>
    <col min="12561" max="12561" width="10" style="1858" customWidth="1"/>
    <col min="12562" max="12562" width="10.109375" style="1858" customWidth="1"/>
    <col min="12563" max="12563" width="10" style="1858" customWidth="1"/>
    <col min="12564" max="12564" width="26.109375" style="1858" customWidth="1"/>
    <col min="12565" max="12800" width="8.88671875" style="1858"/>
    <col min="12801" max="12801" width="9.44140625" style="1858" customWidth="1"/>
    <col min="12802" max="12802" width="8.88671875" style="1858"/>
    <col min="12803" max="12805" width="12.88671875" style="1858" customWidth="1"/>
    <col min="12806" max="12806" width="47.44140625" style="1858" customWidth="1"/>
    <col min="12807" max="12807" width="13" style="1858" customWidth="1"/>
    <col min="12808" max="12809" width="8.88671875" style="1858"/>
    <col min="12810" max="12810" width="5.77734375" style="1858" customWidth="1"/>
    <col min="12811" max="12811" width="11.77734375" style="1858" customWidth="1"/>
    <col min="12812" max="12813" width="10.77734375" style="1858" customWidth="1"/>
    <col min="12814" max="12814" width="10" style="1858" customWidth="1"/>
    <col min="12815" max="12816" width="10.44140625" style="1858" customWidth="1"/>
    <col min="12817" max="12817" width="10" style="1858" customWidth="1"/>
    <col min="12818" max="12818" width="10.109375" style="1858" customWidth="1"/>
    <col min="12819" max="12819" width="10" style="1858" customWidth="1"/>
    <col min="12820" max="12820" width="26.109375" style="1858" customWidth="1"/>
    <col min="12821" max="13056" width="8.88671875" style="1858"/>
    <col min="13057" max="13057" width="9.44140625" style="1858" customWidth="1"/>
    <col min="13058" max="13058" width="8.88671875" style="1858"/>
    <col min="13059" max="13061" width="12.88671875" style="1858" customWidth="1"/>
    <col min="13062" max="13062" width="47.44140625" style="1858" customWidth="1"/>
    <col min="13063" max="13063" width="13" style="1858" customWidth="1"/>
    <col min="13064" max="13065" width="8.88671875" style="1858"/>
    <col min="13066" max="13066" width="5.77734375" style="1858" customWidth="1"/>
    <col min="13067" max="13067" width="11.77734375" style="1858" customWidth="1"/>
    <col min="13068" max="13069" width="10.77734375" style="1858" customWidth="1"/>
    <col min="13070" max="13070" width="10" style="1858" customWidth="1"/>
    <col min="13071" max="13072" width="10.44140625" style="1858" customWidth="1"/>
    <col min="13073" max="13073" width="10" style="1858" customWidth="1"/>
    <col min="13074" max="13074" width="10.109375" style="1858" customWidth="1"/>
    <col min="13075" max="13075" width="10" style="1858" customWidth="1"/>
    <col min="13076" max="13076" width="26.109375" style="1858" customWidth="1"/>
    <col min="13077" max="13312" width="8.88671875" style="1858"/>
    <col min="13313" max="13313" width="9.44140625" style="1858" customWidth="1"/>
    <col min="13314" max="13314" width="8.88671875" style="1858"/>
    <col min="13315" max="13317" width="12.88671875" style="1858" customWidth="1"/>
    <col min="13318" max="13318" width="47.44140625" style="1858" customWidth="1"/>
    <col min="13319" max="13319" width="13" style="1858" customWidth="1"/>
    <col min="13320" max="13321" width="8.88671875" style="1858"/>
    <col min="13322" max="13322" width="5.77734375" style="1858" customWidth="1"/>
    <col min="13323" max="13323" width="11.77734375" style="1858" customWidth="1"/>
    <col min="13324" max="13325" width="10.77734375" style="1858" customWidth="1"/>
    <col min="13326" max="13326" width="10" style="1858" customWidth="1"/>
    <col min="13327" max="13328" width="10.44140625" style="1858" customWidth="1"/>
    <col min="13329" max="13329" width="10" style="1858" customWidth="1"/>
    <col min="13330" max="13330" width="10.109375" style="1858" customWidth="1"/>
    <col min="13331" max="13331" width="10" style="1858" customWidth="1"/>
    <col min="13332" max="13332" width="26.109375" style="1858" customWidth="1"/>
    <col min="13333" max="13568" width="8.88671875" style="1858"/>
    <col min="13569" max="13569" width="9.44140625" style="1858" customWidth="1"/>
    <col min="13570" max="13570" width="8.88671875" style="1858"/>
    <col min="13571" max="13573" width="12.88671875" style="1858" customWidth="1"/>
    <col min="13574" max="13574" width="47.44140625" style="1858" customWidth="1"/>
    <col min="13575" max="13575" width="13" style="1858" customWidth="1"/>
    <col min="13576" max="13577" width="8.88671875" style="1858"/>
    <col min="13578" max="13578" width="5.77734375" style="1858" customWidth="1"/>
    <col min="13579" max="13579" width="11.77734375" style="1858" customWidth="1"/>
    <col min="13580" max="13581" width="10.77734375" style="1858" customWidth="1"/>
    <col min="13582" max="13582" width="10" style="1858" customWidth="1"/>
    <col min="13583" max="13584" width="10.44140625" style="1858" customWidth="1"/>
    <col min="13585" max="13585" width="10" style="1858" customWidth="1"/>
    <col min="13586" max="13586" width="10.109375" style="1858" customWidth="1"/>
    <col min="13587" max="13587" width="10" style="1858" customWidth="1"/>
    <col min="13588" max="13588" width="26.109375" style="1858" customWidth="1"/>
    <col min="13589" max="13824" width="8.88671875" style="1858"/>
    <col min="13825" max="13825" width="9.44140625" style="1858" customWidth="1"/>
    <col min="13826" max="13826" width="8.88671875" style="1858"/>
    <col min="13827" max="13829" width="12.88671875" style="1858" customWidth="1"/>
    <col min="13830" max="13830" width="47.44140625" style="1858" customWidth="1"/>
    <col min="13831" max="13831" width="13" style="1858" customWidth="1"/>
    <col min="13832" max="13833" width="8.88671875" style="1858"/>
    <col min="13834" max="13834" width="5.77734375" style="1858" customWidth="1"/>
    <col min="13835" max="13835" width="11.77734375" style="1858" customWidth="1"/>
    <col min="13836" max="13837" width="10.77734375" style="1858" customWidth="1"/>
    <col min="13838" max="13838" width="10" style="1858" customWidth="1"/>
    <col min="13839" max="13840" width="10.44140625" style="1858" customWidth="1"/>
    <col min="13841" max="13841" width="10" style="1858" customWidth="1"/>
    <col min="13842" max="13842" width="10.109375" style="1858" customWidth="1"/>
    <col min="13843" max="13843" width="10" style="1858" customWidth="1"/>
    <col min="13844" max="13844" width="26.109375" style="1858" customWidth="1"/>
    <col min="13845" max="14080" width="8.88671875" style="1858"/>
    <col min="14081" max="14081" width="9.44140625" style="1858" customWidth="1"/>
    <col min="14082" max="14082" width="8.88671875" style="1858"/>
    <col min="14083" max="14085" width="12.88671875" style="1858" customWidth="1"/>
    <col min="14086" max="14086" width="47.44140625" style="1858" customWidth="1"/>
    <col min="14087" max="14087" width="13" style="1858" customWidth="1"/>
    <col min="14088" max="14089" width="8.88671875" style="1858"/>
    <col min="14090" max="14090" width="5.77734375" style="1858" customWidth="1"/>
    <col min="14091" max="14091" width="11.77734375" style="1858" customWidth="1"/>
    <col min="14092" max="14093" width="10.77734375" style="1858" customWidth="1"/>
    <col min="14094" max="14094" width="10" style="1858" customWidth="1"/>
    <col min="14095" max="14096" width="10.44140625" style="1858" customWidth="1"/>
    <col min="14097" max="14097" width="10" style="1858" customWidth="1"/>
    <col min="14098" max="14098" width="10.109375" style="1858" customWidth="1"/>
    <col min="14099" max="14099" width="10" style="1858" customWidth="1"/>
    <col min="14100" max="14100" width="26.109375" style="1858" customWidth="1"/>
    <col min="14101" max="14336" width="8.88671875" style="1858"/>
    <col min="14337" max="14337" width="9.44140625" style="1858" customWidth="1"/>
    <col min="14338" max="14338" width="8.88671875" style="1858"/>
    <col min="14339" max="14341" width="12.88671875" style="1858" customWidth="1"/>
    <col min="14342" max="14342" width="47.44140625" style="1858" customWidth="1"/>
    <col min="14343" max="14343" width="13" style="1858" customWidth="1"/>
    <col min="14344" max="14345" width="8.88671875" style="1858"/>
    <col min="14346" max="14346" width="5.77734375" style="1858" customWidth="1"/>
    <col min="14347" max="14347" width="11.77734375" style="1858" customWidth="1"/>
    <col min="14348" max="14349" width="10.77734375" style="1858" customWidth="1"/>
    <col min="14350" max="14350" width="10" style="1858" customWidth="1"/>
    <col min="14351" max="14352" width="10.44140625" style="1858" customWidth="1"/>
    <col min="14353" max="14353" width="10" style="1858" customWidth="1"/>
    <col min="14354" max="14354" width="10.109375" style="1858" customWidth="1"/>
    <col min="14355" max="14355" width="10" style="1858" customWidth="1"/>
    <col min="14356" max="14356" width="26.109375" style="1858" customWidth="1"/>
    <col min="14357" max="14592" width="8.88671875" style="1858"/>
    <col min="14593" max="14593" width="9.44140625" style="1858" customWidth="1"/>
    <col min="14594" max="14594" width="8.88671875" style="1858"/>
    <col min="14595" max="14597" width="12.88671875" style="1858" customWidth="1"/>
    <col min="14598" max="14598" width="47.44140625" style="1858" customWidth="1"/>
    <col min="14599" max="14599" width="13" style="1858" customWidth="1"/>
    <col min="14600" max="14601" width="8.88671875" style="1858"/>
    <col min="14602" max="14602" width="5.77734375" style="1858" customWidth="1"/>
    <col min="14603" max="14603" width="11.77734375" style="1858" customWidth="1"/>
    <col min="14604" max="14605" width="10.77734375" style="1858" customWidth="1"/>
    <col min="14606" max="14606" width="10" style="1858" customWidth="1"/>
    <col min="14607" max="14608" width="10.44140625" style="1858" customWidth="1"/>
    <col min="14609" max="14609" width="10" style="1858" customWidth="1"/>
    <col min="14610" max="14610" width="10.109375" style="1858" customWidth="1"/>
    <col min="14611" max="14611" width="10" style="1858" customWidth="1"/>
    <col min="14612" max="14612" width="26.109375" style="1858" customWidth="1"/>
    <col min="14613" max="14848" width="8.88671875" style="1858"/>
    <col min="14849" max="14849" width="9.44140625" style="1858" customWidth="1"/>
    <col min="14850" max="14850" width="8.88671875" style="1858"/>
    <col min="14851" max="14853" width="12.88671875" style="1858" customWidth="1"/>
    <col min="14854" max="14854" width="47.44140625" style="1858" customWidth="1"/>
    <col min="14855" max="14855" width="13" style="1858" customWidth="1"/>
    <col min="14856" max="14857" width="8.88671875" style="1858"/>
    <col min="14858" max="14858" width="5.77734375" style="1858" customWidth="1"/>
    <col min="14859" max="14859" width="11.77734375" style="1858" customWidth="1"/>
    <col min="14860" max="14861" width="10.77734375" style="1858" customWidth="1"/>
    <col min="14862" max="14862" width="10" style="1858" customWidth="1"/>
    <col min="14863" max="14864" width="10.44140625" style="1858" customWidth="1"/>
    <col min="14865" max="14865" width="10" style="1858" customWidth="1"/>
    <col min="14866" max="14866" width="10.109375" style="1858" customWidth="1"/>
    <col min="14867" max="14867" width="10" style="1858" customWidth="1"/>
    <col min="14868" max="14868" width="26.109375" style="1858" customWidth="1"/>
    <col min="14869" max="15104" width="8.88671875" style="1858"/>
    <col min="15105" max="15105" width="9.44140625" style="1858" customWidth="1"/>
    <col min="15106" max="15106" width="8.88671875" style="1858"/>
    <col min="15107" max="15109" width="12.88671875" style="1858" customWidth="1"/>
    <col min="15110" max="15110" width="47.44140625" style="1858" customWidth="1"/>
    <col min="15111" max="15111" width="13" style="1858" customWidth="1"/>
    <col min="15112" max="15113" width="8.88671875" style="1858"/>
    <col min="15114" max="15114" width="5.77734375" style="1858" customWidth="1"/>
    <col min="15115" max="15115" width="11.77734375" style="1858" customWidth="1"/>
    <col min="15116" max="15117" width="10.77734375" style="1858" customWidth="1"/>
    <col min="15118" max="15118" width="10" style="1858" customWidth="1"/>
    <col min="15119" max="15120" width="10.44140625" style="1858" customWidth="1"/>
    <col min="15121" max="15121" width="10" style="1858" customWidth="1"/>
    <col min="15122" max="15122" width="10.109375" style="1858" customWidth="1"/>
    <col min="15123" max="15123" width="10" style="1858" customWidth="1"/>
    <col min="15124" max="15124" width="26.109375" style="1858" customWidth="1"/>
    <col min="15125" max="15360" width="8.88671875" style="1858"/>
    <col min="15361" max="15361" width="9.44140625" style="1858" customWidth="1"/>
    <col min="15362" max="15362" width="8.88671875" style="1858"/>
    <col min="15363" max="15365" width="12.88671875" style="1858" customWidth="1"/>
    <col min="15366" max="15366" width="47.44140625" style="1858" customWidth="1"/>
    <col min="15367" max="15367" width="13" style="1858" customWidth="1"/>
    <col min="15368" max="15369" width="8.88671875" style="1858"/>
    <col min="15370" max="15370" width="5.77734375" style="1858" customWidth="1"/>
    <col min="15371" max="15371" width="11.77734375" style="1858" customWidth="1"/>
    <col min="15372" max="15373" width="10.77734375" style="1858" customWidth="1"/>
    <col min="15374" max="15374" width="10" style="1858" customWidth="1"/>
    <col min="15375" max="15376" width="10.44140625" style="1858" customWidth="1"/>
    <col min="15377" max="15377" width="10" style="1858" customWidth="1"/>
    <col min="15378" max="15378" width="10.109375" style="1858" customWidth="1"/>
    <col min="15379" max="15379" width="10" style="1858" customWidth="1"/>
    <col min="15380" max="15380" width="26.109375" style="1858" customWidth="1"/>
    <col min="15381" max="15616" width="8.88671875" style="1858"/>
    <col min="15617" max="15617" width="9.44140625" style="1858" customWidth="1"/>
    <col min="15618" max="15618" width="8.88671875" style="1858"/>
    <col min="15619" max="15621" width="12.88671875" style="1858" customWidth="1"/>
    <col min="15622" max="15622" width="47.44140625" style="1858" customWidth="1"/>
    <col min="15623" max="15623" width="13" style="1858" customWidth="1"/>
    <col min="15624" max="15625" width="8.88671875" style="1858"/>
    <col min="15626" max="15626" width="5.77734375" style="1858" customWidth="1"/>
    <col min="15627" max="15627" width="11.77734375" style="1858" customWidth="1"/>
    <col min="15628" max="15629" width="10.77734375" style="1858" customWidth="1"/>
    <col min="15630" max="15630" width="10" style="1858" customWidth="1"/>
    <col min="15631" max="15632" width="10.44140625" style="1858" customWidth="1"/>
    <col min="15633" max="15633" width="10" style="1858" customWidth="1"/>
    <col min="15634" max="15634" width="10.109375" style="1858" customWidth="1"/>
    <col min="15635" max="15635" width="10" style="1858" customWidth="1"/>
    <col min="15636" max="15636" width="26.109375" style="1858" customWidth="1"/>
    <col min="15637" max="15872" width="8.88671875" style="1858"/>
    <col min="15873" max="15873" width="9.44140625" style="1858" customWidth="1"/>
    <col min="15874" max="15874" width="8.88671875" style="1858"/>
    <col min="15875" max="15877" width="12.88671875" style="1858" customWidth="1"/>
    <col min="15878" max="15878" width="47.44140625" style="1858" customWidth="1"/>
    <col min="15879" max="15879" width="13" style="1858" customWidth="1"/>
    <col min="15880" max="15881" width="8.88671875" style="1858"/>
    <col min="15882" max="15882" width="5.77734375" style="1858" customWidth="1"/>
    <col min="15883" max="15883" width="11.77734375" style="1858" customWidth="1"/>
    <col min="15884" max="15885" width="10.77734375" style="1858" customWidth="1"/>
    <col min="15886" max="15886" width="10" style="1858" customWidth="1"/>
    <col min="15887" max="15888" width="10.44140625" style="1858" customWidth="1"/>
    <col min="15889" max="15889" width="10" style="1858" customWidth="1"/>
    <col min="15890" max="15890" width="10.109375" style="1858" customWidth="1"/>
    <col min="15891" max="15891" width="10" style="1858" customWidth="1"/>
    <col min="15892" max="15892" width="26.109375" style="1858" customWidth="1"/>
    <col min="15893" max="16128" width="8.88671875" style="1858"/>
    <col min="16129" max="16129" width="9.44140625" style="1858" customWidth="1"/>
    <col min="16130" max="16130" width="8.88671875" style="1858"/>
    <col min="16131" max="16133" width="12.88671875" style="1858" customWidth="1"/>
    <col min="16134" max="16134" width="47.44140625" style="1858" customWidth="1"/>
    <col min="16135" max="16135" width="13" style="1858" customWidth="1"/>
    <col min="16136" max="16137" width="8.88671875" style="1858"/>
    <col min="16138" max="16138" width="5.77734375" style="1858" customWidth="1"/>
    <col min="16139" max="16139" width="11.77734375" style="1858" customWidth="1"/>
    <col min="16140" max="16141" width="10.77734375" style="1858" customWidth="1"/>
    <col min="16142" max="16142" width="10" style="1858" customWidth="1"/>
    <col min="16143" max="16144" width="10.44140625" style="1858" customWidth="1"/>
    <col min="16145" max="16145" width="10" style="1858" customWidth="1"/>
    <col min="16146" max="16146" width="10.109375" style="1858" customWidth="1"/>
    <col min="16147" max="16147" width="10" style="1858" customWidth="1"/>
    <col min="16148" max="16148" width="26.109375" style="1858" customWidth="1"/>
    <col min="16149" max="16384" width="8.88671875" style="1858"/>
  </cols>
  <sheetData>
    <row r="1" spans="1:22" ht="21" customHeight="1">
      <c r="A1" s="1863" t="s">
        <v>1574</v>
      </c>
      <c r="B1" s="1864"/>
      <c r="C1" s="1865"/>
      <c r="D1" s="1865"/>
      <c r="E1" s="1866"/>
      <c r="F1" s="1867"/>
      <c r="G1" s="1868"/>
      <c r="J1" s="1970" t="s">
        <v>1575</v>
      </c>
      <c r="K1" s="1971"/>
      <c r="L1" s="1971"/>
      <c r="M1" s="1971"/>
      <c r="N1" s="1971"/>
      <c r="O1" s="1971"/>
      <c r="P1" s="1971"/>
      <c r="Q1" s="1971"/>
      <c r="R1" s="2010"/>
      <c r="S1" s="2011"/>
      <c r="T1" s="2011"/>
      <c r="U1" s="2011"/>
    </row>
    <row r="2" spans="1:22" s="1856" customFormat="1" ht="13.2" customHeight="1">
      <c r="A2" s="1869" t="s">
        <v>1374</v>
      </c>
      <c r="B2" s="1870" t="e">
        <f>IF(D2="——",C40,C40+E2)</f>
        <v>#DIV/0!</v>
      </c>
      <c r="C2" s="1865" t="s">
        <v>1375</v>
      </c>
      <c r="D2" s="1871" t="s">
        <v>1576</v>
      </c>
      <c r="E2" s="1872"/>
      <c r="F2" s="1873"/>
      <c r="G2" s="1874"/>
      <c r="H2" s="1875"/>
      <c r="I2" s="1972"/>
      <c r="J2" s="3861" t="s">
        <v>1577</v>
      </c>
      <c r="K2" s="3862"/>
      <c r="L2" s="1973" t="s">
        <v>1578</v>
      </c>
      <c r="M2" s="1973" t="s">
        <v>1579</v>
      </c>
      <c r="N2" s="1973" t="s">
        <v>1580</v>
      </c>
      <c r="O2" s="1973" t="s">
        <v>1581</v>
      </c>
      <c r="P2" s="1973" t="s">
        <v>1582</v>
      </c>
      <c r="Q2" s="2012" t="s">
        <v>1583</v>
      </c>
      <c r="R2" s="2013" t="s">
        <v>1584</v>
      </c>
      <c r="S2" s="2011"/>
      <c r="T2" s="2011"/>
      <c r="U2" s="2011"/>
      <c r="V2" s="1972"/>
    </row>
    <row r="3" spans="1:22" s="1856" customFormat="1" ht="13.2" customHeight="1">
      <c r="A3" s="1876" t="s">
        <v>1376</v>
      </c>
      <c r="B3" s="1877" t="e">
        <f>ROUND(B2*10000/B4,0)</f>
        <v>#DIV/0!</v>
      </c>
      <c r="C3" s="1865" t="s">
        <v>1377</v>
      </c>
      <c r="D3" s="1865"/>
      <c r="E3" s="1878"/>
      <c r="F3" s="1873"/>
      <c r="G3" s="1874"/>
      <c r="H3" s="1875"/>
      <c r="I3" s="1972"/>
      <c r="J3" s="3863" t="s">
        <v>1585</v>
      </c>
      <c r="K3" s="3864"/>
      <c r="L3" s="1974"/>
      <c r="M3" s="1974"/>
      <c r="N3" s="1974"/>
      <c r="O3" s="1974"/>
      <c r="P3" s="1974"/>
      <c r="Q3" s="2014"/>
      <c r="R3" s="2015">
        <f>SUM(L3:Q3)</f>
        <v>0</v>
      </c>
      <c r="S3" s="2011"/>
      <c r="T3" s="2011"/>
      <c r="U3" s="2011"/>
      <c r="V3" s="1972"/>
    </row>
    <row r="4" spans="1:22" s="1856" customFormat="1" ht="13.2" customHeight="1">
      <c r="A4" s="1879" t="s">
        <v>1586</v>
      </c>
      <c r="B4" s="1880"/>
      <c r="C4" s="1865"/>
      <c r="D4" s="1865"/>
      <c r="E4" s="1878"/>
      <c r="F4" s="1873"/>
      <c r="G4" s="1874"/>
      <c r="H4" s="1875"/>
      <c r="I4" s="1972"/>
      <c r="J4" s="3863" t="s">
        <v>1587</v>
      </c>
      <c r="K4" s="3864"/>
      <c r="L4" s="1975"/>
      <c r="M4" s="1975"/>
      <c r="N4" s="1975"/>
      <c r="O4" s="1975"/>
      <c r="P4" s="1975"/>
      <c r="Q4" s="2016"/>
      <c r="R4" s="2017">
        <f>SUM(L4:Q4)</f>
        <v>0</v>
      </c>
      <c r="S4" s="2011"/>
      <c r="T4" s="2011"/>
      <c r="U4" s="2011"/>
      <c r="V4" s="1972"/>
    </row>
    <row r="5" spans="1:22" s="1856" customFormat="1" ht="13.2" customHeight="1">
      <c r="A5" s="1881" t="s">
        <v>1588</v>
      </c>
      <c r="B5" s="1882"/>
      <c r="C5" s="1865"/>
      <c r="D5" s="1883"/>
      <c r="E5" s="1873"/>
      <c r="F5" s="1873"/>
      <c r="G5" s="1874"/>
      <c r="H5" s="1875"/>
      <c r="I5" s="1972"/>
      <c r="J5" s="1976" t="s">
        <v>1589</v>
      </c>
      <c r="K5" s="1977"/>
      <c r="L5" s="1977"/>
      <c r="M5" s="1978"/>
      <c r="N5" s="1978"/>
      <c r="O5" s="1978"/>
      <c r="P5" s="1978"/>
      <c r="Q5" s="1978"/>
      <c r="R5" s="2013">
        <f>SUM(R14,R19,R24,R25,R27,R28)</f>
        <v>0</v>
      </c>
      <c r="S5" s="2011"/>
      <c r="T5" s="2011" t="s">
        <v>1590</v>
      </c>
      <c r="U5" s="2011" t="e">
        <f>ROUND(R5*10000/365/R3,1)</f>
        <v>#DIV/0!</v>
      </c>
      <c r="V5" s="1972"/>
    </row>
    <row r="6" spans="1:22" s="1856" customFormat="1" ht="13.2" customHeight="1">
      <c r="A6" s="3865" t="s">
        <v>1591</v>
      </c>
      <c r="B6" s="3866"/>
      <c r="C6" s="3867"/>
      <c r="D6" s="1884"/>
      <c r="E6" s="1885"/>
      <c r="F6" s="1886"/>
      <c r="G6" s="1887"/>
      <c r="H6" s="1875"/>
      <c r="I6" s="1972"/>
      <c r="J6" s="3874">
        <v>1</v>
      </c>
      <c r="K6" s="3877" t="s">
        <v>1592</v>
      </c>
      <c r="L6" s="1980" t="s">
        <v>1593</v>
      </c>
      <c r="M6" s="1981" t="s">
        <v>1594</v>
      </c>
      <c r="N6" s="1981" t="s">
        <v>1595</v>
      </c>
      <c r="O6" s="1981" t="s">
        <v>1596</v>
      </c>
      <c r="P6" s="1981" t="s">
        <v>1597</v>
      </c>
      <c r="Q6" s="1981" t="s">
        <v>1598</v>
      </c>
      <c r="R6" s="2015" t="s">
        <v>1599</v>
      </c>
      <c r="S6" s="2011"/>
      <c r="T6" s="2011" t="s">
        <v>1600</v>
      </c>
      <c r="U6" s="2011"/>
      <c r="V6" s="1972"/>
    </row>
    <row r="7" spans="1:22" s="1856" customFormat="1" ht="13.2" customHeight="1">
      <c r="A7" s="1888" t="s">
        <v>1601</v>
      </c>
      <c r="B7" s="1889"/>
      <c r="C7" s="1890"/>
      <c r="D7" s="1891">
        <f>SUM(D9,D10,D11,D17,0)</f>
        <v>0</v>
      </c>
      <c r="E7" s="1892" t="e">
        <f>E9+E10+E11+E17</f>
        <v>#DIV/0!</v>
      </c>
      <c r="F7" s="1893"/>
      <c r="G7" s="1894"/>
      <c r="H7" s="1875"/>
      <c r="I7" s="1972"/>
      <c r="J7" s="3874"/>
      <c r="K7" s="3878"/>
      <c r="L7" s="1982" t="s">
        <v>1602</v>
      </c>
      <c r="M7" s="1983"/>
      <c r="N7" s="1880"/>
      <c r="O7" s="1984"/>
      <c r="P7" s="1984"/>
      <c r="Q7" s="1913">
        <v>365</v>
      </c>
      <c r="R7" s="2018">
        <f>ROUND(M7*N7*O7*P7*Q7/10000,0)</f>
        <v>0</v>
      </c>
      <c r="S7" s="2011"/>
      <c r="T7" s="2011" t="s">
        <v>1603</v>
      </c>
      <c r="U7" s="2011"/>
      <c r="V7" s="1972"/>
    </row>
    <row r="8" spans="1:22" s="1856" customFormat="1" ht="13.2" customHeight="1">
      <c r="A8" s="1895" t="s">
        <v>1604</v>
      </c>
      <c r="B8" s="3868" t="s">
        <v>1605</v>
      </c>
      <c r="C8" s="3869"/>
      <c r="D8" s="1898" t="s">
        <v>1606</v>
      </c>
      <c r="E8" s="1899" t="s">
        <v>1607</v>
      </c>
      <c r="F8" s="1900" t="s">
        <v>1608</v>
      </c>
      <c r="G8" s="1901"/>
      <c r="H8" s="1875"/>
      <c r="I8" s="1972"/>
      <c r="J8" s="3874"/>
      <c r="K8" s="3878"/>
      <c r="L8" s="1982" t="s">
        <v>1609</v>
      </c>
      <c r="M8" s="1983"/>
      <c r="N8" s="1880"/>
      <c r="O8" s="1984"/>
      <c r="P8" s="1984"/>
      <c r="Q8" s="1913">
        <v>365</v>
      </c>
      <c r="R8" s="2018">
        <f t="shared" ref="R8:R13" si="0">ROUND(M8*N8*O8*P8*Q8/10000,0)</f>
        <v>0</v>
      </c>
      <c r="S8" s="2011"/>
      <c r="T8" s="2011" t="s">
        <v>1610</v>
      </c>
      <c r="U8" s="2011"/>
      <c r="V8" s="1972"/>
    </row>
    <row r="9" spans="1:22" s="1856" customFormat="1" ht="13.2" customHeight="1">
      <c r="A9" s="1895">
        <v>1</v>
      </c>
      <c r="B9" s="3868" t="s">
        <v>1611</v>
      </c>
      <c r="C9" s="3869"/>
      <c r="D9" s="1898">
        <f>ROUND(D6*E9,0)</f>
        <v>0</v>
      </c>
      <c r="E9" s="1902"/>
      <c r="F9" s="1903" t="s">
        <v>1612</v>
      </c>
      <c r="G9" s="1887"/>
      <c r="H9" s="1875"/>
      <c r="I9" s="1972"/>
      <c r="J9" s="3874"/>
      <c r="K9" s="3878"/>
      <c r="L9" s="1982" t="s">
        <v>1613</v>
      </c>
      <c r="M9" s="1983"/>
      <c r="N9" s="1880"/>
      <c r="O9" s="1984"/>
      <c r="P9" s="1984"/>
      <c r="Q9" s="1913">
        <v>365</v>
      </c>
      <c r="R9" s="2018">
        <f t="shared" si="0"/>
        <v>0</v>
      </c>
      <c r="S9" s="2011"/>
      <c r="T9" s="2011"/>
      <c r="U9" s="2011"/>
      <c r="V9" s="1972"/>
    </row>
    <row r="10" spans="1:22" s="1856" customFormat="1" ht="13.2" customHeight="1">
      <c r="A10" s="1895">
        <v>2</v>
      </c>
      <c r="B10" s="3868" t="s">
        <v>1614</v>
      </c>
      <c r="C10" s="3869"/>
      <c r="D10" s="1898">
        <f>ROUND(D6*E10,0)</f>
        <v>0</v>
      </c>
      <c r="E10" s="1902"/>
      <c r="F10" s="1903" t="s">
        <v>1615</v>
      </c>
      <c r="G10" s="1887"/>
      <c r="H10" s="1875"/>
      <c r="I10" s="1972"/>
      <c r="J10" s="3874"/>
      <c r="K10" s="3878"/>
      <c r="L10" s="1982" t="s">
        <v>1616</v>
      </c>
      <c r="M10" s="1983"/>
      <c r="N10" s="1880"/>
      <c r="O10" s="1984"/>
      <c r="P10" s="1984"/>
      <c r="Q10" s="1913">
        <v>365</v>
      </c>
      <c r="R10" s="2018">
        <f t="shared" si="0"/>
        <v>0</v>
      </c>
      <c r="S10" s="2011"/>
      <c r="T10" s="2011"/>
      <c r="U10" s="2011"/>
      <c r="V10" s="1972"/>
    </row>
    <row r="11" spans="1:22" s="1856" customFormat="1" ht="13.2" customHeight="1">
      <c r="A11" s="1895">
        <v>3</v>
      </c>
      <c r="B11" s="3868" t="s">
        <v>1617</v>
      </c>
      <c r="C11" s="3869"/>
      <c r="D11" s="1898">
        <f>D12+D14+D15+D16</f>
        <v>0</v>
      </c>
      <c r="E11" s="1904" t="e">
        <f>D11/D6</f>
        <v>#DIV/0!</v>
      </c>
      <c r="F11" s="1900"/>
      <c r="G11" s="1901"/>
      <c r="H11" s="1875"/>
      <c r="I11" s="1972"/>
      <c r="J11" s="3874"/>
      <c r="K11" s="3878"/>
      <c r="L11" s="1982" t="s">
        <v>1618</v>
      </c>
      <c r="M11" s="1983"/>
      <c r="N11" s="1880"/>
      <c r="O11" s="1984"/>
      <c r="P11" s="1984"/>
      <c r="Q11" s="1913">
        <v>365</v>
      </c>
      <c r="R11" s="2018">
        <f t="shared" si="0"/>
        <v>0</v>
      </c>
      <c r="S11" s="2011"/>
      <c r="T11" s="2011"/>
      <c r="U11" s="2011"/>
      <c r="V11" s="1972"/>
    </row>
    <row r="12" spans="1:22" s="1856" customFormat="1" ht="13.2" customHeight="1">
      <c r="A12" s="1905" t="s">
        <v>1619</v>
      </c>
      <c r="B12" s="3870" t="s">
        <v>1620</v>
      </c>
      <c r="C12" s="3871"/>
      <c r="D12" s="1908">
        <f>ROUND(D13*1.2%*(1-30%),0)</f>
        <v>0</v>
      </c>
      <c r="E12" s="1909">
        <v>1.2E-2</v>
      </c>
      <c r="F12" s="1900" t="s">
        <v>1621</v>
      </c>
      <c r="G12" s="1901"/>
      <c r="H12" s="1875"/>
      <c r="I12" s="1972"/>
      <c r="J12" s="3874"/>
      <c r="K12" s="3878"/>
      <c r="L12" s="1982" t="s">
        <v>1622</v>
      </c>
      <c r="M12" s="1983"/>
      <c r="N12" s="1880"/>
      <c r="O12" s="1984"/>
      <c r="P12" s="1984"/>
      <c r="Q12" s="1913">
        <v>365</v>
      </c>
      <c r="R12" s="2018">
        <f t="shared" si="0"/>
        <v>0</v>
      </c>
      <c r="S12" s="2011"/>
      <c r="T12" s="2011"/>
      <c r="U12" s="2011"/>
      <c r="V12" s="1972"/>
    </row>
    <row r="13" spans="1:22" s="1856" customFormat="1" ht="13.2" customHeight="1">
      <c r="A13" s="1905"/>
      <c r="B13" s="1906"/>
      <c r="C13" s="1910" t="s">
        <v>1623</v>
      </c>
      <c r="D13" s="1911"/>
      <c r="E13" s="1912"/>
      <c r="F13" s="1900"/>
      <c r="G13" s="1901"/>
      <c r="H13" s="1875"/>
      <c r="I13" s="1972"/>
      <c r="J13" s="3874"/>
      <c r="K13" s="3878"/>
      <c r="L13" s="1982" t="s">
        <v>1624</v>
      </c>
      <c r="M13" s="1983"/>
      <c r="N13" s="1880"/>
      <c r="O13" s="1984"/>
      <c r="P13" s="1984"/>
      <c r="Q13" s="1913">
        <v>365</v>
      </c>
      <c r="R13" s="2018">
        <f t="shared" si="0"/>
        <v>0</v>
      </c>
      <c r="S13" s="2011"/>
      <c r="T13" s="2011"/>
      <c r="U13" s="2011"/>
      <c r="V13" s="1972"/>
    </row>
    <row r="14" spans="1:22" s="1856" customFormat="1" ht="13.2" customHeight="1">
      <c r="A14" s="1905" t="s">
        <v>1625</v>
      </c>
      <c r="B14" s="3870" t="s">
        <v>1626</v>
      </c>
      <c r="C14" s="3871"/>
      <c r="D14" s="1908">
        <f>ROUND(E14*B5/10000,0)</f>
        <v>0</v>
      </c>
      <c r="E14" s="1913"/>
      <c r="F14" s="1900" t="s">
        <v>1627</v>
      </c>
      <c r="G14" s="1901"/>
      <c r="H14" s="1875"/>
      <c r="I14" s="1972"/>
      <c r="J14" s="3874"/>
      <c r="K14" s="3879"/>
      <c r="L14" s="1985" t="s">
        <v>1628</v>
      </c>
      <c r="M14" s="1986">
        <f>SUM(M7:M13)</f>
        <v>0</v>
      </c>
      <c r="N14" s="1986" t="e">
        <f>ROUND((N7*M7+N8*M8+N9*M9+N10*M10+N11*M11+N12*M12+N13*M13)/M14,0)</f>
        <v>#DIV/0!</v>
      </c>
      <c r="O14" s="1987"/>
      <c r="P14" s="1987"/>
      <c r="Q14" s="2019"/>
      <c r="R14" s="2013">
        <f>SUM(R7:R13)</f>
        <v>0</v>
      </c>
      <c r="S14" s="2011"/>
      <c r="T14" s="2011"/>
      <c r="U14" s="2011"/>
      <c r="V14" s="1972"/>
    </row>
    <row r="15" spans="1:22" s="1856" customFormat="1" ht="13.2" customHeight="1">
      <c r="A15" s="1905" t="s">
        <v>1629</v>
      </c>
      <c r="B15" s="3870" t="s">
        <v>1630</v>
      </c>
      <c r="C15" s="3871"/>
      <c r="D15" s="1908">
        <f>ROUND(D6*E15,0)</f>
        <v>0</v>
      </c>
      <c r="E15" s="1909">
        <v>5.5E-2</v>
      </c>
      <c r="F15" s="1900" t="s">
        <v>1631</v>
      </c>
      <c r="G15" s="1887"/>
      <c r="H15" s="1875"/>
      <c r="I15" s="1972"/>
      <c r="J15" s="3874">
        <v>2</v>
      </c>
      <c r="K15" s="3877" t="s">
        <v>1632</v>
      </c>
      <c r="L15" s="1982" t="s">
        <v>1633</v>
      </c>
      <c r="M15" s="1983" t="s">
        <v>1634</v>
      </c>
      <c r="N15" s="1983" t="s">
        <v>1635</v>
      </c>
      <c r="O15" s="1984" t="s">
        <v>1636</v>
      </c>
      <c r="P15" s="1984" t="s">
        <v>1598</v>
      </c>
      <c r="Q15" s="1880" t="s">
        <v>124</v>
      </c>
      <c r="R15" s="2020" t="s">
        <v>1599</v>
      </c>
      <c r="S15" s="2011"/>
      <c r="T15" s="2011"/>
      <c r="U15" s="2011"/>
      <c r="V15" s="1972"/>
    </row>
    <row r="16" spans="1:22" s="1856" customFormat="1" ht="13.2" customHeight="1">
      <c r="A16" s="1905" t="s">
        <v>1637</v>
      </c>
      <c r="B16" s="3870" t="s">
        <v>1638</v>
      </c>
      <c r="C16" s="3871"/>
      <c r="D16" s="1914">
        <f>D6*E16</f>
        <v>0</v>
      </c>
      <c r="E16" s="1915"/>
      <c r="F16" s="1903" t="s">
        <v>1639</v>
      </c>
      <c r="G16" s="1887"/>
      <c r="H16" s="1875"/>
      <c r="I16" s="1972"/>
      <c r="J16" s="3874"/>
      <c r="K16" s="3878"/>
      <c r="L16" s="1982" t="s">
        <v>1640</v>
      </c>
      <c r="M16" s="1983"/>
      <c r="N16" s="1983"/>
      <c r="O16" s="1984"/>
      <c r="P16" s="1913">
        <v>365</v>
      </c>
      <c r="Q16" s="1880"/>
      <c r="R16" s="2020">
        <f>ROUND(M16*N16*O16*P16/10000,0)</f>
        <v>0</v>
      </c>
      <c r="S16" s="2011"/>
      <c r="T16" s="2011"/>
      <c r="U16" s="2011"/>
      <c r="V16" s="1972"/>
    </row>
    <row r="17" spans="1:22" s="1856" customFormat="1" ht="13.2" customHeight="1">
      <c r="A17" s="1916">
        <v>4</v>
      </c>
      <c r="B17" s="3872" t="s">
        <v>1641</v>
      </c>
      <c r="C17" s="3873"/>
      <c r="D17" s="1917">
        <f>ROUND(D6*E17,0)</f>
        <v>0</v>
      </c>
      <c r="E17" s="1918"/>
      <c r="F17" s="1919" t="s">
        <v>1642</v>
      </c>
      <c r="G17" s="1887"/>
      <c r="H17" s="1875"/>
      <c r="I17" s="1972"/>
      <c r="J17" s="3874"/>
      <c r="K17" s="3878"/>
      <c r="L17" s="1982" t="s">
        <v>1643</v>
      </c>
      <c r="M17" s="1983"/>
      <c r="N17" s="1983"/>
      <c r="O17" s="1984"/>
      <c r="P17" s="1913">
        <v>365</v>
      </c>
      <c r="Q17" s="1880"/>
      <c r="R17" s="2020">
        <f>ROUND(M17*N17*O17*P17/10000,0)</f>
        <v>0</v>
      </c>
      <c r="S17" s="2011"/>
      <c r="T17" s="2011"/>
      <c r="U17" s="2011"/>
      <c r="V17" s="1972"/>
    </row>
    <row r="18" spans="1:22" s="1856" customFormat="1" ht="13.2" customHeight="1">
      <c r="A18" s="1888" t="s">
        <v>1644</v>
      </c>
      <c r="B18" s="1889"/>
      <c r="C18" s="1889"/>
      <c r="D18" s="1920">
        <f>ROUND(D6*E18,0)</f>
        <v>0</v>
      </c>
      <c r="E18" s="1921"/>
      <c r="F18" s="1922" t="s">
        <v>1645</v>
      </c>
      <c r="G18" s="1887"/>
      <c r="H18" s="1875"/>
      <c r="I18" s="1972"/>
      <c r="J18" s="3874"/>
      <c r="K18" s="3878"/>
      <c r="L18" s="1982" t="s">
        <v>1646</v>
      </c>
      <c r="M18" s="1983"/>
      <c r="N18" s="1983"/>
      <c r="O18" s="1984"/>
      <c r="P18" s="1913">
        <v>365</v>
      </c>
      <c r="Q18" s="1880"/>
      <c r="R18" s="2020">
        <f>ROUND(M18*N18*O18*P18/10000,0)</f>
        <v>0</v>
      </c>
      <c r="S18" s="2011"/>
      <c r="T18" s="2011"/>
      <c r="U18" s="2011"/>
      <c r="V18" s="1972"/>
    </row>
    <row r="19" spans="1:22" s="1856" customFormat="1" ht="13.2" customHeight="1">
      <c r="A19" s="1923" t="s">
        <v>1647</v>
      </c>
      <c r="B19" s="1885"/>
      <c r="C19" s="1885"/>
      <c r="D19" s="1885"/>
      <c r="E19" s="1885"/>
      <c r="F19" s="1886"/>
      <c r="G19" s="1901"/>
      <c r="H19" s="1875"/>
      <c r="I19" s="1972"/>
      <c r="J19" s="3874"/>
      <c r="K19" s="3879"/>
      <c r="L19" s="1985" t="s">
        <v>1628</v>
      </c>
      <c r="M19" s="1986"/>
      <c r="N19" s="1986">
        <f>SUM(N16:N18)</f>
        <v>0</v>
      </c>
      <c r="O19" s="1987"/>
      <c r="P19" s="1988" t="s">
        <v>1648</v>
      </c>
      <c r="Q19" s="1984">
        <v>0</v>
      </c>
      <c r="R19" s="2021">
        <f>ROUND(IF(P19="按比例",R14*Q19,SUM(R16:R18)),0)</f>
        <v>0</v>
      </c>
      <c r="S19" s="2011"/>
      <c r="T19" s="2011"/>
      <c r="U19" s="2011"/>
      <c r="V19" s="1972"/>
    </row>
    <row r="20" spans="1:22" s="1856" customFormat="1" ht="13.2" customHeight="1">
      <c r="A20" s="1888"/>
      <c r="B20" s="1889"/>
      <c r="C20" s="1889"/>
      <c r="D20" s="1889"/>
      <c r="E20" s="1889"/>
      <c r="F20" s="1924"/>
      <c r="G20" s="1901"/>
      <c r="H20" s="1875"/>
      <c r="I20" s="1972"/>
      <c r="J20" s="3874">
        <v>3</v>
      </c>
      <c r="K20" s="3877" t="s">
        <v>1649</v>
      </c>
      <c r="L20" s="1982" t="s">
        <v>1650</v>
      </c>
      <c r="M20" s="1983" t="s">
        <v>1651</v>
      </c>
      <c r="N20" s="1989" t="s">
        <v>1652</v>
      </c>
      <c r="O20" s="1984" t="s">
        <v>1653</v>
      </c>
      <c r="P20" s="1913" t="s">
        <v>1598</v>
      </c>
      <c r="Q20" s="1880" t="s">
        <v>124</v>
      </c>
      <c r="R20" s="2020" t="s">
        <v>1599</v>
      </c>
      <c r="S20" s="2008"/>
      <c r="T20" s="2008"/>
      <c r="U20" s="2008"/>
      <c r="V20" s="1972"/>
    </row>
    <row r="21" spans="1:22" s="1856" customFormat="1" ht="13.2" customHeight="1">
      <c r="A21" s="1888"/>
      <c r="B21" s="1889"/>
      <c r="C21" s="1896" t="s">
        <v>1654</v>
      </c>
      <c r="D21" s="1925" t="s">
        <v>1655</v>
      </c>
      <c r="E21" s="1897" t="s">
        <v>1656</v>
      </c>
      <c r="F21" s="1924"/>
      <c r="G21" s="1901"/>
      <c r="H21" s="1875"/>
      <c r="I21" s="1972"/>
      <c r="J21" s="3874"/>
      <c r="K21" s="3878"/>
      <c r="L21" s="1982" t="s">
        <v>1657</v>
      </c>
      <c r="M21" s="1983"/>
      <c r="N21" s="1983"/>
      <c r="O21" s="1984"/>
      <c r="P21" s="1913">
        <v>365</v>
      </c>
      <c r="Q21" s="1880"/>
      <c r="R21" s="2022">
        <f>ROUND(M21*N21*O21*P21/10000,0)</f>
        <v>0</v>
      </c>
      <c r="S21" s="2008"/>
      <c r="T21" s="2008"/>
      <c r="U21" s="2008"/>
      <c r="V21" s="1972"/>
    </row>
    <row r="22" spans="1:22" s="1856" customFormat="1" ht="13.2" customHeight="1">
      <c r="A22" s="1888"/>
      <c r="B22" s="1889"/>
      <c r="C22" s="1926" t="s">
        <v>1658</v>
      </c>
      <c r="D22" s="1927" t="s">
        <v>1659</v>
      </c>
      <c r="E22" s="1928" t="s">
        <v>1660</v>
      </c>
      <c r="F22" s="1924"/>
      <c r="G22" s="1929"/>
      <c r="H22" s="1875"/>
      <c r="I22" s="1972"/>
      <c r="J22" s="3874"/>
      <c r="K22" s="3878"/>
      <c r="L22" s="1982" t="s">
        <v>1661</v>
      </c>
      <c r="M22" s="1983"/>
      <c r="N22" s="1983"/>
      <c r="O22" s="1984"/>
      <c r="P22" s="1913">
        <v>365</v>
      </c>
      <c r="Q22" s="1880"/>
      <c r="R22" s="2022">
        <f>ROUND(M22*N22*O22*P22/10000,0)</f>
        <v>0</v>
      </c>
      <c r="S22" s="2008"/>
      <c r="T22" s="2008"/>
      <c r="U22" s="2008"/>
      <c r="V22" s="1972"/>
    </row>
    <row r="23" spans="1:22" s="1856" customFormat="1" ht="13.2" customHeight="1">
      <c r="A23" s="1930">
        <v>1</v>
      </c>
      <c r="B23" s="1931" t="s">
        <v>1662</v>
      </c>
      <c r="C23" s="1932">
        <f>D6</f>
        <v>0</v>
      </c>
      <c r="D23" s="1933">
        <f>C23*(1+D24)</f>
        <v>0</v>
      </c>
      <c r="E23" s="1934">
        <f>D23*(1+E24)</f>
        <v>0</v>
      </c>
      <c r="F23" s="1935"/>
      <c r="G23" s="1936"/>
      <c r="H23" s="1875"/>
      <c r="I23" s="1972"/>
      <c r="J23" s="3874"/>
      <c r="K23" s="3878"/>
      <c r="L23" s="1982" t="s">
        <v>1663</v>
      </c>
      <c r="M23" s="1983"/>
      <c r="N23" s="1983"/>
      <c r="O23" s="1984"/>
      <c r="P23" s="1913">
        <v>365</v>
      </c>
      <c r="Q23" s="1880"/>
      <c r="R23" s="2022">
        <f>ROUND(M23*N23*O23*P23/10000,0)</f>
        <v>0</v>
      </c>
      <c r="S23" s="2011"/>
      <c r="T23" s="2011"/>
      <c r="U23" s="2011"/>
      <c r="V23" s="1972"/>
    </row>
    <row r="24" spans="1:22" s="1856" customFormat="1" ht="13.2" customHeight="1">
      <c r="A24" s="1937"/>
      <c r="B24" s="1938" t="s">
        <v>1664</v>
      </c>
      <c r="C24" s="1939"/>
      <c r="D24" s="1940"/>
      <c r="E24" s="1941"/>
      <c r="F24" s="1942"/>
      <c r="G24" s="1936"/>
      <c r="H24" s="1875"/>
      <c r="I24" s="1972"/>
      <c r="J24" s="3874"/>
      <c r="K24" s="3879"/>
      <c r="L24" s="1985" t="s">
        <v>1628</v>
      </c>
      <c r="M24" s="1986">
        <f>SUM(M21:M23)</f>
        <v>0</v>
      </c>
      <c r="N24" s="1986"/>
      <c r="O24" s="1987"/>
      <c r="P24" s="1988" t="s">
        <v>1648</v>
      </c>
      <c r="Q24" s="1984">
        <v>0</v>
      </c>
      <c r="R24" s="2021">
        <f>ROUND(IF(P24="按比例",R14*Q24,SUM(R21:R23)),0)</f>
        <v>0</v>
      </c>
      <c r="S24" s="2011"/>
      <c r="T24" s="2011"/>
      <c r="U24" s="2011"/>
      <c r="V24" s="1972"/>
    </row>
    <row r="25" spans="1:22" s="1857" customFormat="1" ht="13.2" customHeight="1">
      <c r="A25" s="1937"/>
      <c r="B25" s="1938"/>
      <c r="C25" s="1939"/>
      <c r="D25" s="1940"/>
      <c r="E25" s="1941"/>
      <c r="F25" s="1942"/>
      <c r="G25" s="1929"/>
      <c r="H25" s="1875"/>
      <c r="I25" s="1972"/>
      <c r="J25" s="1979">
        <v>4</v>
      </c>
      <c r="K25" s="1990" t="s">
        <v>1665</v>
      </c>
      <c r="L25" s="1991"/>
      <c r="M25" s="1991"/>
      <c r="N25" s="1991"/>
      <c r="O25" s="1991"/>
      <c r="P25" s="1992"/>
      <c r="Q25" s="2023">
        <v>0</v>
      </c>
      <c r="R25" s="2021">
        <f>ROUND(R14*Q25,0)</f>
        <v>0</v>
      </c>
      <c r="S25" s="2011"/>
      <c r="T25" s="2011"/>
      <c r="U25" s="2011"/>
      <c r="V25" s="1998"/>
    </row>
    <row r="26" spans="1:22" s="1857" customFormat="1" ht="13.2" customHeight="1">
      <c r="A26" s="1930">
        <v>2</v>
      </c>
      <c r="B26" s="1931" t="s">
        <v>1666</v>
      </c>
      <c r="C26" s="1932">
        <f>D7</f>
        <v>0</v>
      </c>
      <c r="D26" s="1933">
        <f>D23*D27</f>
        <v>0</v>
      </c>
      <c r="E26" s="1934">
        <f>E23*E27</f>
        <v>0</v>
      </c>
      <c r="F26" s="1935"/>
      <c r="G26" s="1936"/>
      <c r="H26" s="1875"/>
      <c r="I26" s="1972"/>
      <c r="J26" s="3875">
        <v>5</v>
      </c>
      <c r="K26" s="1993" t="s">
        <v>1667</v>
      </c>
      <c r="L26" s="1994"/>
      <c r="M26" s="1995"/>
      <c r="N26" s="1996" t="s">
        <v>457</v>
      </c>
      <c r="O26" s="1996" t="s">
        <v>1668</v>
      </c>
      <c r="P26" s="1997" t="s">
        <v>1669</v>
      </c>
      <c r="Q26" s="1997" t="s">
        <v>1670</v>
      </c>
      <c r="R26" s="2015" t="s">
        <v>1599</v>
      </c>
      <c r="S26" s="2024"/>
      <c r="T26" s="2024"/>
      <c r="U26" s="2024"/>
      <c r="V26" s="1998"/>
    </row>
    <row r="27" spans="1:22" s="1856" customFormat="1" ht="13.2" customHeight="1">
      <c r="A27" s="1937"/>
      <c r="B27" s="1938" t="s">
        <v>1671</v>
      </c>
      <c r="C27" s="1943" t="e">
        <f>E7</f>
        <v>#DIV/0!</v>
      </c>
      <c r="D27" s="1940"/>
      <c r="E27" s="1941"/>
      <c r="F27" s="1942"/>
      <c r="G27" s="1936"/>
      <c r="H27" s="1944"/>
      <c r="I27" s="1998"/>
      <c r="J27" s="3876"/>
      <c r="K27" s="1999"/>
      <c r="L27" s="2000"/>
      <c r="M27" s="2001"/>
      <c r="N27" s="2002"/>
      <c r="O27" s="2002"/>
      <c r="P27" s="2002"/>
      <c r="Q27" s="2025"/>
      <c r="R27" s="2021">
        <f>ROUND(O27*N27*P27*(1-Q27)/10000,0)</f>
        <v>0</v>
      </c>
      <c r="S27" s="2011"/>
      <c r="T27" s="2011"/>
      <c r="U27" s="2011"/>
      <c r="V27" s="1972"/>
    </row>
    <row r="28" spans="1:22" s="1857" customFormat="1" ht="13.2" customHeight="1">
      <c r="A28" s="1937"/>
      <c r="B28" s="1938"/>
      <c r="C28" s="1943"/>
      <c r="D28" s="1940"/>
      <c r="E28" s="1941" t="s">
        <v>1672</v>
      </c>
      <c r="F28" s="1942"/>
      <c r="G28" s="1929"/>
      <c r="H28" s="1944"/>
      <c r="I28" s="1998"/>
      <c r="J28" s="2003">
        <v>6</v>
      </c>
      <c r="K28" s="2004" t="s">
        <v>1673</v>
      </c>
      <c r="L28" s="2005" t="s">
        <v>1674</v>
      </c>
      <c r="M28" s="2006"/>
      <c r="N28" s="2005" t="s">
        <v>1675</v>
      </c>
      <c r="O28" s="2007"/>
      <c r="P28" s="2005" t="s">
        <v>1676</v>
      </c>
      <c r="Q28" s="2026">
        <v>1.4999999999999999E-2</v>
      </c>
      <c r="R28" s="2027"/>
      <c r="S28" s="2008"/>
      <c r="T28" s="2008"/>
      <c r="U28" s="2008"/>
      <c r="V28" s="1998"/>
    </row>
    <row r="29" spans="1:22" s="1857" customFormat="1" ht="13.2" customHeight="1">
      <c r="A29" s="1930">
        <v>3</v>
      </c>
      <c r="B29" s="1931" t="s">
        <v>1677</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2" customHeight="1">
      <c r="A30" s="1937"/>
      <c r="B30" s="1938" t="s">
        <v>1671</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2" customHeight="1">
      <c r="A31" s="1937"/>
      <c r="B31" s="1938"/>
      <c r="C31" s="1946"/>
      <c r="D31" s="1945"/>
      <c r="E31" s="1912"/>
      <c r="F31" s="1942"/>
      <c r="G31" s="1929"/>
      <c r="H31" s="1944"/>
      <c r="I31" s="1998"/>
      <c r="J31" s="1970" t="s">
        <v>1678</v>
      </c>
      <c r="K31" s="1971"/>
      <c r="L31" s="1971"/>
      <c r="M31" s="1971"/>
      <c r="N31" s="1971"/>
      <c r="O31" s="1971"/>
      <c r="P31" s="1971"/>
      <c r="Q31" s="1971"/>
      <c r="R31" s="2010"/>
      <c r="S31" s="2008"/>
      <c r="T31" s="2011"/>
      <c r="U31" s="2011"/>
      <c r="V31" s="1998"/>
    </row>
    <row r="32" spans="1:22" s="1857" customFormat="1" ht="13.2" customHeight="1">
      <c r="A32" s="1930">
        <v>4</v>
      </c>
      <c r="B32" s="1931" t="s">
        <v>1679</v>
      </c>
      <c r="C32" s="1932">
        <f>C23-C26-C29</f>
        <v>0</v>
      </c>
      <c r="D32" s="1933">
        <f>D23-D26-D29</f>
        <v>0</v>
      </c>
      <c r="E32" s="1934">
        <f>E23-E26-E29</f>
        <v>0</v>
      </c>
      <c r="F32" s="1935"/>
      <c r="G32" s="1929"/>
      <c r="H32" s="1875"/>
      <c r="I32" s="1972"/>
      <c r="J32" s="3861" t="s">
        <v>1577</v>
      </c>
      <c r="K32" s="3862"/>
      <c r="L32" s="1973" t="s">
        <v>1578</v>
      </c>
      <c r="M32" s="1973" t="s">
        <v>1579</v>
      </c>
      <c r="N32" s="1973" t="s">
        <v>1580</v>
      </c>
      <c r="O32" s="1973" t="s">
        <v>1581</v>
      </c>
      <c r="P32" s="1973" t="s">
        <v>1582</v>
      </c>
      <c r="Q32" s="2012" t="s">
        <v>1583</v>
      </c>
      <c r="R32" s="2028" t="s">
        <v>1584</v>
      </c>
      <c r="S32" s="2008"/>
      <c r="T32" s="2011"/>
      <c r="U32" s="2011"/>
      <c r="V32" s="1998"/>
    </row>
    <row r="33" spans="1:23" s="1856" customFormat="1" ht="13.2" customHeight="1">
      <c r="A33" s="1930"/>
      <c r="B33" s="1931"/>
      <c r="C33" s="1932"/>
      <c r="D33" s="1947"/>
      <c r="E33" s="1907"/>
      <c r="F33" s="1935"/>
      <c r="G33" s="1929"/>
      <c r="H33" s="1944"/>
      <c r="I33" s="1998"/>
      <c r="J33" s="3863" t="s">
        <v>1585</v>
      </c>
      <c r="K33" s="3864"/>
      <c r="L33" s="1974"/>
      <c r="M33" s="1974"/>
      <c r="N33" s="1974"/>
      <c r="O33" s="1974"/>
      <c r="P33" s="1974"/>
      <c r="Q33" s="2014"/>
      <c r="R33" s="2029">
        <f>SUM(L33:Q33)</f>
        <v>0</v>
      </c>
      <c r="S33" s="2008"/>
      <c r="T33" s="2011"/>
      <c r="U33" s="2011"/>
      <c r="V33" s="1972"/>
    </row>
    <row r="34" spans="1:23" s="1856" customFormat="1" ht="13.2" customHeight="1">
      <c r="A34" s="1930">
        <v>5</v>
      </c>
      <c r="B34" s="1931" t="s">
        <v>1680</v>
      </c>
      <c r="C34" s="1948"/>
      <c r="D34" s="1949"/>
      <c r="E34" s="1950"/>
      <c r="F34" s="1935"/>
      <c r="G34" s="1929"/>
      <c r="H34" s="1944"/>
      <c r="I34" s="1998"/>
      <c r="J34" s="3863" t="s">
        <v>1587</v>
      </c>
      <c r="K34" s="3864"/>
      <c r="L34" s="1975"/>
      <c r="M34" s="1975"/>
      <c r="N34" s="1975"/>
      <c r="O34" s="1975"/>
      <c r="P34" s="1975"/>
      <c r="Q34" s="2016"/>
      <c r="R34" s="2030">
        <f>SUM(L34:Q34)</f>
        <v>0</v>
      </c>
      <c r="S34" s="2008"/>
      <c r="T34" s="2011"/>
      <c r="U34" s="2011" t="e">
        <f>ROUND(R35*10000/365/R33,1)</f>
        <v>#DIV/0!</v>
      </c>
      <c r="V34" s="1972"/>
    </row>
    <row r="35" spans="1:23" s="1856" customFormat="1" ht="13.2" customHeight="1">
      <c r="A35" s="1930">
        <v>6</v>
      </c>
      <c r="B35" s="1931" t="s">
        <v>1681</v>
      </c>
      <c r="C35" s="1951"/>
      <c r="D35" s="1952"/>
      <c r="E35" s="1953"/>
      <c r="F35" s="1935"/>
      <c r="G35" s="1954"/>
      <c r="H35" s="1875"/>
      <c r="I35" s="1998"/>
      <c r="J35" s="1976" t="s">
        <v>1589</v>
      </c>
      <c r="K35" s="1977"/>
      <c r="L35" s="1977"/>
      <c r="M35" s="1978"/>
      <c r="N35" s="1978"/>
      <c r="O35" s="1978"/>
      <c r="P35" s="1978"/>
      <c r="Q35" s="1978"/>
      <c r="R35" s="2031">
        <f>R40+R41+R43</f>
        <v>0</v>
      </c>
      <c r="S35" s="2008"/>
      <c r="T35" s="2011" t="s">
        <v>1590</v>
      </c>
      <c r="U35" s="2011"/>
      <c r="V35" s="1972"/>
    </row>
    <row r="36" spans="1:23" s="1856" customFormat="1" ht="13.2" customHeight="1">
      <c r="A36" s="1930">
        <v>7</v>
      </c>
      <c r="B36" s="1955" t="s">
        <v>1682</v>
      </c>
      <c r="C36" s="1956"/>
      <c r="D36" s="1957"/>
      <c r="E36" s="1958"/>
      <c r="F36" s="1959">
        <f>C36+D36+E36</f>
        <v>0</v>
      </c>
      <c r="G36" s="1929"/>
      <c r="H36" s="1875"/>
      <c r="I36" s="1972"/>
      <c r="J36" s="3874">
        <v>1</v>
      </c>
      <c r="K36" s="3877" t="s">
        <v>1683</v>
      </c>
      <c r="L36" s="1980"/>
      <c r="M36" s="1981"/>
      <c r="N36" s="1981"/>
      <c r="O36" s="1981"/>
      <c r="P36" s="1981"/>
      <c r="Q36" s="1981"/>
      <c r="R36" s="2015" t="s">
        <v>1599</v>
      </c>
      <c r="S36" s="2008"/>
      <c r="T36" s="2011" t="s">
        <v>1600</v>
      </c>
      <c r="U36" s="2011"/>
      <c r="V36" s="1972"/>
    </row>
    <row r="37" spans="1:23" s="1856" customFormat="1" ht="13.2" customHeight="1">
      <c r="A37" s="1930"/>
      <c r="B37" s="1931"/>
      <c r="C37" s="1931"/>
      <c r="D37" s="1931"/>
      <c r="E37" s="1931"/>
      <c r="F37" s="1935"/>
      <c r="G37" s="1929"/>
      <c r="H37" s="1875"/>
      <c r="I37" s="1972"/>
      <c r="J37" s="3874"/>
      <c r="K37" s="3878"/>
      <c r="L37" s="1982"/>
      <c r="M37" s="1983"/>
      <c r="N37" s="1880"/>
      <c r="O37" s="1984"/>
      <c r="P37" s="1984"/>
      <c r="Q37" s="1913"/>
      <c r="R37" s="2018"/>
      <c r="S37" s="2008"/>
      <c r="T37" s="2011" t="s">
        <v>1603</v>
      </c>
      <c r="U37" s="2011"/>
      <c r="V37" s="1972"/>
    </row>
    <row r="38" spans="1:23" s="1856" customFormat="1" ht="13.2" customHeight="1">
      <c r="A38" s="1930">
        <v>8</v>
      </c>
      <c r="B38" s="1931"/>
      <c r="C38" s="1898" t="e">
        <f>ROUND(C32*(1-((1+C35)/(1+C34))^C36)/(C34-C35),0)</f>
        <v>#DIV/0!</v>
      </c>
      <c r="D38" s="1898">
        <f>IF(D23=0,0,ROUND(D32*(1-((1+D35)/(1+D34))^D36)/(D34-D35),0))</f>
        <v>0</v>
      </c>
      <c r="E38" s="1898">
        <f>IF(E23=0,0,ROUND(E32*(1-((1+E35)/(1+E34))^E36)/(E34-E35),0))</f>
        <v>0</v>
      </c>
      <c r="F38" s="1935"/>
      <c r="G38" s="1929"/>
      <c r="H38" s="1875"/>
      <c r="I38" s="1972"/>
      <c r="J38" s="3874"/>
      <c r="K38" s="3878"/>
      <c r="L38" s="1982"/>
      <c r="M38" s="1983"/>
      <c r="N38" s="1880"/>
      <c r="O38" s="1984"/>
      <c r="P38" s="1984"/>
      <c r="Q38" s="1913"/>
      <c r="R38" s="2018"/>
      <c r="S38" s="2008"/>
      <c r="T38" s="2011" t="s">
        <v>1610</v>
      </c>
      <c r="U38" s="2011"/>
      <c r="V38" s="1972"/>
    </row>
    <row r="39" spans="1:23" s="1856" customFormat="1" ht="13.2" customHeight="1">
      <c r="A39" s="1930">
        <v>9</v>
      </c>
      <c r="B39" s="1931" t="s">
        <v>1684</v>
      </c>
      <c r="C39" s="1908" t="e">
        <f>C38</f>
        <v>#DIV/0!</v>
      </c>
      <c r="D39" s="1931">
        <f>D38/(1+D34)^C36</f>
        <v>0</v>
      </c>
      <c r="E39" s="1931">
        <f>E38/(1+E34)^(C36+D36)</f>
        <v>0</v>
      </c>
      <c r="F39" s="1935"/>
      <c r="G39" s="1960"/>
      <c r="H39" s="1875"/>
      <c r="I39" s="1972"/>
      <c r="J39" s="3874"/>
      <c r="K39" s="3878"/>
      <c r="L39" s="1982"/>
      <c r="M39" s="1983"/>
      <c r="N39" s="1880"/>
      <c r="O39" s="1984"/>
      <c r="P39" s="1984"/>
      <c r="Q39" s="1913"/>
      <c r="R39" s="2018"/>
      <c r="S39" s="2008"/>
      <c r="T39" s="2011"/>
      <c r="U39" s="2011"/>
      <c r="V39" s="1972"/>
    </row>
    <row r="40" spans="1:23" s="1856" customFormat="1" ht="13.2" customHeight="1">
      <c r="A40" s="1961">
        <v>10</v>
      </c>
      <c r="B40" s="1931" t="s">
        <v>1685</v>
      </c>
      <c r="C40" s="1962" t="e">
        <f>C39+D39+E39</f>
        <v>#DIV/0!</v>
      </c>
      <c r="D40" s="1963"/>
      <c r="E40" s="1963"/>
      <c r="F40" s="1964"/>
      <c r="G40" s="1929"/>
      <c r="H40" s="1875"/>
      <c r="I40" s="1972"/>
      <c r="J40" s="3874"/>
      <c r="K40" s="3879"/>
      <c r="L40" s="1985" t="s">
        <v>1628</v>
      </c>
      <c r="M40" s="1986"/>
      <c r="N40" s="1986"/>
      <c r="O40" s="1987"/>
      <c r="P40" s="1987"/>
      <c r="Q40" s="2019"/>
      <c r="R40" s="2013">
        <f>SUM(R37:R39)</f>
        <v>0</v>
      </c>
      <c r="S40" s="2008"/>
      <c r="T40" s="2011"/>
      <c r="U40" s="2011"/>
      <c r="V40" s="1972"/>
    </row>
    <row r="41" spans="1:23" s="1856" customFormat="1" ht="13.2" customHeight="1">
      <c r="A41" s="1965">
        <v>11</v>
      </c>
      <c r="B41" s="1966" t="s">
        <v>1686</v>
      </c>
      <c r="C41" s="1966" t="e">
        <f>ROUND(C40*10000/B4,0)</f>
        <v>#DIV/0!</v>
      </c>
      <c r="D41" s="1967"/>
      <c r="E41" s="1967"/>
      <c r="F41" s="1968"/>
      <c r="G41" s="1969"/>
      <c r="H41" s="1875"/>
      <c r="I41" s="1972"/>
      <c r="J41" s="1979">
        <v>2</v>
      </c>
      <c r="K41" s="1990" t="s">
        <v>1665</v>
      </c>
      <c r="L41" s="1991"/>
      <c r="M41" s="1991"/>
      <c r="N41" s="1991"/>
      <c r="O41" s="1991"/>
      <c r="P41" s="1992"/>
      <c r="Q41" s="2023"/>
      <c r="R41" s="2021">
        <f>ROUND(R40*Q41,0)</f>
        <v>0</v>
      </c>
      <c r="S41" s="2008"/>
      <c r="T41" s="2011"/>
      <c r="U41" s="2024"/>
      <c r="V41" s="1972"/>
    </row>
    <row r="42" spans="1:23" s="1856" customFormat="1" ht="13.2" customHeight="1">
      <c r="G42" s="1969"/>
      <c r="H42" s="1875"/>
      <c r="I42" s="1972"/>
      <c r="J42" s="3875">
        <v>3</v>
      </c>
      <c r="K42" s="1993" t="s">
        <v>1667</v>
      </c>
      <c r="L42" s="1994"/>
      <c r="M42" s="1995"/>
      <c r="N42" s="1996" t="s">
        <v>457</v>
      </c>
      <c r="O42" s="1996" t="s">
        <v>1668</v>
      </c>
      <c r="P42" s="1997" t="s">
        <v>1669</v>
      </c>
      <c r="Q42" s="1997" t="s">
        <v>1670</v>
      </c>
      <c r="R42" s="2015" t="s">
        <v>1599</v>
      </c>
      <c r="S42" s="2024"/>
      <c r="T42" s="2024"/>
      <c r="U42" s="2011"/>
      <c r="V42" s="1972"/>
    </row>
    <row r="43" spans="1:23" ht="13.2" customHeight="1">
      <c r="A43" s="1856"/>
      <c r="B43" s="1856"/>
      <c r="C43" s="1856"/>
      <c r="D43" s="1856"/>
      <c r="E43" s="1856"/>
      <c r="F43" s="1856"/>
      <c r="I43" s="1860"/>
      <c r="J43" s="3876"/>
      <c r="K43" s="1999"/>
      <c r="L43" s="2000"/>
      <c r="M43" s="2001"/>
      <c r="N43" s="1983"/>
      <c r="O43" s="1983"/>
      <c r="P43" s="1983"/>
      <c r="Q43" s="2023"/>
      <c r="R43" s="2021">
        <f>ROUND(O43*N43*P43*(1-Q43)/10000,0)</f>
        <v>0</v>
      </c>
      <c r="S43" s="2008"/>
      <c r="T43" s="2011"/>
      <c r="V43" s="1862"/>
      <c r="W43" s="2032"/>
    </row>
    <row r="44" spans="1:23" ht="13.2" customHeight="1">
      <c r="J44" s="2003">
        <v>6</v>
      </c>
      <c r="K44" s="2004" t="s">
        <v>1673</v>
      </c>
      <c r="L44" s="2009" t="s">
        <v>1674</v>
      </c>
      <c r="M44" s="2006"/>
      <c r="N44" s="2009" t="s">
        <v>1675</v>
      </c>
      <c r="O44" s="2006"/>
      <c r="P44" s="2009" t="s">
        <v>1676</v>
      </c>
      <c r="Q44" s="2026">
        <v>1.4999999999999999E-2</v>
      </c>
      <c r="R44" s="20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030" customWidth="1"/>
    <col min="2" max="2" width="12" style="1030" customWidth="1"/>
    <col min="3" max="3" width="9" style="1030"/>
    <col min="4" max="4" width="14.109375" style="1030" customWidth="1"/>
    <col min="5" max="5" width="9" style="1030"/>
    <col min="6" max="6" width="12.88671875" style="1030" customWidth="1"/>
    <col min="7" max="16384" width="9" style="1030"/>
  </cols>
  <sheetData>
    <row r="1" spans="1:22" ht="21.6">
      <c r="A1" s="1031" t="s">
        <v>1687</v>
      </c>
      <c r="B1" s="1833"/>
      <c r="C1" s="1833"/>
      <c r="D1" s="1833"/>
      <c r="E1" s="1834"/>
      <c r="F1" s="1835"/>
      <c r="G1" s="1836"/>
      <c r="H1" s="1836"/>
      <c r="I1" s="1836"/>
      <c r="J1" s="1836"/>
      <c r="K1" s="1836"/>
      <c r="L1" s="1836"/>
      <c r="M1" s="1836"/>
      <c r="N1" s="1836"/>
      <c r="O1" s="1836"/>
      <c r="P1" s="1836"/>
      <c r="Q1" s="1836"/>
      <c r="R1" s="1836"/>
      <c r="S1" s="1836"/>
    </row>
    <row r="2" spans="1:22" ht="15.6">
      <c r="A2" s="1837" t="s">
        <v>997</v>
      </c>
      <c r="B2" s="1838">
        <f ca="1">SUMIF(B6:B13,"&lt;&gt;#ref!",B6:B13)</f>
        <v>132197</v>
      </c>
      <c r="C2" s="1839" t="s">
        <v>1688</v>
      </c>
      <c r="D2" s="1840" t="s">
        <v>1689</v>
      </c>
      <c r="E2" s="1841">
        <f>SUM(E6:E13)</f>
        <v>27298.22</v>
      </c>
      <c r="F2" s="1835"/>
      <c r="G2" s="1836"/>
      <c r="H2" s="1836"/>
      <c r="I2" s="1836"/>
      <c r="J2" s="1836"/>
      <c r="K2" s="1836"/>
      <c r="L2" s="1836"/>
      <c r="M2" s="1836"/>
      <c r="N2" s="1836"/>
      <c r="O2" s="1836"/>
      <c r="P2" s="1836"/>
      <c r="Q2" s="1836"/>
      <c r="R2" s="1836"/>
      <c r="S2" s="1836"/>
    </row>
    <row r="3" spans="1:22" ht="15.6">
      <c r="A3" s="1837" t="s">
        <v>999</v>
      </c>
      <c r="B3" s="1842">
        <f ca="1">ROUND(B2*10000/E2,0)</f>
        <v>48427</v>
      </c>
      <c r="C3" s="1839" t="s">
        <v>1690</v>
      </c>
      <c r="D3" s="1843"/>
      <c r="E3" s="1844"/>
      <c r="F3" s="1835"/>
      <c r="G3" s="1836"/>
      <c r="H3" s="1836"/>
      <c r="I3" s="1836"/>
      <c r="J3" s="1836"/>
      <c r="K3" s="1836"/>
      <c r="L3" s="1836"/>
      <c r="M3" s="1836"/>
      <c r="N3" s="1836"/>
      <c r="O3" s="1836"/>
      <c r="P3" s="1836"/>
      <c r="Q3" s="1836"/>
      <c r="R3" s="1836"/>
      <c r="S3" s="1836"/>
    </row>
    <row r="4" spans="1:22" ht="15.6">
      <c r="A4" s="1845"/>
      <c r="B4" s="1843"/>
      <c r="C4" s="1843"/>
      <c r="D4" s="1843"/>
      <c r="E4" s="1844"/>
      <c r="F4" s="1835"/>
      <c r="G4" s="1836"/>
      <c r="H4" s="1836"/>
      <c r="I4" s="1836"/>
      <c r="J4" s="1836"/>
      <c r="K4" s="1836"/>
      <c r="L4" s="1836"/>
      <c r="M4" s="1836"/>
      <c r="N4" s="1836"/>
      <c r="O4" s="1836"/>
      <c r="P4" s="1836"/>
      <c r="Q4" s="1836"/>
      <c r="R4" s="1836"/>
      <c r="S4" s="1836"/>
    </row>
    <row r="5" spans="1:22" ht="14.4">
      <c r="A5" s="1846" t="s">
        <v>1691</v>
      </c>
      <c r="B5" s="3880" t="s">
        <v>1692</v>
      </c>
      <c r="C5" s="3881"/>
      <c r="D5" s="1847"/>
      <c r="E5" s="1848" t="s">
        <v>1693</v>
      </c>
      <c r="F5" s="1849" t="s">
        <v>1694</v>
      </c>
      <c r="G5" s="1836"/>
      <c r="H5" s="1836"/>
      <c r="I5" s="1836"/>
      <c r="J5" s="1836"/>
      <c r="K5" s="1836"/>
      <c r="L5" s="1836"/>
      <c r="M5" s="1836"/>
      <c r="N5" s="1836"/>
      <c r="O5" s="1836"/>
      <c r="P5" s="1836"/>
      <c r="Q5" s="1836"/>
      <c r="R5" s="1836"/>
      <c r="S5" s="1836"/>
    </row>
    <row r="6" spans="1:22" ht="14.4">
      <c r="A6" s="1850" t="str">
        <f>'数据-取费表'!AN6</f>
        <v>收益法</v>
      </c>
      <c r="B6" s="1035">
        <f ca="1">IF(F6="是",'数据-取费表'!AO6,0)</f>
        <v>132197</v>
      </c>
      <c r="C6" s="1839" t="s">
        <v>1688</v>
      </c>
      <c r="D6" s="1843"/>
      <c r="E6" s="1851">
        <f>IF(OR(A6=0,F6="否"),0,'数据-取费表'!K6+'数据-取费表'!S6)</f>
        <v>27298.22</v>
      </c>
      <c r="F6" s="1852" t="s">
        <v>1695</v>
      </c>
      <c r="G6" s="1836"/>
      <c r="H6" s="1836"/>
      <c r="I6" s="1836"/>
      <c r="J6" s="1836"/>
      <c r="K6" s="1836"/>
      <c r="L6" s="1836"/>
      <c r="M6" s="1836"/>
      <c r="N6" s="1836"/>
      <c r="O6" s="1836"/>
      <c r="P6" s="1836"/>
      <c r="Q6" s="1836"/>
      <c r="R6" s="1836"/>
      <c r="S6" s="1836"/>
    </row>
    <row r="7" spans="1:22" ht="14.4">
      <c r="A7" s="1850">
        <f>'数据-取费表'!AN7</f>
        <v>0</v>
      </c>
      <c r="B7" s="1035" t="e">
        <f ca="1">IF(F7="是",'数据-取费表'!AO7,0)</f>
        <v>#REF!</v>
      </c>
      <c r="C7" s="1839" t="s">
        <v>1688</v>
      </c>
      <c r="D7" s="1843"/>
      <c r="E7" s="1851">
        <f>IF(OR(A7=0,F7="否"),0,'数据-取费表'!K7+'数据-取费表'!S7)</f>
        <v>0</v>
      </c>
      <c r="F7" s="1852" t="s">
        <v>1695</v>
      </c>
      <c r="G7" s="1836"/>
      <c r="H7" s="1836"/>
      <c r="I7" s="1836"/>
      <c r="J7" s="1836"/>
      <c r="K7" s="1836"/>
      <c r="L7" s="1836"/>
      <c r="M7" s="1836"/>
      <c r="N7" s="1836"/>
      <c r="O7" s="1836"/>
      <c r="P7" s="1836"/>
      <c r="Q7" s="1836"/>
      <c r="R7" s="1836"/>
      <c r="S7" s="1836"/>
    </row>
    <row r="8" spans="1:22" ht="14.4">
      <c r="A8" s="1850">
        <f>'数据-取费表'!AN8</f>
        <v>0</v>
      </c>
      <c r="B8" s="1035" t="e">
        <f ca="1">IF(F8="是",'数据-取费表'!AO8,0)</f>
        <v>#REF!</v>
      </c>
      <c r="C8" s="1839" t="s">
        <v>1688</v>
      </c>
      <c r="D8" s="1843"/>
      <c r="E8" s="1851">
        <f>IF(OR(A8=0,F8="否"),0,'数据-取费表'!K8+'数据-取费表'!S8)</f>
        <v>0</v>
      </c>
      <c r="F8" s="1852" t="s">
        <v>1695</v>
      </c>
      <c r="G8" s="1836"/>
      <c r="H8" s="1836"/>
      <c r="I8" s="1836"/>
      <c r="J8" s="1836"/>
      <c r="K8" s="1836"/>
      <c r="L8" s="1836"/>
      <c r="M8" s="1836"/>
      <c r="N8" s="1836"/>
      <c r="O8" s="1836"/>
      <c r="P8" s="1836"/>
      <c r="Q8" s="1836"/>
      <c r="R8" s="1836"/>
      <c r="S8" s="1836"/>
    </row>
    <row r="9" spans="1:22" ht="14.4">
      <c r="A9" s="1850">
        <f>'数据-取费表'!AN9</f>
        <v>0</v>
      </c>
      <c r="B9" s="1035" t="e">
        <f ca="1">IF(F9="是",'数据-取费表'!AO9,0)</f>
        <v>#REF!</v>
      </c>
      <c r="C9" s="1839" t="s">
        <v>1688</v>
      </c>
      <c r="D9" s="1843"/>
      <c r="E9" s="1851">
        <f>IF(OR(A9=0,F9="否"),0,'数据-取费表'!K9+'数据-取费表'!S9)</f>
        <v>0</v>
      </c>
      <c r="F9" s="1852" t="s">
        <v>1695</v>
      </c>
      <c r="G9" s="1836"/>
      <c r="H9" s="1836"/>
      <c r="I9" s="1836"/>
      <c r="J9" s="1836"/>
      <c r="K9" s="1836"/>
      <c r="L9" s="1836"/>
      <c r="M9" s="1836"/>
      <c r="N9" s="1836"/>
      <c r="O9" s="1836"/>
      <c r="P9" s="1836"/>
      <c r="Q9" s="1836"/>
      <c r="R9" s="1836"/>
      <c r="S9" s="1836"/>
    </row>
    <row r="10" spans="1:22" ht="14.4">
      <c r="A10" s="1850">
        <f>'数据-取费表'!AN10</f>
        <v>0</v>
      </c>
      <c r="B10" s="1035" t="e">
        <f ca="1">IF(F10="是",'数据-取费表'!AO10,0)</f>
        <v>#REF!</v>
      </c>
      <c r="C10" s="1839" t="s">
        <v>1688</v>
      </c>
      <c r="D10" s="1843"/>
      <c r="E10" s="1851">
        <f>IF(OR(A10=0,F10="否"),0,'数据-取费表'!K10+'数据-取费表'!S10)</f>
        <v>0</v>
      </c>
      <c r="F10" s="1852" t="s">
        <v>1695</v>
      </c>
      <c r="G10" s="1836"/>
      <c r="H10" s="1836"/>
      <c r="I10" s="1836"/>
      <c r="J10" s="1836"/>
      <c r="K10" s="1836"/>
      <c r="L10" s="1836"/>
      <c r="M10" s="1836"/>
      <c r="N10" s="1836"/>
      <c r="O10" s="1836"/>
      <c r="P10" s="1836"/>
      <c r="Q10" s="1836"/>
      <c r="R10" s="1836"/>
      <c r="S10" s="1836"/>
    </row>
    <row r="11" spans="1:22" ht="14.4">
      <c r="A11" s="1850">
        <f>'数据-取费表'!AN11</f>
        <v>0</v>
      </c>
      <c r="B11" s="1035" t="e">
        <f ca="1">IF(F11="是",'数据-取费表'!AO11,0)</f>
        <v>#REF!</v>
      </c>
      <c r="C11" s="1839" t="s">
        <v>1688</v>
      </c>
      <c r="D11" s="1843"/>
      <c r="E11" s="1851">
        <f>IF(OR(A11=0,F11="否"),0,'数据-取费表'!K11+'数据-取费表'!S11)</f>
        <v>0</v>
      </c>
      <c r="F11" s="1852" t="s">
        <v>1695</v>
      </c>
      <c r="G11" s="1836"/>
      <c r="H11" s="1836"/>
      <c r="I11" s="1836"/>
      <c r="J11" s="1836"/>
      <c r="K11" s="1836"/>
      <c r="L11" s="1836"/>
      <c r="M11" s="1836"/>
      <c r="N11" s="1836"/>
      <c r="O11" s="1836"/>
      <c r="P11" s="1836"/>
      <c r="Q11" s="1836"/>
      <c r="R11" s="1836"/>
      <c r="S11" s="1836"/>
    </row>
    <row r="12" spans="1:22" ht="14.4">
      <c r="A12" s="1850">
        <f>'数据-取费表'!AN12</f>
        <v>0</v>
      </c>
      <c r="B12" s="1035" t="e">
        <f ca="1">IF(F12="是",'数据-取费表'!AO12,0)</f>
        <v>#REF!</v>
      </c>
      <c r="C12" s="1839" t="s">
        <v>1688</v>
      </c>
      <c r="D12" s="1843"/>
      <c r="E12" s="1851">
        <f>IF(OR(A12=0,F12="否"),0,'数据-取费表'!K12+'数据-取费表'!S12)</f>
        <v>0</v>
      </c>
      <c r="F12" s="1852" t="s">
        <v>1695</v>
      </c>
      <c r="G12" s="1836"/>
      <c r="H12" s="1836"/>
      <c r="I12" s="1836"/>
      <c r="J12" s="1836"/>
      <c r="K12" s="1836"/>
      <c r="L12" s="1836"/>
      <c r="M12" s="1836"/>
      <c r="N12" s="1836"/>
      <c r="O12" s="1836"/>
      <c r="P12" s="1836"/>
      <c r="Q12" s="1836"/>
      <c r="R12" s="1836"/>
      <c r="S12" s="1836"/>
    </row>
    <row r="13" spans="1:22" ht="14.4">
      <c r="A13" s="1853">
        <f>'数据-取费表'!AN13</f>
        <v>0</v>
      </c>
      <c r="B13" s="1035" t="e">
        <f ca="1">IF(F13="是",'数据-取费表'!AO13,0)</f>
        <v>#REF!</v>
      </c>
      <c r="C13" s="1854" t="s">
        <v>1688</v>
      </c>
      <c r="D13" s="1855"/>
      <c r="E13" s="1851">
        <f>IF(OR(A13=0,F13="否"),0,'数据-取费表'!K13+'数据-取费表'!S13)</f>
        <v>0</v>
      </c>
      <c r="F13" s="1852" t="s">
        <v>1695</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176" customWidth="1"/>
    <col min="2" max="3" width="15.77734375" style="1176" customWidth="1"/>
    <col min="4" max="4" width="12.21875" style="1176" customWidth="1"/>
    <col min="5" max="5" width="17.109375" style="1176" customWidth="1"/>
    <col min="6" max="6" width="12.21875" style="1176" customWidth="1"/>
    <col min="7" max="7" width="16.44140625" style="1176" customWidth="1"/>
    <col min="8" max="8" width="12.21875" style="1176" customWidth="1"/>
    <col min="9" max="9" width="15.66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1696</v>
      </c>
      <c r="C1" s="1609" t="s">
        <v>1144</v>
      </c>
      <c r="D1" s="1552"/>
      <c r="E1" s="1750"/>
      <c r="F1" s="1554"/>
      <c r="G1" s="1555" t="s">
        <v>1147</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997</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998</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999</v>
      </c>
      <c r="B3" s="1563">
        <f>IF(C2="——",C49,ROUND(B2*10000/D3,0))</f>
        <v>0</v>
      </c>
      <c r="C3" s="1562" t="s">
        <v>1148</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4.4">
      <c r="A4" s="1189" t="s">
        <v>1149</v>
      </c>
      <c r="B4" s="1190"/>
      <c r="C4" s="3810" t="s">
        <v>1150</v>
      </c>
      <c r="D4" s="3811"/>
      <c r="E4" s="3812" t="s">
        <v>1151</v>
      </c>
      <c r="F4" s="3813"/>
      <c r="G4" s="3810" t="s">
        <v>1152</v>
      </c>
      <c r="H4" s="3811"/>
      <c r="I4" s="3810" t="s">
        <v>1153</v>
      </c>
      <c r="J4" s="3811"/>
      <c r="K4" s="1767"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41" t="s">
        <v>1152</v>
      </c>
      <c r="AC4" s="3841" t="s">
        <v>1153</v>
      </c>
    </row>
    <row r="5" spans="1:29">
      <c r="A5" s="1191"/>
      <c r="B5" s="1192"/>
      <c r="C5" s="3814" t="s">
        <v>1156</v>
      </c>
      <c r="D5" s="3815"/>
      <c r="E5" s="3816" t="s">
        <v>1697</v>
      </c>
      <c r="F5" s="3817"/>
      <c r="G5" s="3814" t="s">
        <v>1698</v>
      </c>
      <c r="H5" s="3815"/>
      <c r="I5" s="3814" t="s">
        <v>1699</v>
      </c>
      <c r="J5" s="3815"/>
      <c r="K5" s="1768"/>
      <c r="L5" s="1337"/>
      <c r="M5" s="1338"/>
      <c r="N5" s="1338"/>
      <c r="O5" s="1338"/>
      <c r="P5" s="3846"/>
      <c r="Q5" s="3847"/>
      <c r="R5" s="3852"/>
      <c r="S5" s="3853"/>
      <c r="T5" s="3852"/>
      <c r="U5" s="3853"/>
      <c r="V5" s="3826"/>
      <c r="W5" s="3826"/>
      <c r="X5" s="1380"/>
      <c r="Y5" s="3852"/>
      <c r="Z5" s="3853"/>
      <c r="AA5" s="3842"/>
      <c r="AB5" s="3842"/>
      <c r="AC5" s="3842"/>
    </row>
    <row r="6" spans="1:29" ht="14.4">
      <c r="A6" s="1193"/>
      <c r="B6" s="1194"/>
      <c r="C6" s="3818" t="s">
        <v>1157</v>
      </c>
      <c r="D6" s="3819"/>
      <c r="E6" s="3820" t="s">
        <v>1157</v>
      </c>
      <c r="F6" s="3821"/>
      <c r="G6" s="3818" t="s">
        <v>1157</v>
      </c>
      <c r="H6" s="3819"/>
      <c r="I6" s="3818" t="s">
        <v>1157</v>
      </c>
      <c r="J6" s="3819"/>
      <c r="K6" s="1768" t="s">
        <v>1158</v>
      </c>
      <c r="L6" s="1337"/>
      <c r="M6" s="1338"/>
      <c r="N6" s="1338"/>
      <c r="O6" s="1338"/>
      <c r="P6" s="3848"/>
      <c r="Q6" s="3849"/>
      <c r="R6" s="3852"/>
      <c r="S6" s="3853"/>
      <c r="T6" s="3854"/>
      <c r="U6" s="3855"/>
      <c r="V6" s="3826"/>
      <c r="W6" s="3826"/>
      <c r="X6" s="1380"/>
      <c r="Y6" s="3854"/>
      <c r="Z6" s="3855"/>
      <c r="AA6" s="3843"/>
      <c r="AB6" s="3843"/>
      <c r="AC6" s="3843"/>
    </row>
    <row r="7" spans="1:29" s="1170" customFormat="1" ht="14.4">
      <c r="A7" s="1195" t="s">
        <v>1159</v>
      </c>
      <c r="B7" s="1196"/>
      <c r="C7" s="1197">
        <f>'数据-取费表'!B2</f>
        <v>44196</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82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395" t="e">
        <f>D7/J7</f>
        <v>#DIV/0!</v>
      </c>
    </row>
    <row r="8" spans="1:29" s="1170" customFormat="1" ht="14.4">
      <c r="A8" s="1195" t="s">
        <v>1162</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19" si="3">D8/F8</f>
        <v>1</v>
      </c>
      <c r="AB8" s="1395">
        <f t="shared" ref="AB8:AB19" si="4">D8/H8</f>
        <v>1</v>
      </c>
      <c r="AC8" s="1395">
        <f t="shared" ref="AC8:AC19" si="5">D8/J8</f>
        <v>1</v>
      </c>
    </row>
    <row r="9" spans="1:29" s="1170" customFormat="1" ht="14.4">
      <c r="A9" s="1203" t="s">
        <v>1164</v>
      </c>
      <c r="B9" s="1204" t="s">
        <v>1165</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827" t="s">
        <v>1167</v>
      </c>
      <c r="Q9" s="1385" t="str">
        <f t="shared" ref="Q9:Q15" si="6">B9</f>
        <v>用途</v>
      </c>
      <c r="R9" s="1381" t="s">
        <v>1161</v>
      </c>
      <c r="S9" s="1382">
        <f t="shared" si="0"/>
        <v>100</v>
      </c>
      <c r="T9" s="1381" t="s">
        <v>1161</v>
      </c>
      <c r="U9" s="1382">
        <f t="shared" si="1"/>
        <v>100</v>
      </c>
      <c r="V9" s="1381" t="s">
        <v>1161</v>
      </c>
      <c r="W9" s="1382">
        <f t="shared" si="2"/>
        <v>100</v>
      </c>
      <c r="X9" s="1383"/>
      <c r="Y9" s="3801" t="s">
        <v>1168</v>
      </c>
      <c r="Z9" s="1396" t="str">
        <f t="shared" ref="Z9:Z15" si="7">Q9</f>
        <v>用途</v>
      </c>
      <c r="AA9" s="1395">
        <f t="shared" si="3"/>
        <v>1</v>
      </c>
      <c r="AB9" s="1395">
        <f t="shared" si="4"/>
        <v>1</v>
      </c>
      <c r="AC9" s="1395">
        <f t="shared" si="5"/>
        <v>1</v>
      </c>
    </row>
    <row r="10" spans="1:29" s="1171" customFormat="1" ht="28.8">
      <c r="A10" s="1207"/>
      <c r="B10" s="1208" t="s">
        <v>1169</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827"/>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1170</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827"/>
      <c r="Q11" s="1385" t="str">
        <f t="shared" si="6"/>
        <v>容积率</v>
      </c>
      <c r="R11" s="1381" t="s">
        <v>1161</v>
      </c>
      <c r="S11" s="1382" t="e">
        <f t="shared" si="0"/>
        <v>#N/A</v>
      </c>
      <c r="T11" s="1381" t="s">
        <v>1161</v>
      </c>
      <c r="U11" s="1382" t="e">
        <f t="shared" si="1"/>
        <v>#N/A</v>
      </c>
      <c r="V11" s="1381" t="s">
        <v>1161</v>
      </c>
      <c r="W11" s="1382" t="e">
        <f t="shared" si="2"/>
        <v>#N/A</v>
      </c>
      <c r="X11" s="1383"/>
      <c r="Y11" s="3801"/>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827"/>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827"/>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827"/>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29" ht="96.6">
      <c r="A15" s="1225" t="s">
        <v>1171</v>
      </c>
      <c r="B15" s="1518" t="s">
        <v>1211</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828" t="s">
        <v>1173</v>
      </c>
      <c r="Q15" s="754" t="str">
        <f t="shared" si="6"/>
        <v>居住社区成熟度</v>
      </c>
      <c r="R15" s="1386" t="s">
        <v>1161</v>
      </c>
      <c r="S15" s="1387">
        <f t="shared" si="0"/>
        <v>100</v>
      </c>
      <c r="T15" s="1386" t="s">
        <v>1161</v>
      </c>
      <c r="U15" s="1387">
        <f t="shared" si="1"/>
        <v>100</v>
      </c>
      <c r="V15" s="1386" t="s">
        <v>1161</v>
      </c>
      <c r="W15" s="1387">
        <f t="shared" si="2"/>
        <v>100</v>
      </c>
      <c r="X15" s="1380"/>
      <c r="Y15" s="3833" t="s">
        <v>1173</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829"/>
      <c r="Q16" s="754"/>
      <c r="R16" s="1386"/>
      <c r="S16" s="1387"/>
      <c r="T16" s="1386"/>
      <c r="U16" s="1387"/>
      <c r="V16" s="1386"/>
      <c r="W16" s="1387"/>
      <c r="X16" s="1380"/>
      <c r="Y16" s="3834"/>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829"/>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829"/>
      <c r="Q18" s="754"/>
      <c r="R18" s="1386"/>
      <c r="S18" s="1387"/>
      <c r="T18" s="1386"/>
      <c r="U18" s="1387"/>
      <c r="V18" s="1386"/>
      <c r="W18" s="1387"/>
      <c r="X18" s="1380"/>
      <c r="Y18" s="3834"/>
      <c r="Z18" s="1370"/>
      <c r="AA18" s="1397">
        <v>1</v>
      </c>
      <c r="AB18" s="1397">
        <v>1</v>
      </c>
      <c r="AC18" s="1397">
        <v>1</v>
      </c>
    </row>
    <row r="19" spans="1:29" ht="41.4">
      <c r="A19" s="1211"/>
      <c r="B19" s="1521" t="s">
        <v>1177</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829"/>
      <c r="Q19" s="754" t="str">
        <f>B19</f>
        <v>公共配套设施</v>
      </c>
      <c r="R19" s="1386" t="s">
        <v>1161</v>
      </c>
      <c r="S19" s="1387">
        <f>F19</f>
        <v>100</v>
      </c>
      <c r="T19" s="1386" t="s">
        <v>1161</v>
      </c>
      <c r="U19" s="1387">
        <f>H19</f>
        <v>100</v>
      </c>
      <c r="V19" s="1386" t="s">
        <v>1161</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829"/>
      <c r="Q20" s="754"/>
      <c r="R20" s="1386"/>
      <c r="S20" s="1387"/>
      <c r="T20" s="1386"/>
      <c r="U20" s="1387"/>
      <c r="V20" s="1386"/>
      <c r="W20" s="1387"/>
      <c r="X20" s="1380"/>
      <c r="Y20" s="3834"/>
      <c r="Z20" s="1370"/>
      <c r="AA20" s="1397">
        <v>1</v>
      </c>
      <c r="AB20" s="1397">
        <v>1</v>
      </c>
      <c r="AC20" s="1397">
        <v>1</v>
      </c>
    </row>
    <row r="21" spans="1:29" ht="27.6">
      <c r="A21" s="1211"/>
      <c r="B21" s="1525" t="s">
        <v>1178</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829"/>
      <c r="Q21" s="754" t="str">
        <f>B21</f>
        <v>基础设施水平</v>
      </c>
      <c r="R21" s="1386" t="s">
        <v>1161</v>
      </c>
      <c r="S21" s="1387">
        <f>F21</f>
        <v>100</v>
      </c>
      <c r="T21" s="1386" t="s">
        <v>1161</v>
      </c>
      <c r="U21" s="1387">
        <f>H21</f>
        <v>100</v>
      </c>
      <c r="V21" s="1386" t="s">
        <v>1161</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829"/>
      <c r="Q22" s="754"/>
      <c r="R22" s="1386"/>
      <c r="S22" s="1387"/>
      <c r="T22" s="1386"/>
      <c r="U22" s="1387"/>
      <c r="V22" s="1386"/>
      <c r="W22" s="1387"/>
      <c r="X22" s="1380"/>
      <c r="Y22" s="3834"/>
      <c r="Z22" s="1370"/>
      <c r="AA22" s="1397">
        <v>1</v>
      </c>
      <c r="AB22" s="1397">
        <v>1</v>
      </c>
      <c r="AC22" s="1397">
        <v>1</v>
      </c>
    </row>
    <row r="23" spans="1:29" ht="55.2">
      <c r="A23" s="1211"/>
      <c r="B23" s="1521" t="s">
        <v>1179</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829"/>
      <c r="Q23" s="754" t="str">
        <f>B23</f>
        <v>自然及人文环境</v>
      </c>
      <c r="R23" s="1386" t="s">
        <v>1161</v>
      </c>
      <c r="S23" s="1387">
        <f>F23</f>
        <v>100</v>
      </c>
      <c r="T23" s="1386" t="s">
        <v>1161</v>
      </c>
      <c r="U23" s="1387">
        <f>H23</f>
        <v>100</v>
      </c>
      <c r="V23" s="1386" t="s">
        <v>1161</v>
      </c>
      <c r="W23" s="1387">
        <f>J23</f>
        <v>100</v>
      </c>
      <c r="X23" s="1380"/>
      <c r="Y23" s="3834"/>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1700</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829"/>
      <c r="Q25" s="754" t="str">
        <f t="shared" ref="Q25:Q46" si="11">B25</f>
        <v>楼层-1</v>
      </c>
      <c r="R25" s="1386" t="s">
        <v>1161</v>
      </c>
      <c r="S25" s="1387">
        <f t="shared" ref="S25:S46" si="12">F25</f>
        <v>100</v>
      </c>
      <c r="T25" s="1386" t="s">
        <v>1161</v>
      </c>
      <c r="U25" s="1387">
        <f t="shared" ref="U25:U46" si="13">H25</f>
        <v>100</v>
      </c>
      <c r="V25" s="1386" t="s">
        <v>1161</v>
      </c>
      <c r="W25" s="1387">
        <f t="shared" ref="W25:W46" si="14">J25</f>
        <v>100</v>
      </c>
      <c r="X25" s="1380"/>
      <c r="Y25" s="3834"/>
      <c r="Z25" s="1370" t="str">
        <f>Q25</f>
        <v>楼层-1</v>
      </c>
      <c r="AA25" s="1397">
        <f t="shared" ref="AA25:AA46" si="15">D25/F25</f>
        <v>1</v>
      </c>
      <c r="AB25" s="1397">
        <f t="shared" ref="AB25:AB46" si="16">D25/H25</f>
        <v>1</v>
      </c>
      <c r="AC25" s="1397">
        <f t="shared" ref="AC25:AC46" si="17">D25/J25</f>
        <v>1</v>
      </c>
    </row>
    <row r="26" spans="1:29" ht="15">
      <c r="A26" s="1211"/>
      <c r="B26" s="1208" t="s">
        <v>1701</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829"/>
      <c r="Q26" s="754" t="str">
        <f t="shared" si="11"/>
        <v>朝向</v>
      </c>
      <c r="R26" s="1386" t="s">
        <v>1161</v>
      </c>
      <c r="S26" s="1387">
        <f t="shared" si="12"/>
        <v>100</v>
      </c>
      <c r="T26" s="1386" t="s">
        <v>1161</v>
      </c>
      <c r="U26" s="1387">
        <f t="shared" si="13"/>
        <v>100</v>
      </c>
      <c r="V26" s="1386" t="s">
        <v>1161</v>
      </c>
      <c r="W26" s="1387">
        <f t="shared" si="14"/>
        <v>100</v>
      </c>
      <c r="X26" s="1380"/>
      <c r="Y26" s="3834"/>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829"/>
      <c r="Q27" s="1385">
        <f t="shared" si="11"/>
        <v>111</v>
      </c>
      <c r="R27" s="1381" t="s">
        <v>1161</v>
      </c>
      <c r="S27" s="1382">
        <f t="shared" si="12"/>
        <v>100</v>
      </c>
      <c r="T27" s="1381" t="s">
        <v>1161</v>
      </c>
      <c r="U27" s="1382">
        <f t="shared" si="13"/>
        <v>100</v>
      </c>
      <c r="V27" s="1381" t="s">
        <v>1161</v>
      </c>
      <c r="W27" s="1382">
        <f t="shared" si="14"/>
        <v>100</v>
      </c>
      <c r="X27" s="1383"/>
      <c r="Y27" s="3834"/>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829"/>
      <c r="Q28" s="754">
        <f t="shared" si="11"/>
        <v>111</v>
      </c>
      <c r="R28" s="1386" t="s">
        <v>1161</v>
      </c>
      <c r="S28" s="1387">
        <f t="shared" si="12"/>
        <v>100</v>
      </c>
      <c r="T28" s="1386" t="s">
        <v>1161</v>
      </c>
      <c r="U28" s="1387">
        <f t="shared" si="13"/>
        <v>100</v>
      </c>
      <c r="V28" s="1386" t="s">
        <v>1161</v>
      </c>
      <c r="W28" s="1387">
        <f t="shared" si="14"/>
        <v>100</v>
      </c>
      <c r="X28" s="1380"/>
      <c r="Y28" s="3834"/>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829"/>
      <c r="Q29" s="754">
        <f t="shared" si="11"/>
        <v>111</v>
      </c>
      <c r="R29" s="1386" t="s">
        <v>1161</v>
      </c>
      <c r="S29" s="1387">
        <f t="shared" si="12"/>
        <v>100</v>
      </c>
      <c r="T29" s="1386" t="s">
        <v>1161</v>
      </c>
      <c r="U29" s="1387">
        <f t="shared" si="13"/>
        <v>100</v>
      </c>
      <c r="V29" s="1386" t="s">
        <v>1161</v>
      </c>
      <c r="W29" s="1387">
        <f t="shared" si="14"/>
        <v>100</v>
      </c>
      <c r="X29" s="1380"/>
      <c r="Y29" s="3834"/>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829"/>
      <c r="Q30" s="754">
        <f t="shared" si="11"/>
        <v>111</v>
      </c>
      <c r="R30" s="1386" t="s">
        <v>1161</v>
      </c>
      <c r="S30" s="1387">
        <f t="shared" si="12"/>
        <v>100</v>
      </c>
      <c r="T30" s="1386" t="s">
        <v>1161</v>
      </c>
      <c r="U30" s="1387">
        <f t="shared" si="13"/>
        <v>100</v>
      </c>
      <c r="V30" s="1386" t="s">
        <v>1161</v>
      </c>
      <c r="W30" s="1387">
        <f t="shared" si="14"/>
        <v>100</v>
      </c>
      <c r="X30" s="1380"/>
      <c r="Y30" s="3834"/>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829"/>
      <c r="Q31" s="754">
        <f t="shared" si="11"/>
        <v>111</v>
      </c>
      <c r="R31" s="1386" t="s">
        <v>1161</v>
      </c>
      <c r="S31" s="1387">
        <f t="shared" si="12"/>
        <v>100</v>
      </c>
      <c r="T31" s="1386" t="s">
        <v>1161</v>
      </c>
      <c r="U31" s="1387">
        <f t="shared" si="13"/>
        <v>100</v>
      </c>
      <c r="V31" s="1386" t="s">
        <v>1161</v>
      </c>
      <c r="W31" s="1387">
        <f t="shared" si="14"/>
        <v>100</v>
      </c>
      <c r="X31" s="1380"/>
      <c r="Y31" s="3834"/>
      <c r="Z31" s="1370">
        <f t="shared" si="18"/>
        <v>111</v>
      </c>
      <c r="AA31" s="1397">
        <f t="shared" si="15"/>
        <v>1</v>
      </c>
      <c r="AB31" s="1397">
        <f t="shared" si="16"/>
        <v>1</v>
      </c>
      <c r="AC31" s="1397">
        <f t="shared" si="17"/>
        <v>1</v>
      </c>
    </row>
    <row r="32" spans="1:29" ht="15">
      <c r="A32" s="1225" t="s">
        <v>1187</v>
      </c>
      <c r="B32" s="1204" t="s">
        <v>1702</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830" t="s">
        <v>1189</v>
      </c>
      <c r="Q32" s="754" t="str">
        <f t="shared" si="11"/>
        <v>建筑类型</v>
      </c>
      <c r="R32" s="1386" t="s">
        <v>1161</v>
      </c>
      <c r="S32" s="1387">
        <f t="shared" si="12"/>
        <v>100</v>
      </c>
      <c r="T32" s="1386" t="s">
        <v>1161</v>
      </c>
      <c r="U32" s="1387">
        <f t="shared" si="13"/>
        <v>100</v>
      </c>
      <c r="V32" s="1386" t="s">
        <v>1161</v>
      </c>
      <c r="W32" s="1387">
        <f t="shared" si="14"/>
        <v>100</v>
      </c>
      <c r="X32" s="1380"/>
      <c r="Y32" s="3835" t="s">
        <v>1189</v>
      </c>
      <c r="Z32" s="1370" t="str">
        <f t="shared" si="18"/>
        <v>建筑类型</v>
      </c>
      <c r="AA32" s="1397">
        <f t="shared" si="15"/>
        <v>1</v>
      </c>
      <c r="AB32" s="1397">
        <f t="shared" si="16"/>
        <v>1</v>
      </c>
      <c r="AC32" s="1397">
        <f t="shared" si="17"/>
        <v>1</v>
      </c>
    </row>
    <row r="33" spans="1:29" s="1172" customFormat="1" ht="15">
      <c r="A33" s="1267"/>
      <c r="B33" s="1208" t="s">
        <v>1190</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831"/>
      <c r="Q33" s="1614" t="str">
        <f t="shared" si="11"/>
        <v>项目建筑规模</v>
      </c>
      <c r="R33" s="1388" t="s">
        <v>1161</v>
      </c>
      <c r="S33" s="1389" t="e">
        <f t="shared" si="12"/>
        <v>#N/A</v>
      </c>
      <c r="T33" s="1388" t="s">
        <v>1161</v>
      </c>
      <c r="U33" s="1389" t="e">
        <f t="shared" si="13"/>
        <v>#N/A</v>
      </c>
      <c r="V33" s="1388" t="s">
        <v>1161</v>
      </c>
      <c r="W33" s="1389" t="e">
        <f t="shared" si="14"/>
        <v>#N/A</v>
      </c>
      <c r="X33" s="1390"/>
      <c r="Y33" s="3835"/>
      <c r="Z33" s="1398" t="str">
        <f t="shared" si="18"/>
        <v>项目建筑规模</v>
      </c>
      <c r="AA33" s="1397" t="e">
        <f t="shared" si="15"/>
        <v>#N/A</v>
      </c>
      <c r="AB33" s="1397" t="e">
        <f t="shared" si="16"/>
        <v>#N/A</v>
      </c>
      <c r="AC33" s="1397" t="e">
        <f t="shared" si="17"/>
        <v>#N/A</v>
      </c>
    </row>
    <row r="34" spans="1:29" ht="15">
      <c r="A34" s="1262"/>
      <c r="B34" s="1208" t="s">
        <v>1191</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831"/>
      <c r="Q34" s="754" t="str">
        <f t="shared" si="11"/>
        <v>建筑结构</v>
      </c>
      <c r="R34" s="1386" t="s">
        <v>1161</v>
      </c>
      <c r="S34" s="1387">
        <f t="shared" si="12"/>
        <v>100</v>
      </c>
      <c r="T34" s="1386" t="s">
        <v>1161</v>
      </c>
      <c r="U34" s="1387">
        <f t="shared" si="13"/>
        <v>100</v>
      </c>
      <c r="V34" s="1386" t="s">
        <v>1161</v>
      </c>
      <c r="W34" s="1387">
        <f t="shared" si="14"/>
        <v>100</v>
      </c>
      <c r="X34" s="1380"/>
      <c r="Y34" s="3835"/>
      <c r="Z34" s="1370" t="str">
        <f t="shared" si="18"/>
        <v>建筑结构</v>
      </c>
      <c r="AA34" s="1397">
        <f t="shared" si="15"/>
        <v>1</v>
      </c>
      <c r="AB34" s="1397">
        <f t="shared" si="16"/>
        <v>1</v>
      </c>
      <c r="AC34" s="1397">
        <f t="shared" si="17"/>
        <v>1</v>
      </c>
    </row>
    <row r="35" spans="1:29" ht="15">
      <c r="A35" s="1262"/>
      <c r="B35" s="1208" t="s">
        <v>1703</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831"/>
      <c r="Q35" s="754" t="str">
        <f t="shared" si="11"/>
        <v>建筑品质</v>
      </c>
      <c r="R35" s="1386" t="s">
        <v>1161</v>
      </c>
      <c r="S35" s="1387">
        <f t="shared" si="12"/>
        <v>100</v>
      </c>
      <c r="T35" s="1386" t="s">
        <v>1161</v>
      </c>
      <c r="U35" s="1387">
        <f t="shared" si="13"/>
        <v>100</v>
      </c>
      <c r="V35" s="1386" t="s">
        <v>1161</v>
      </c>
      <c r="W35" s="1387">
        <f t="shared" si="14"/>
        <v>100</v>
      </c>
      <c r="X35" s="1380"/>
      <c r="Y35" s="3835"/>
      <c r="Z35" s="1370" t="str">
        <f t="shared" si="18"/>
        <v>建筑品质</v>
      </c>
      <c r="AA35" s="1397">
        <f t="shared" si="15"/>
        <v>1</v>
      </c>
      <c r="AB35" s="1397">
        <f t="shared" si="16"/>
        <v>1</v>
      </c>
      <c r="AC35" s="1397">
        <f t="shared" si="17"/>
        <v>1</v>
      </c>
    </row>
    <row r="36" spans="1:29" ht="15">
      <c r="A36" s="1262"/>
      <c r="B36" s="1208" t="s">
        <v>1192</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831"/>
      <c r="Q36" s="754" t="str">
        <f t="shared" si="11"/>
        <v>公共部分装修</v>
      </c>
      <c r="R36" s="1386" t="s">
        <v>1161</v>
      </c>
      <c r="S36" s="1387">
        <f t="shared" si="12"/>
        <v>100</v>
      </c>
      <c r="T36" s="1386" t="s">
        <v>1161</v>
      </c>
      <c r="U36" s="1387">
        <f t="shared" si="13"/>
        <v>100</v>
      </c>
      <c r="V36" s="1386" t="s">
        <v>1161</v>
      </c>
      <c r="W36" s="1387">
        <f t="shared" si="14"/>
        <v>100</v>
      </c>
      <c r="X36" s="1380"/>
      <c r="Y36" s="3835"/>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831"/>
      <c r="Q37" s="1385" t="str">
        <f t="shared" si="11"/>
        <v>成新度</v>
      </c>
      <c r="R37" s="1381" t="s">
        <v>1161</v>
      </c>
      <c r="S37" s="1382" t="e">
        <f t="shared" si="12"/>
        <v>#N/A</v>
      </c>
      <c r="T37" s="1381" t="s">
        <v>1161</v>
      </c>
      <c r="U37" s="1382" t="e">
        <f t="shared" si="13"/>
        <v>#N/A</v>
      </c>
      <c r="V37" s="1381" t="s">
        <v>1161</v>
      </c>
      <c r="W37" s="1382" t="e">
        <f t="shared" si="14"/>
        <v>#N/A</v>
      </c>
      <c r="X37" s="1383"/>
      <c r="Y37" s="3835"/>
      <c r="Z37" s="1396" t="str">
        <f t="shared" si="18"/>
        <v>成新度</v>
      </c>
      <c r="AA37" s="1395" t="e">
        <f t="shared" si="15"/>
        <v>#N/A</v>
      </c>
      <c r="AB37" s="1395" t="e">
        <f t="shared" si="16"/>
        <v>#N/A</v>
      </c>
      <c r="AC37" s="1395" t="e">
        <f t="shared" si="17"/>
        <v>#N/A</v>
      </c>
    </row>
    <row r="38" spans="1:29" ht="15">
      <c r="A38" s="1262"/>
      <c r="B38" s="1208" t="s">
        <v>1704</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831" t="s">
        <v>1189</v>
      </c>
      <c r="Q38" s="754" t="str">
        <f t="shared" si="11"/>
        <v>物业管理</v>
      </c>
      <c r="R38" s="1386" t="s">
        <v>1161</v>
      </c>
      <c r="S38" s="1387">
        <f t="shared" si="12"/>
        <v>100</v>
      </c>
      <c r="T38" s="1386" t="s">
        <v>1161</v>
      </c>
      <c r="U38" s="1387">
        <f t="shared" si="13"/>
        <v>100</v>
      </c>
      <c r="V38" s="1386" t="s">
        <v>1161</v>
      </c>
      <c r="W38" s="1387">
        <f t="shared" si="14"/>
        <v>100</v>
      </c>
      <c r="X38" s="1380"/>
      <c r="Y38" s="3835" t="s">
        <v>1189</v>
      </c>
      <c r="Z38" s="1370" t="str">
        <f t="shared" si="18"/>
        <v>物业管理</v>
      </c>
      <c r="AA38" s="1397">
        <f t="shared" si="15"/>
        <v>1</v>
      </c>
      <c r="AB38" s="1397">
        <f t="shared" si="16"/>
        <v>1</v>
      </c>
      <c r="AC38" s="1397">
        <f t="shared" si="17"/>
        <v>1</v>
      </c>
    </row>
    <row r="39" spans="1:29" ht="15">
      <c r="A39" s="1262"/>
      <c r="B39" s="1208" t="s">
        <v>1193</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831"/>
      <c r="Q39" s="754" t="str">
        <f t="shared" si="11"/>
        <v>市政基础设施</v>
      </c>
      <c r="R39" s="1386" t="s">
        <v>1161</v>
      </c>
      <c r="S39" s="1387">
        <f t="shared" si="12"/>
        <v>100</v>
      </c>
      <c r="T39" s="1386" t="s">
        <v>1161</v>
      </c>
      <c r="U39" s="1387">
        <f t="shared" si="13"/>
        <v>100</v>
      </c>
      <c r="V39" s="1386" t="s">
        <v>1161</v>
      </c>
      <c r="W39" s="1387">
        <f t="shared" si="14"/>
        <v>100</v>
      </c>
      <c r="X39" s="1380"/>
      <c r="Y39" s="3835"/>
      <c r="Z39" s="1370" t="str">
        <f t="shared" si="18"/>
        <v>市政基础设施</v>
      </c>
      <c r="AA39" s="1397">
        <f t="shared" si="15"/>
        <v>1</v>
      </c>
      <c r="AB39" s="1397">
        <f t="shared" si="16"/>
        <v>1</v>
      </c>
      <c r="AC39" s="1397">
        <f t="shared" si="17"/>
        <v>1</v>
      </c>
    </row>
    <row r="40" spans="1:29" ht="15">
      <c r="A40" s="1262"/>
      <c r="B40" s="1208" t="s">
        <v>1705</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831"/>
      <c r="Q40" s="754" t="str">
        <f t="shared" si="11"/>
        <v>房型</v>
      </c>
      <c r="R40" s="1386" t="s">
        <v>1161</v>
      </c>
      <c r="S40" s="1387">
        <f t="shared" si="12"/>
        <v>100</v>
      </c>
      <c r="T40" s="1386" t="s">
        <v>1161</v>
      </c>
      <c r="U40" s="1387">
        <f t="shared" si="13"/>
        <v>100</v>
      </c>
      <c r="V40" s="1386" t="s">
        <v>1161</v>
      </c>
      <c r="W40" s="1387">
        <f t="shared" si="14"/>
        <v>100</v>
      </c>
      <c r="X40" s="1380"/>
      <c r="Y40" s="3835"/>
      <c r="Z40" s="1370" t="str">
        <f t="shared" si="18"/>
        <v>房型</v>
      </c>
      <c r="AA40" s="1397">
        <f t="shared" si="15"/>
        <v>1</v>
      </c>
      <c r="AB40" s="1397">
        <f t="shared" si="16"/>
        <v>1</v>
      </c>
      <c r="AC40" s="1397">
        <f t="shared" si="17"/>
        <v>1</v>
      </c>
    </row>
    <row r="41" spans="1:29" s="1172" customFormat="1" ht="28.8">
      <c r="A41" s="1267"/>
      <c r="B41" s="1208" t="s">
        <v>1706</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831"/>
      <c r="Q41" s="1614" t="str">
        <f t="shared" si="11"/>
        <v>单套/主力户型建筑面积</v>
      </c>
      <c r="R41" s="1388" t="s">
        <v>1161</v>
      </c>
      <c r="S41" s="1389">
        <f t="shared" si="12"/>
        <v>100</v>
      </c>
      <c r="T41" s="1388" t="s">
        <v>1161</v>
      </c>
      <c r="U41" s="1389">
        <f t="shared" si="13"/>
        <v>100</v>
      </c>
      <c r="V41" s="1388" t="s">
        <v>1161</v>
      </c>
      <c r="W41" s="1389">
        <f t="shared" si="14"/>
        <v>100</v>
      </c>
      <c r="X41" s="1390"/>
      <c r="Y41" s="3835"/>
      <c r="Z41" s="1398" t="str">
        <f t="shared" si="18"/>
        <v>单套/主力户型建筑面积</v>
      </c>
      <c r="AA41" s="1397">
        <f t="shared" si="15"/>
        <v>1</v>
      </c>
      <c r="AB41" s="1397">
        <f t="shared" si="16"/>
        <v>1</v>
      </c>
      <c r="AC41" s="1397">
        <f t="shared" si="17"/>
        <v>1</v>
      </c>
    </row>
    <row r="42" spans="1:29" ht="15">
      <c r="A42" s="1262"/>
      <c r="B42" s="1208" t="s">
        <v>1198</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831"/>
      <c r="Q42" s="754" t="str">
        <f t="shared" si="11"/>
        <v>内部装修</v>
      </c>
      <c r="R42" s="1386" t="s">
        <v>1161</v>
      </c>
      <c r="S42" s="1387">
        <f t="shared" si="12"/>
        <v>100</v>
      </c>
      <c r="T42" s="1386" t="s">
        <v>1161</v>
      </c>
      <c r="U42" s="1387">
        <f t="shared" si="13"/>
        <v>100</v>
      </c>
      <c r="V42" s="1386" t="s">
        <v>1161</v>
      </c>
      <c r="W42" s="1387">
        <f t="shared" si="14"/>
        <v>100</v>
      </c>
      <c r="X42" s="1380"/>
      <c r="Y42" s="3835"/>
      <c r="Z42" s="1370" t="str">
        <f t="shared" si="18"/>
        <v>内部装修</v>
      </c>
      <c r="AA42" s="1397">
        <f t="shared" si="15"/>
        <v>1</v>
      </c>
      <c r="AB42" s="1397">
        <f t="shared" si="16"/>
        <v>1</v>
      </c>
      <c r="AC42" s="1397">
        <f t="shared" si="17"/>
        <v>1</v>
      </c>
    </row>
    <row r="43" spans="1:29" ht="28.8">
      <c r="A43" s="1262"/>
      <c r="B43" s="1208" t="s">
        <v>1199</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831"/>
      <c r="Q43" s="754" t="str">
        <f t="shared" si="11"/>
        <v>内部装修维护情况</v>
      </c>
      <c r="R43" s="1386" t="s">
        <v>1161</v>
      </c>
      <c r="S43" s="1387">
        <f t="shared" si="12"/>
        <v>100</v>
      </c>
      <c r="T43" s="1386" t="s">
        <v>1161</v>
      </c>
      <c r="U43" s="1387">
        <f t="shared" si="13"/>
        <v>100</v>
      </c>
      <c r="V43" s="1386" t="s">
        <v>1161</v>
      </c>
      <c r="W43" s="1387">
        <f t="shared" si="14"/>
        <v>100</v>
      </c>
      <c r="X43" s="1380"/>
      <c r="Y43" s="3835"/>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831"/>
      <c r="Q44" s="1385">
        <f t="shared" si="11"/>
        <v>111</v>
      </c>
      <c r="R44" s="1381" t="s">
        <v>1161</v>
      </c>
      <c r="S44" s="1382">
        <f t="shared" si="12"/>
        <v>100</v>
      </c>
      <c r="T44" s="1381" t="s">
        <v>1161</v>
      </c>
      <c r="U44" s="1382">
        <f t="shared" si="13"/>
        <v>100</v>
      </c>
      <c r="V44" s="1381" t="s">
        <v>1161</v>
      </c>
      <c r="W44" s="1382">
        <f t="shared" si="14"/>
        <v>100</v>
      </c>
      <c r="X44" s="1383"/>
      <c r="Y44" s="3835"/>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831"/>
      <c r="Q45" s="754">
        <f t="shared" si="11"/>
        <v>111</v>
      </c>
      <c r="R45" s="1386" t="s">
        <v>1161</v>
      </c>
      <c r="S45" s="1387">
        <f t="shared" si="12"/>
        <v>100</v>
      </c>
      <c r="T45" s="1386" t="s">
        <v>1161</v>
      </c>
      <c r="U45" s="1387">
        <f t="shared" si="13"/>
        <v>100</v>
      </c>
      <c r="V45" s="1386" t="s">
        <v>1161</v>
      </c>
      <c r="W45" s="1387">
        <f t="shared" si="14"/>
        <v>100</v>
      </c>
      <c r="X45" s="1380"/>
      <c r="Y45" s="3835"/>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832"/>
      <c r="Q46" s="754">
        <f t="shared" si="11"/>
        <v>111</v>
      </c>
      <c r="R46" s="1386" t="s">
        <v>1161</v>
      </c>
      <c r="S46" s="1387">
        <f t="shared" si="12"/>
        <v>100</v>
      </c>
      <c r="T46" s="1386" t="s">
        <v>1161</v>
      </c>
      <c r="U46" s="1387">
        <f t="shared" si="13"/>
        <v>100</v>
      </c>
      <c r="V46" s="1386" t="s">
        <v>1161</v>
      </c>
      <c r="W46" s="1387">
        <f t="shared" si="14"/>
        <v>100</v>
      </c>
      <c r="X46" s="1380"/>
      <c r="Y46" s="3836"/>
      <c r="Z46" s="1370">
        <f t="shared" si="18"/>
        <v>111</v>
      </c>
      <c r="AA46" s="1397">
        <f t="shared" si="15"/>
        <v>1</v>
      </c>
      <c r="AB46" s="1397">
        <f t="shared" si="16"/>
        <v>1</v>
      </c>
      <c r="AC46" s="1397">
        <f t="shared" si="17"/>
        <v>1</v>
      </c>
    </row>
    <row r="47" spans="1:29" ht="14.4">
      <c r="A47" s="1269" t="s">
        <v>1200</v>
      </c>
      <c r="B47" s="1589"/>
      <c r="C47" s="1590" t="s">
        <v>124</v>
      </c>
      <c r="D47" s="1591"/>
      <c r="E47" s="1592"/>
      <c r="F47" s="1593"/>
      <c r="G47" s="1594"/>
      <c r="H47" s="1595"/>
      <c r="I47" s="1592"/>
      <c r="J47" s="1595"/>
      <c r="K47" s="1775"/>
      <c r="L47" s="1362"/>
      <c r="M47" s="1286"/>
      <c r="N47" s="1338"/>
      <c r="O47" s="1286"/>
      <c r="P47" s="3825" t="str">
        <f>A47</f>
        <v>成交单价（元/平方米）</v>
      </c>
      <c r="Q47" s="3825"/>
      <c r="R47" s="3837">
        <f>E47</f>
        <v>0</v>
      </c>
      <c r="S47" s="3837"/>
      <c r="T47" s="3837">
        <f>G47</f>
        <v>0</v>
      </c>
      <c r="U47" s="3837"/>
      <c r="V47" s="3837">
        <f>I47</f>
        <v>0</v>
      </c>
      <c r="W47" s="3837"/>
      <c r="X47" s="1326"/>
      <c r="Y47" s="1399"/>
      <c r="Z47" s="1326"/>
      <c r="AA47" s="1326"/>
      <c r="AB47" s="1326"/>
      <c r="AC47" s="1326"/>
    </row>
    <row r="48" spans="1:29" ht="14.4">
      <c r="A48" s="1277" t="s">
        <v>1201</v>
      </c>
      <c r="B48" s="1596"/>
      <c r="C48" s="1597" t="e">
        <f>R49</f>
        <v>#DIV/0!</v>
      </c>
      <c r="D48" s="1280" t="s">
        <v>1202</v>
      </c>
      <c r="E48" s="1598" t="e">
        <f>R48</f>
        <v>#DIV/0!</v>
      </c>
      <c r="F48" s="1281"/>
      <c r="G48" s="1597" t="e">
        <f>T48</f>
        <v>#DIV/0!</v>
      </c>
      <c r="H48" s="1281"/>
      <c r="I48" s="1598" t="e">
        <f>V48</f>
        <v>#DIV/0!</v>
      </c>
      <c r="J48" s="1281"/>
      <c r="K48" s="1776">
        <f>F48+H48+J48</f>
        <v>0</v>
      </c>
      <c r="L48" s="1362"/>
      <c r="M48" s="1286"/>
      <c r="N48" s="1286"/>
      <c r="O48" s="1286"/>
      <c r="P48" s="3825" t="str">
        <f>A48</f>
        <v>比较价值（元/平方米）</v>
      </c>
      <c r="Q48" s="3825"/>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1326"/>
      <c r="Y48" s="1326"/>
      <c r="Z48" s="1326"/>
      <c r="AA48" s="1326"/>
      <c r="AB48" s="1326"/>
      <c r="AC48" s="1326"/>
    </row>
    <row r="49" spans="1:29" ht="14.4">
      <c r="A49" s="1283" t="s">
        <v>1203</v>
      </c>
      <c r="B49" s="1284"/>
      <c r="C49" s="1759" t="e">
        <f>R49</f>
        <v>#DIV/0!</v>
      </c>
      <c r="D49" s="1599"/>
      <c r="E49" s="1599"/>
      <c r="F49" s="1599"/>
      <c r="G49" s="1599"/>
      <c r="H49" s="1599"/>
      <c r="I49" s="1599"/>
      <c r="J49" s="1599"/>
      <c r="K49" s="1777"/>
      <c r="L49" s="1362"/>
      <c r="M49" s="1286"/>
      <c r="N49" s="1286"/>
      <c r="O49" s="1286"/>
      <c r="P49" s="3838" t="str">
        <f>A49</f>
        <v>估价对象XX用房的比较价值（楼面单价，元/平方米）</v>
      </c>
      <c r="Q49" s="3839"/>
      <c r="R49" s="3840" t="e">
        <f>IF(F1="售价",ROUND(IF(D48="简单平均",AVERAGE(R48:V48),R48*F48+T48*H48+V48*J48),0),ROUND(IF(D48="简单平均",AVERAGE(R48:V48),R48*F48+T48*H48+V48*J48),1))</f>
        <v>#DIV/0!</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1204</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1205</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1206</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6">
      <c r="A57" s="1325" t="s">
        <v>1207</v>
      </c>
      <c r="B57" s="1326"/>
      <c r="C57" s="1327"/>
      <c r="D57" s="1327"/>
      <c r="E57" s="1327"/>
      <c r="F57" s="1328"/>
      <c r="G57" s="1328"/>
      <c r="H57" s="1327"/>
      <c r="I57" s="1327"/>
      <c r="J57" s="1327"/>
      <c r="K57" s="1544"/>
      <c r="L57" s="1545"/>
      <c r="M57" s="1378"/>
      <c r="N57" s="1378"/>
      <c r="O57" s="1378"/>
      <c r="P57" s="1779"/>
      <c r="Q57" s="1709"/>
    </row>
    <row r="58" spans="1:29" s="1175" customFormat="1" ht="14.4">
      <c r="A58" s="1601" t="s">
        <v>1159</v>
      </c>
      <c r="B58" s="1602"/>
      <c r="C58" s="1760" t="str">
        <f>YEAR(C7)&amp;"-"&amp;MONTH(C7)</f>
        <v>2020-12</v>
      </c>
      <c r="D58" s="1604">
        <f>EDATE(C58,-1)</f>
        <v>44136</v>
      </c>
      <c r="E58" s="1604">
        <f>EDATE(D58,-1)</f>
        <v>44105</v>
      </c>
      <c r="F58" s="1604">
        <f t="shared" ref="F58:O58" si="19">EDATE(E58,-1)</f>
        <v>44075</v>
      </c>
      <c r="G58" s="1604">
        <f t="shared" si="19"/>
        <v>44044</v>
      </c>
      <c r="H58" s="1604">
        <f t="shared" si="19"/>
        <v>44013</v>
      </c>
      <c r="I58" s="1604">
        <f t="shared" si="19"/>
        <v>43983</v>
      </c>
      <c r="J58" s="1604">
        <f t="shared" si="19"/>
        <v>43952</v>
      </c>
      <c r="K58" s="1604">
        <f t="shared" si="19"/>
        <v>43922</v>
      </c>
      <c r="L58" s="1604">
        <f t="shared" si="19"/>
        <v>43891</v>
      </c>
      <c r="M58" s="1604">
        <f t="shared" si="19"/>
        <v>43862</v>
      </c>
      <c r="N58" s="1604">
        <f t="shared" si="19"/>
        <v>43831</v>
      </c>
      <c r="O58" s="1604">
        <f t="shared" si="19"/>
        <v>43800</v>
      </c>
      <c r="P58" s="1780"/>
    </row>
    <row r="59" spans="1:29" s="1170" customFormat="1">
      <c r="A59" s="1605"/>
      <c r="B59" s="1761"/>
      <c r="C59" s="1606">
        <v>100</v>
      </c>
      <c r="D59" s="1737"/>
      <c r="E59" s="1415"/>
      <c r="F59" s="1415"/>
      <c r="G59" s="1415"/>
      <c r="H59" s="1415"/>
      <c r="I59" s="1415"/>
      <c r="J59" s="1415"/>
      <c r="K59" s="1415"/>
      <c r="L59" s="1415"/>
      <c r="M59" s="1613"/>
      <c r="N59" s="1415"/>
      <c r="O59" s="1613"/>
      <c r="P59" s="1781"/>
    </row>
    <row r="60" spans="1:29" s="1170" customFormat="1" ht="14.4">
      <c r="A60" s="1406" t="s">
        <v>1208</v>
      </c>
      <c r="B60" s="1407"/>
      <c r="C60" s="1408"/>
      <c r="D60" s="1409"/>
      <c r="E60" s="1409"/>
      <c r="F60" s="1409"/>
      <c r="G60" s="1409"/>
      <c r="H60" s="1409"/>
      <c r="I60" s="1409"/>
      <c r="J60" s="1409"/>
      <c r="K60" s="1409"/>
      <c r="L60" s="1409"/>
      <c r="M60" s="1457"/>
      <c r="N60" s="1409"/>
      <c r="O60" s="1457"/>
      <c r="P60" s="1781"/>
      <c r="Q60" s="1709"/>
    </row>
    <row r="61" spans="1:29" s="1170" customFormat="1" ht="14.4">
      <c r="A61" s="1410" t="s">
        <v>1162</v>
      </c>
      <c r="B61" s="1411"/>
      <c r="C61" s="1412" t="s">
        <v>1209</v>
      </c>
      <c r="D61" s="1413"/>
      <c r="E61" s="1413"/>
      <c r="F61" s="1413"/>
      <c r="G61" s="1413"/>
      <c r="H61" s="1413"/>
      <c r="I61" s="1413"/>
      <c r="J61" s="1413"/>
      <c r="K61" s="1413"/>
      <c r="L61" s="1459"/>
      <c r="M61" s="1460"/>
      <c r="N61" s="1712"/>
      <c r="O61" s="1712"/>
      <c r="P61" s="1782"/>
      <c r="Q61" s="1709"/>
    </row>
    <row r="62" spans="1:29" s="1170" customFormat="1">
      <c r="A62" s="1410"/>
      <c r="B62" s="1411"/>
      <c r="C62" s="1737">
        <v>100</v>
      </c>
      <c r="D62" s="1415"/>
      <c r="E62" s="1415"/>
      <c r="F62" s="1415"/>
      <c r="G62" s="1415"/>
      <c r="H62" s="1415"/>
      <c r="I62" s="1415"/>
      <c r="J62" s="1415"/>
      <c r="K62" s="1415"/>
      <c r="L62" s="1415"/>
      <c r="M62" s="1463"/>
      <c r="N62" s="1712"/>
      <c r="O62" s="1712"/>
      <c r="P62" s="1781"/>
      <c r="Q62" s="1709"/>
    </row>
    <row r="63" spans="1:29" ht="14.4">
      <c r="A63" s="1416" t="s">
        <v>1210</v>
      </c>
      <c r="B63" s="1417" t="s">
        <v>1165</v>
      </c>
      <c r="C63" s="1439">
        <f>C9</f>
        <v>0</v>
      </c>
      <c r="D63" s="1359"/>
      <c r="E63" s="1359"/>
      <c r="F63" s="1359"/>
      <c r="G63" s="1359"/>
      <c r="H63" s="1359"/>
      <c r="I63" s="1359"/>
      <c r="J63" s="1359"/>
      <c r="K63" s="1464"/>
      <c r="L63" s="1465"/>
      <c r="M63" s="1466"/>
      <c r="N63" s="1714"/>
      <c r="O63" s="1714"/>
      <c r="P63" s="1783"/>
      <c r="Q63" s="1709"/>
    </row>
    <row r="64" spans="1:29">
      <c r="A64" s="1418"/>
      <c r="B64" s="1419"/>
      <c r="C64" s="1420">
        <v>100</v>
      </c>
      <c r="D64" s="1420"/>
      <c r="E64" s="1420"/>
      <c r="F64" s="1420"/>
      <c r="G64" s="1420"/>
      <c r="H64" s="1420"/>
      <c r="I64" s="1420"/>
      <c r="J64" s="1420"/>
      <c r="K64" s="1420"/>
      <c r="L64" s="1420"/>
      <c r="M64" s="1469"/>
      <c r="N64" s="1716"/>
      <c r="O64" s="1716"/>
      <c r="P64" s="1783"/>
      <c r="Q64" s="1709"/>
    </row>
    <row r="65" spans="1:17" ht="28.8">
      <c r="A65" s="1418"/>
      <c r="B65" s="1421" t="s">
        <v>1169</v>
      </c>
      <c r="C65" s="1446"/>
      <c r="D65" s="1446"/>
      <c r="E65" s="1446"/>
      <c r="F65" s="1446"/>
      <c r="G65" s="1446"/>
      <c r="H65" s="1446"/>
      <c r="I65" s="1446"/>
      <c r="J65" s="1446"/>
      <c r="K65" s="1446"/>
      <c r="L65" s="1446"/>
      <c r="M65" s="1446"/>
      <c r="N65" s="1716"/>
      <c r="O65" s="1716"/>
      <c r="P65" s="1783"/>
      <c r="Q65" s="1709"/>
    </row>
    <row r="66" spans="1:17">
      <c r="A66" s="1418"/>
      <c r="B66" s="1423"/>
      <c r="C66" s="1420"/>
      <c r="D66" s="1420"/>
      <c r="E66" s="1420"/>
      <c r="F66" s="1420"/>
      <c r="G66" s="1420"/>
      <c r="H66" s="1420"/>
      <c r="I66" s="1420"/>
      <c r="J66" s="1420"/>
      <c r="K66" s="1420"/>
      <c r="L66" s="1420"/>
      <c r="M66" s="1469"/>
      <c r="N66" s="1716"/>
      <c r="O66" s="1716"/>
      <c r="P66" s="1783"/>
      <c r="Q66" s="1709"/>
    </row>
    <row r="67" spans="1:17" ht="14.4">
      <c r="A67" s="1418"/>
      <c r="B67" s="1425" t="s">
        <v>1170</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c r="A68" s="1418"/>
      <c r="B68" s="1427"/>
      <c r="C68" s="1217"/>
      <c r="D68" s="1217"/>
      <c r="E68" s="1217"/>
      <c r="F68" s="1217"/>
      <c r="G68" s="1217"/>
      <c r="H68" s="1217"/>
      <c r="I68" s="1217"/>
      <c r="J68" s="1217"/>
      <c r="K68" s="1475"/>
      <c r="L68" s="1476"/>
      <c r="M68" s="1477"/>
      <c r="N68" s="1714"/>
      <c r="O68" s="1714"/>
      <c r="P68" s="1783"/>
      <c r="Q68" s="1709"/>
    </row>
    <row r="69"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c r="A70" s="1428"/>
      <c r="B70" s="1421">
        <f>B12</f>
        <v>111</v>
      </c>
      <c r="C70" s="1429"/>
      <c r="D70" s="1429"/>
      <c r="E70" s="1429"/>
      <c r="F70" s="1429"/>
      <c r="G70" s="1429"/>
      <c r="H70" s="1430"/>
      <c r="I70" s="1430"/>
      <c r="J70" s="1430"/>
      <c r="K70" s="1430"/>
      <c r="L70" s="1478"/>
      <c r="M70" s="1479"/>
      <c r="N70" s="1717"/>
      <c r="O70" s="1717"/>
      <c r="P70" s="1787"/>
      <c r="Q70" s="1719"/>
    </row>
    <row r="71" spans="1:17" s="1172" customFormat="1">
      <c r="A71" s="1428"/>
      <c r="B71" s="1423"/>
      <c r="C71" s="1431"/>
      <c r="D71" s="1420"/>
      <c r="E71" s="1420"/>
      <c r="F71" s="1420"/>
      <c r="G71" s="1420"/>
      <c r="H71" s="1420"/>
      <c r="I71" s="1420"/>
      <c r="J71" s="1420"/>
      <c r="K71" s="1420"/>
      <c r="L71" s="1420"/>
      <c r="M71" s="1469"/>
      <c r="N71" s="1716"/>
      <c r="O71" s="1716"/>
      <c r="P71" s="1787"/>
      <c r="Q71" s="1719"/>
    </row>
    <row r="72" spans="1:17" s="1172" customFormat="1">
      <c r="A72" s="1428"/>
      <c r="B72" s="1421">
        <f>B13</f>
        <v>111</v>
      </c>
      <c r="C72" s="1429"/>
      <c r="D72" s="1429"/>
      <c r="E72" s="1429"/>
      <c r="F72" s="1429"/>
      <c r="G72" s="1429"/>
      <c r="H72" s="1430"/>
      <c r="I72" s="1430"/>
      <c r="J72" s="1430"/>
      <c r="K72" s="1430"/>
      <c r="L72" s="1478"/>
      <c r="M72" s="1479"/>
      <c r="N72" s="1717"/>
      <c r="O72" s="1717"/>
      <c r="P72" s="1788"/>
      <c r="Q72" s="1725"/>
    </row>
    <row r="73" spans="1:17" s="1172" customFormat="1">
      <c r="A73" s="1428"/>
      <c r="B73" s="1423"/>
      <c r="C73" s="1431"/>
      <c r="D73" s="1431"/>
      <c r="E73" s="1431"/>
      <c r="F73" s="1431"/>
      <c r="G73" s="1431"/>
      <c r="H73" s="1432"/>
      <c r="I73" s="1432"/>
      <c r="J73" s="1432"/>
      <c r="K73" s="1432"/>
      <c r="L73" s="1432"/>
      <c r="M73" s="1482"/>
      <c r="N73" s="1717"/>
      <c r="O73" s="1717"/>
      <c r="P73" s="1787"/>
      <c r="Q73" s="1719"/>
    </row>
    <row r="74" spans="1:17" s="1172" customFormat="1">
      <c r="A74" s="1428"/>
      <c r="B74" s="1425">
        <f>B14</f>
        <v>111</v>
      </c>
      <c r="C74" s="1429"/>
      <c r="D74" s="1429"/>
      <c r="E74" s="1429"/>
      <c r="F74" s="1429"/>
      <c r="G74" s="1413"/>
      <c r="H74" s="1433"/>
      <c r="I74" s="1433"/>
      <c r="J74" s="1433"/>
      <c r="K74" s="1433"/>
      <c r="L74" s="1483"/>
      <c r="M74" s="1484"/>
      <c r="N74" s="1717"/>
      <c r="O74" s="1717"/>
      <c r="P74" s="1789"/>
      <c r="Q74" s="1719"/>
    </row>
    <row r="75" spans="1:17" s="1172" customFormat="1">
      <c r="A75" s="1434"/>
      <c r="B75" s="1435"/>
      <c r="C75" s="1436"/>
      <c r="D75" s="1436"/>
      <c r="E75" s="1436"/>
      <c r="F75" s="1436"/>
      <c r="G75" s="1436"/>
      <c r="H75" s="1437"/>
      <c r="I75" s="1437"/>
      <c r="J75" s="1437"/>
      <c r="K75" s="1437"/>
      <c r="L75" s="1437"/>
      <c r="M75" s="1486"/>
      <c r="N75" s="1717"/>
      <c r="O75" s="1717"/>
      <c r="P75" s="1787"/>
      <c r="Q75" s="1719"/>
    </row>
    <row r="76" spans="1:17" ht="14.4">
      <c r="A76" s="1416" t="s">
        <v>1171</v>
      </c>
      <c r="B76" s="1417" t="s">
        <v>1211</v>
      </c>
      <c r="C76" s="1438" t="s">
        <v>1212</v>
      </c>
      <c r="D76" s="1438" t="s">
        <v>1213</v>
      </c>
      <c r="E76" s="1438" t="s">
        <v>1214</v>
      </c>
      <c r="F76" s="1438" t="s">
        <v>1215</v>
      </c>
      <c r="G76" s="1438" t="s">
        <v>1216</v>
      </c>
      <c r="H76" s="1439"/>
      <c r="I76" s="1439"/>
      <c r="J76" s="1439"/>
      <c r="K76" s="1487"/>
      <c r="L76" s="1488"/>
      <c r="M76" s="1489"/>
      <c r="N76" s="1714"/>
      <c r="O76" s="1714"/>
      <c r="P76" s="1790"/>
      <c r="Q76" s="1709"/>
    </row>
    <row r="77" spans="1:17">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4.4">
      <c r="A78" s="1418"/>
      <c r="B78" s="1421" t="s">
        <v>1176</v>
      </c>
      <c r="C78" s="1440" t="s">
        <v>1212</v>
      </c>
      <c r="D78" s="1440" t="s">
        <v>1213</v>
      </c>
      <c r="E78" s="1440" t="s">
        <v>1214</v>
      </c>
      <c r="F78" s="1440" t="s">
        <v>1215</v>
      </c>
      <c r="G78" s="1440" t="s">
        <v>1216</v>
      </c>
      <c r="H78" s="1422"/>
      <c r="I78" s="1422"/>
      <c r="J78" s="1422"/>
      <c r="K78" s="1471"/>
      <c r="L78" s="1472"/>
      <c r="M78" s="1473"/>
      <c r="N78" s="1714"/>
      <c r="O78" s="1714"/>
      <c r="P78" s="1783"/>
      <c r="Q78" s="1709"/>
    </row>
    <row r="79" spans="1:17">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4.4">
      <c r="A80" s="1418"/>
      <c r="B80" s="1421" t="s">
        <v>1177</v>
      </c>
      <c r="C80" s="1440" t="s">
        <v>1212</v>
      </c>
      <c r="D80" s="1440" t="s">
        <v>1213</v>
      </c>
      <c r="E80" s="1440" t="s">
        <v>1214</v>
      </c>
      <c r="F80" s="1440" t="s">
        <v>1215</v>
      </c>
      <c r="G80" s="1440" t="s">
        <v>1216</v>
      </c>
      <c r="H80" s="1422"/>
      <c r="I80" s="1422"/>
      <c r="J80" s="1422"/>
      <c r="K80" s="1471"/>
      <c r="L80" s="1472"/>
      <c r="M80" s="1473"/>
      <c r="N80" s="1714"/>
      <c r="O80" s="1714"/>
      <c r="P80" s="1783"/>
      <c r="Q80" s="1709"/>
    </row>
    <row r="81" spans="1:17">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4.4">
      <c r="A82" s="1418"/>
      <c r="B82" s="1425" t="s">
        <v>1178</v>
      </c>
      <c r="C82" s="1422" t="s">
        <v>1217</v>
      </c>
      <c r="D82" s="1422" t="s">
        <v>1218</v>
      </c>
      <c r="E82" s="1422" t="s">
        <v>1219</v>
      </c>
      <c r="F82" s="1422" t="s">
        <v>1220</v>
      </c>
      <c r="G82" s="1422" t="s">
        <v>1221</v>
      </c>
      <c r="H82" s="1422"/>
      <c r="I82" s="1422"/>
      <c r="J82" s="1422"/>
      <c r="K82" s="1422"/>
      <c r="L82" s="1422"/>
      <c r="M82" s="1618"/>
      <c r="N82" s="1716"/>
      <c r="O82" s="1716"/>
      <c r="P82" s="1783"/>
      <c r="Q82" s="1709"/>
    </row>
    <row r="83"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4.4">
      <c r="A84" s="1418"/>
      <c r="B84" s="1421" t="s">
        <v>1179</v>
      </c>
      <c r="C84" s="1440" t="s">
        <v>1212</v>
      </c>
      <c r="D84" s="1440" t="s">
        <v>1213</v>
      </c>
      <c r="E84" s="1440" t="s">
        <v>1214</v>
      </c>
      <c r="F84" s="1440" t="s">
        <v>1215</v>
      </c>
      <c r="G84" s="1440" t="s">
        <v>1216</v>
      </c>
      <c r="H84" s="1422"/>
      <c r="I84" s="1422"/>
      <c r="J84" s="1422"/>
      <c r="K84" s="1471"/>
      <c r="L84" s="1472"/>
      <c r="M84" s="1473"/>
      <c r="N84" s="1714"/>
      <c r="O84" s="1714"/>
      <c r="P84" s="1783"/>
      <c r="Q84" s="1709"/>
    </row>
    <row r="85" spans="1:17">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4.4">
      <c r="A86" s="1441"/>
      <c r="B86" s="1421" t="s">
        <v>1700</v>
      </c>
      <c r="C86" s="1429"/>
      <c r="D86" s="1429"/>
      <c r="E86" s="1429"/>
      <c r="F86" s="1429"/>
      <c r="G86" s="1429"/>
      <c r="H86" s="1429"/>
      <c r="I86" s="1429"/>
      <c r="J86" s="1429"/>
      <c r="K86" s="1429"/>
      <c r="L86" s="1619"/>
      <c r="M86" s="1620"/>
      <c r="N86" s="1712"/>
      <c r="O86" s="1712"/>
      <c r="P86" s="1783"/>
      <c r="Q86" s="1709"/>
    </row>
    <row r="87" spans="1:17" s="1170" customFormat="1">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4.4">
      <c r="A88" s="1441"/>
      <c r="B88" s="1421" t="s">
        <v>1701</v>
      </c>
      <c r="C88" s="1429"/>
      <c r="D88" s="1429"/>
      <c r="E88" s="1429"/>
      <c r="F88" s="1743"/>
      <c r="G88" s="1429"/>
      <c r="H88" s="1429"/>
      <c r="I88" s="1429"/>
      <c r="J88" s="1429"/>
      <c r="K88" s="1429"/>
      <c r="L88" s="1429"/>
      <c r="M88" s="1620"/>
      <c r="N88" s="1712"/>
      <c r="O88" s="1712"/>
      <c r="P88" s="1783"/>
      <c r="Q88" s="1709"/>
    </row>
    <row r="89" spans="1:17" s="1170" customFormat="1">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c r="A90" s="1428"/>
      <c r="B90" s="1421">
        <f>B27</f>
        <v>111</v>
      </c>
      <c r="C90" s="1429"/>
      <c r="D90" s="1429"/>
      <c r="E90" s="1429"/>
      <c r="F90" s="1429"/>
      <c r="G90" s="1429"/>
      <c r="H90" s="1430"/>
      <c r="I90" s="1430"/>
      <c r="J90" s="1430"/>
      <c r="K90" s="1430"/>
      <c r="L90" s="1478"/>
      <c r="M90" s="1479"/>
      <c r="N90" s="1717"/>
      <c r="O90" s="1717"/>
      <c r="P90" s="1787"/>
      <c r="Q90" s="1719"/>
    </row>
    <row r="91" spans="1:17" s="1172" customFormat="1">
      <c r="A91" s="1428"/>
      <c r="B91" s="1423"/>
      <c r="C91" s="1431"/>
      <c r="D91" s="1431"/>
      <c r="E91" s="1431"/>
      <c r="F91" s="1431"/>
      <c r="G91" s="1431"/>
      <c r="H91" s="1432"/>
      <c r="I91" s="1432"/>
      <c r="J91" s="1432"/>
      <c r="K91" s="1432"/>
      <c r="L91" s="1432"/>
      <c r="M91" s="1482"/>
      <c r="N91" s="1717"/>
      <c r="O91" s="1717"/>
      <c r="P91" s="1787"/>
      <c r="Q91" s="1719"/>
    </row>
    <row r="92" spans="1:17">
      <c r="A92" s="1418"/>
      <c r="B92" s="1421">
        <f>B28</f>
        <v>111</v>
      </c>
      <c r="C92" s="1429"/>
      <c r="D92" s="1429"/>
      <c r="E92" s="1429"/>
      <c r="F92" s="1429"/>
      <c r="G92" s="1446"/>
      <c r="H92" s="1446"/>
      <c r="I92" s="1446"/>
      <c r="J92" s="1446"/>
      <c r="K92" s="1497"/>
      <c r="L92" s="1498"/>
      <c r="M92" s="1499"/>
      <c r="N92" s="1714"/>
      <c r="O92" s="1714"/>
      <c r="P92" s="1783"/>
      <c r="Q92" s="1709"/>
    </row>
    <row r="93" spans="1:17">
      <c r="A93" s="1418"/>
      <c r="B93" s="1423"/>
      <c r="C93" s="1431"/>
      <c r="D93" s="1420"/>
      <c r="E93" s="1420"/>
      <c r="F93" s="1420"/>
      <c r="G93" s="1420"/>
      <c r="H93" s="1420"/>
      <c r="I93" s="1420"/>
      <c r="J93" s="1420"/>
      <c r="K93" s="1420"/>
      <c r="L93" s="1420"/>
      <c r="M93" s="1469"/>
      <c r="N93" s="1716"/>
      <c r="O93" s="1716"/>
      <c r="P93" s="1783"/>
      <c r="Q93" s="1709"/>
    </row>
    <row r="94" spans="1:17">
      <c r="A94" s="1418"/>
      <c r="B94" s="1421">
        <f>B29</f>
        <v>111</v>
      </c>
      <c r="C94" s="1429"/>
      <c r="D94" s="1429"/>
      <c r="E94" s="1429"/>
      <c r="F94" s="1429"/>
      <c r="G94" s="1446"/>
      <c r="H94" s="1446"/>
      <c r="I94" s="1446"/>
      <c r="J94" s="1446"/>
      <c r="K94" s="1497"/>
      <c r="L94" s="1498"/>
      <c r="M94" s="1499"/>
      <c r="N94" s="1714"/>
      <c r="O94" s="1714"/>
      <c r="P94" s="1783"/>
      <c r="Q94" s="1709"/>
    </row>
    <row r="95" spans="1:17">
      <c r="A95" s="1418"/>
      <c r="B95" s="1423"/>
      <c r="C95" s="1431"/>
      <c r="D95" s="1431"/>
      <c r="E95" s="1431"/>
      <c r="F95" s="1431"/>
      <c r="G95" s="1420"/>
      <c r="H95" s="1420"/>
      <c r="I95" s="1420"/>
      <c r="J95" s="1420"/>
      <c r="K95" s="1420"/>
      <c r="L95" s="1420"/>
      <c r="M95" s="1469"/>
      <c r="N95" s="1716"/>
      <c r="O95" s="1716"/>
      <c r="P95" s="1783"/>
      <c r="Q95" s="1709"/>
    </row>
    <row r="96" spans="1:17">
      <c r="A96" s="1418"/>
      <c r="B96" s="1421">
        <f>B30</f>
        <v>111</v>
      </c>
      <c r="C96" s="1429"/>
      <c r="D96" s="1429"/>
      <c r="E96" s="1429"/>
      <c r="F96" s="1429"/>
      <c r="G96" s="1446"/>
      <c r="H96" s="1446"/>
      <c r="I96" s="1446"/>
      <c r="J96" s="1446"/>
      <c r="K96" s="1497"/>
      <c r="L96" s="1498"/>
      <c r="M96" s="1499"/>
      <c r="N96" s="1714"/>
      <c r="O96" s="1714"/>
      <c r="P96" s="1783"/>
      <c r="Q96" s="1709"/>
    </row>
    <row r="97" spans="1:17">
      <c r="A97" s="1418"/>
      <c r="B97" s="1423"/>
      <c r="C97" s="1436"/>
      <c r="D97" s="1436"/>
      <c r="E97" s="1436"/>
      <c r="F97" s="1436"/>
      <c r="G97" s="1420"/>
      <c r="H97" s="1420"/>
      <c r="I97" s="1420"/>
      <c r="J97" s="1420"/>
      <c r="K97" s="1420"/>
      <c r="L97" s="1420"/>
      <c r="M97" s="1469"/>
      <c r="N97" s="1716"/>
      <c r="O97" s="1716"/>
      <c r="P97" s="1783"/>
      <c r="Q97" s="1709"/>
    </row>
    <row r="98" spans="1:17">
      <c r="A98" s="1418"/>
      <c r="B98" s="1425">
        <f>B31</f>
        <v>111</v>
      </c>
      <c r="C98" s="1447"/>
      <c r="D98" s="1447"/>
      <c r="E98" s="1447"/>
      <c r="F98" s="1447"/>
      <c r="G98" s="1447"/>
      <c r="H98" s="1447"/>
      <c r="I98" s="1447"/>
      <c r="J98" s="1447"/>
      <c r="K98" s="1500"/>
      <c r="L98" s="1501"/>
      <c r="M98" s="1502"/>
      <c r="N98" s="1714"/>
      <c r="O98" s="1714"/>
      <c r="P98" s="1783"/>
      <c r="Q98" s="1709"/>
    </row>
    <row r="99" spans="1:17">
      <c r="A99" s="1720"/>
      <c r="B99" s="1435"/>
      <c r="C99" s="1448"/>
      <c r="D99" s="1448"/>
      <c r="E99" s="1448"/>
      <c r="F99" s="1448"/>
      <c r="G99" s="1448"/>
      <c r="H99" s="1448"/>
      <c r="I99" s="1448"/>
      <c r="J99" s="1448"/>
      <c r="K99" s="1448"/>
      <c r="L99" s="1448"/>
      <c r="M99" s="1503"/>
      <c r="N99" s="1716"/>
      <c r="O99" s="1716"/>
      <c r="P99" s="1783"/>
      <c r="Q99" s="1709"/>
    </row>
    <row r="100" spans="1:17" ht="14.4">
      <c r="A100" s="1416" t="s">
        <v>1187</v>
      </c>
      <c r="B100" s="1417" t="s">
        <v>1702</v>
      </c>
      <c r="C100" s="1359"/>
      <c r="D100" s="1359"/>
      <c r="E100" s="1359"/>
      <c r="F100" s="1359"/>
      <c r="G100" s="1359"/>
      <c r="H100" s="1359"/>
      <c r="I100" s="1359"/>
      <c r="J100" s="1359"/>
      <c r="K100" s="1464"/>
      <c r="L100" s="1465"/>
      <c r="M100" s="1466"/>
      <c r="N100" s="1714"/>
      <c r="O100" s="1714"/>
      <c r="P100" s="1783"/>
      <c r="Q100" s="1709"/>
    </row>
    <row r="101"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4.4">
      <c r="A102" s="1418"/>
      <c r="B102" s="1421" t="s">
        <v>1190</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c r="A104" s="1428"/>
      <c r="B104" s="1423"/>
      <c r="C104" s="1431"/>
      <c r="D104" s="1420"/>
      <c r="E104" s="1420"/>
      <c r="F104" s="1420"/>
      <c r="G104" s="1420"/>
      <c r="H104" s="1420"/>
      <c r="I104" s="1420"/>
      <c r="J104" s="1420"/>
      <c r="K104" s="1420"/>
      <c r="L104" s="1420"/>
      <c r="M104" s="1420"/>
      <c r="N104" s="1716"/>
      <c r="O104" s="1716"/>
      <c r="P104" s="1787"/>
      <c r="Q104" s="1719"/>
    </row>
    <row r="105" spans="1:17" ht="14.4">
      <c r="A105" s="1452"/>
      <c r="B105" s="1421" t="s">
        <v>1191</v>
      </c>
      <c r="C105" s="1429"/>
      <c r="D105" s="1429"/>
      <c r="E105" s="1446"/>
      <c r="F105" s="1446"/>
      <c r="G105" s="1446"/>
      <c r="H105" s="1446"/>
      <c r="I105" s="1446"/>
      <c r="J105" s="1446"/>
      <c r="K105" s="1497"/>
      <c r="L105" s="1498"/>
      <c r="M105" s="1499"/>
      <c r="N105" s="1714"/>
      <c r="O105" s="1714"/>
      <c r="P105" s="1783"/>
      <c r="Q105" s="1709"/>
    </row>
    <row r="106"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ht="14.4">
      <c r="A107" s="1452"/>
      <c r="B107" s="1421" t="s">
        <v>1703</v>
      </c>
      <c r="C107" s="1446"/>
      <c r="D107" s="1446"/>
      <c r="E107" s="1446"/>
      <c r="F107" s="1446"/>
      <c r="G107" s="1446"/>
      <c r="H107" s="1446"/>
      <c r="I107" s="1446"/>
      <c r="J107" s="1446"/>
      <c r="K107" s="1497"/>
      <c r="L107" s="1498"/>
      <c r="M107" s="1499"/>
      <c r="N107" s="1714"/>
      <c r="O107" s="1714"/>
      <c r="P107" s="1783"/>
      <c r="Q107" s="1709"/>
    </row>
    <row r="108"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ht="14.4">
      <c r="A109" s="1452"/>
      <c r="B109" s="1421" t="s">
        <v>1192</v>
      </c>
      <c r="C109" s="1429"/>
      <c r="D109" s="1429"/>
      <c r="E109" s="1429"/>
      <c r="F109" s="1446"/>
      <c r="G109" s="1446"/>
      <c r="H109" s="1446"/>
      <c r="I109" s="1446"/>
      <c r="J109" s="1446"/>
      <c r="K109" s="1497"/>
      <c r="L109" s="1498"/>
      <c r="M109" s="1499"/>
      <c r="N109" s="1714"/>
      <c r="O109" s="1714"/>
      <c r="P109" s="1783"/>
      <c r="Q109" s="1709"/>
    </row>
    <row r="110"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ht="14.4">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ht="14.4">
      <c r="A114" s="1452"/>
      <c r="B114" s="1421" t="s">
        <v>1704</v>
      </c>
      <c r="C114" s="1429"/>
      <c r="D114" s="1429"/>
      <c r="E114" s="1446"/>
      <c r="F114" s="1446"/>
      <c r="G114" s="1446"/>
      <c r="H114" s="1446"/>
      <c r="I114" s="1446"/>
      <c r="J114" s="1446"/>
      <c r="K114" s="1497"/>
      <c r="L114" s="1498"/>
      <c r="M114" s="1499"/>
      <c r="N114" s="1714"/>
      <c r="O114" s="1714"/>
      <c r="P114" s="1783"/>
      <c r="Q114" s="1709"/>
    </row>
    <row r="11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ht="14.4">
      <c r="A116" s="1452"/>
      <c r="B116" s="1421" t="s">
        <v>1193</v>
      </c>
      <c r="C116" s="1429"/>
      <c r="D116" s="1429"/>
      <c r="E116" s="1429"/>
      <c r="F116" s="1429"/>
      <c r="G116" s="1429"/>
      <c r="H116" s="1446"/>
      <c r="I116" s="1446"/>
      <c r="J116" s="1446"/>
      <c r="K116" s="1497"/>
      <c r="L116" s="1498"/>
      <c r="M116" s="1499"/>
      <c r="N116" s="1714"/>
      <c r="O116" s="1714"/>
      <c r="P116" s="1783"/>
      <c r="Q116" s="1709"/>
    </row>
    <row r="117"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ht="14.4">
      <c r="A118" s="1452"/>
      <c r="B118" s="1421" t="s">
        <v>1705</v>
      </c>
      <c r="C118" s="1446"/>
      <c r="D118" s="1446"/>
      <c r="E118" s="1446"/>
      <c r="F118" s="1446"/>
      <c r="G118" s="1446"/>
      <c r="H118" s="1446"/>
      <c r="I118" s="1446"/>
      <c r="J118" s="1446"/>
      <c r="K118" s="1497"/>
      <c r="L118" s="1498"/>
      <c r="M118" s="1499"/>
      <c r="N118" s="1714"/>
      <c r="O118" s="1714"/>
      <c r="P118" s="1783"/>
      <c r="Q118" s="1709"/>
    </row>
    <row r="119"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8.8">
      <c r="A120" s="1449"/>
      <c r="B120" s="1421" t="s">
        <v>1706</v>
      </c>
      <c r="C120" s="1429"/>
      <c r="D120" s="1429"/>
      <c r="E120" s="1429"/>
      <c r="F120" s="1429"/>
      <c r="G120" s="1429"/>
      <c r="H120" s="1429"/>
      <c r="I120" s="1429"/>
      <c r="J120" s="1429"/>
      <c r="K120" s="1429"/>
      <c r="L120" s="1619"/>
      <c r="M120" s="1620"/>
      <c r="N120" s="1717"/>
      <c r="O120" s="1717"/>
      <c r="P120" s="1787"/>
      <c r="Q120" s="1719"/>
    </row>
    <row r="121" spans="1:17" s="1172" customFormat="1">
      <c r="A121" s="1428"/>
      <c r="B121" s="1419"/>
      <c r="C121" s="1431"/>
      <c r="D121" s="1420"/>
      <c r="E121" s="1420"/>
      <c r="F121" s="1420"/>
      <c r="G121" s="1420"/>
      <c r="H121" s="1420"/>
      <c r="I121" s="1420"/>
      <c r="J121" s="1420"/>
      <c r="K121" s="1420"/>
      <c r="L121" s="1420"/>
      <c r="M121" s="1420"/>
      <c r="N121" s="1717"/>
      <c r="O121" s="1717"/>
      <c r="P121" s="1787"/>
      <c r="Q121" s="1719"/>
    </row>
    <row r="122" spans="1:17" ht="14.4">
      <c r="A122" s="1452"/>
      <c r="B122" s="1421" t="s">
        <v>1198</v>
      </c>
      <c r="C122" s="1429"/>
      <c r="D122" s="1429"/>
      <c r="E122" s="1429"/>
      <c r="F122" s="1446"/>
      <c r="G122" s="1446"/>
      <c r="H122" s="1446"/>
      <c r="I122" s="1446"/>
      <c r="J122" s="1446"/>
      <c r="K122" s="1497"/>
      <c r="L122" s="1498"/>
      <c r="M122" s="1499"/>
      <c r="N122" s="1714"/>
      <c r="O122" s="1714"/>
      <c r="P122" s="1783"/>
      <c r="Q122" s="1709"/>
    </row>
    <row r="123"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ht="28.8">
      <c r="A124" s="1452"/>
      <c r="B124" s="1421" t="s">
        <v>1199</v>
      </c>
      <c r="C124" s="1440" t="s">
        <v>1212</v>
      </c>
      <c r="D124" s="1440" t="s">
        <v>1213</v>
      </c>
      <c r="E124" s="1440" t="s">
        <v>1214</v>
      </c>
      <c r="F124" s="1440" t="s">
        <v>1215</v>
      </c>
      <c r="G124" s="1440" t="s">
        <v>1216</v>
      </c>
      <c r="H124" s="1422"/>
      <c r="I124" s="1422"/>
      <c r="J124" s="1422"/>
      <c r="K124" s="1471"/>
      <c r="L124" s="1472"/>
      <c r="M124" s="1473"/>
      <c r="N124" s="1714"/>
      <c r="O124" s="1714"/>
      <c r="P124" s="1787"/>
      <c r="Q124" s="1709"/>
    </row>
    <row r="12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c r="A131" s="1720"/>
      <c r="B131" s="1435"/>
      <c r="C131" s="1436"/>
      <c r="D131" s="1436"/>
      <c r="E131" s="1436"/>
      <c r="F131" s="1436"/>
      <c r="G131" s="1448"/>
      <c r="H131" s="1448"/>
      <c r="I131" s="1448"/>
      <c r="J131" s="1448"/>
      <c r="K131" s="1448"/>
      <c r="L131" s="1448"/>
      <c r="M131" s="1503"/>
      <c r="N131" s="1716"/>
      <c r="O131" s="1716"/>
      <c r="P131" s="1783"/>
      <c r="Q131" s="1709"/>
    </row>
    <row r="136" spans="1:17" ht="14.4">
      <c r="B136" s="1794" t="s">
        <v>1707</v>
      </c>
    </row>
    <row r="137" spans="1:17" ht="15">
      <c r="B137" s="1795" t="s">
        <v>1708</v>
      </c>
      <c r="C137" s="1796"/>
      <c r="D137" s="1796"/>
      <c r="E137" s="1796"/>
      <c r="F137" s="1796"/>
      <c r="G137" s="1797"/>
      <c r="H137" s="1798"/>
      <c r="I137" s="1821" t="s">
        <v>1709</v>
      </c>
      <c r="J137" s="1796"/>
      <c r="K137" s="1822"/>
    </row>
    <row r="138" spans="1:17" ht="15">
      <c r="B138" s="1799"/>
      <c r="C138" s="1800" t="s">
        <v>1710</v>
      </c>
      <c r="D138" s="1800" t="s">
        <v>1711</v>
      </c>
      <c r="E138" s="1801" t="s">
        <v>1712</v>
      </c>
      <c r="F138" s="1802" t="s">
        <v>1713</v>
      </c>
      <c r="G138" s="1800" t="s">
        <v>1711</v>
      </c>
      <c r="H138" s="1803" t="s">
        <v>1712</v>
      </c>
      <c r="I138" s="1823"/>
      <c r="J138" s="1800" t="s">
        <v>1714</v>
      </c>
      <c r="K138" s="1803" t="s">
        <v>1715</v>
      </c>
    </row>
    <row r="139" spans="1:17" ht="15">
      <c r="B139" s="1804">
        <v>6</v>
      </c>
      <c r="C139" s="1805">
        <v>96</v>
      </c>
      <c r="D139" s="1806" t="s">
        <v>1716</v>
      </c>
      <c r="E139" s="1807">
        <v>100</v>
      </c>
      <c r="F139" s="1808">
        <v>102.5</v>
      </c>
      <c r="G139" s="1806" t="s">
        <v>1716</v>
      </c>
      <c r="H139" s="1809">
        <v>105</v>
      </c>
      <c r="I139" s="1824" t="s">
        <v>1717</v>
      </c>
      <c r="J139" s="1805">
        <v>20</v>
      </c>
      <c r="K139" s="1825">
        <f>C145/(J139-2)</f>
        <v>4.0555555555555553E-3</v>
      </c>
    </row>
    <row r="140" spans="1:17" ht="15">
      <c r="B140" s="1810">
        <v>5</v>
      </c>
      <c r="C140" s="1811">
        <v>100</v>
      </c>
      <c r="D140" s="1811"/>
      <c r="E140" s="1812"/>
      <c r="F140" s="1813">
        <v>102</v>
      </c>
      <c r="G140" s="1811"/>
      <c r="H140" s="1814"/>
      <c r="I140" s="1826" t="s">
        <v>1718</v>
      </c>
      <c r="J140" s="545">
        <f>ROUNDUP((J139-1)/2,0)</f>
        <v>10</v>
      </c>
      <c r="K140" s="1827">
        <v>100</v>
      </c>
    </row>
    <row r="141" spans="1:17" ht="15">
      <c r="B141" s="1810">
        <v>4</v>
      </c>
      <c r="C141" s="1811">
        <v>102</v>
      </c>
      <c r="D141" s="1811"/>
      <c r="E141" s="1812"/>
      <c r="F141" s="1813">
        <v>101.5</v>
      </c>
      <c r="G141" s="1811"/>
      <c r="H141" s="1814"/>
      <c r="I141" s="1826" t="s">
        <v>1719</v>
      </c>
      <c r="J141" s="545">
        <v>1</v>
      </c>
      <c r="K141" s="1828">
        <f>ROUND(100+(J141-J140)*K139*100,1)</f>
        <v>96.4</v>
      </c>
    </row>
    <row r="142" spans="1:17" ht="15">
      <c r="B142" s="1810">
        <v>3</v>
      </c>
      <c r="C142" s="1811">
        <v>103</v>
      </c>
      <c r="D142" s="1811"/>
      <c r="E142" s="1812"/>
      <c r="F142" s="1813">
        <v>101</v>
      </c>
      <c r="G142" s="1811"/>
      <c r="H142" s="1814"/>
      <c r="I142" s="1826" t="s">
        <v>1720</v>
      </c>
      <c r="J142" s="545">
        <f>J139</f>
        <v>20</v>
      </c>
      <c r="K142" s="1829">
        <v>95</v>
      </c>
    </row>
    <row r="143" spans="1:17" ht="15">
      <c r="B143" s="1810">
        <v>2</v>
      </c>
      <c r="C143" s="1811">
        <v>100</v>
      </c>
      <c r="D143" s="1811"/>
      <c r="E143" s="1812"/>
      <c r="F143" s="1813">
        <v>100.5</v>
      </c>
      <c r="G143" s="1811"/>
      <c r="H143" s="1814"/>
      <c r="I143" s="1826" t="s">
        <v>1721</v>
      </c>
      <c r="J143" s="1811">
        <v>15</v>
      </c>
      <c r="K143" s="1828">
        <f>ROUND(100+(J143-J140)*K139*100,1)</f>
        <v>102</v>
      </c>
    </row>
    <row r="144" spans="1:17" ht="15">
      <c r="B144" s="1810">
        <v>1</v>
      </c>
      <c r="C144" s="1811">
        <v>98</v>
      </c>
      <c r="D144" s="1815" t="s">
        <v>1722</v>
      </c>
      <c r="E144" s="1812">
        <v>102</v>
      </c>
      <c r="F144" s="1816">
        <v>100</v>
      </c>
      <c r="G144" s="1815" t="s">
        <v>1722</v>
      </c>
      <c r="H144" s="1814">
        <v>105</v>
      </c>
      <c r="I144" s="1826" t="s">
        <v>1721</v>
      </c>
      <c r="J144" s="1811">
        <v>18</v>
      </c>
      <c r="K144" s="1828">
        <f>ROUND(100+(J144-J140)*K139*100,1)</f>
        <v>103.2</v>
      </c>
    </row>
    <row r="145" spans="2:11" ht="15.6">
      <c r="B145" s="1817" t="s">
        <v>1723</v>
      </c>
      <c r="C145" s="1818">
        <f>ROUND(MAX(C139:C144)/MIN(C139:C144)-1,3)</f>
        <v>7.2999999999999995E-2</v>
      </c>
      <c r="D145" s="1819"/>
      <c r="E145" s="1819"/>
      <c r="F145" s="1820" t="s">
        <v>1724</v>
      </c>
      <c r="G145" s="1739"/>
      <c r="H145" s="1742"/>
      <c r="I145" s="1830" t="s">
        <v>1721</v>
      </c>
      <c r="J145" s="1831">
        <v>8</v>
      </c>
      <c r="K145" s="1832">
        <f>ROUND(100+(J145-J140)*K139*100,1)</f>
        <v>99.2</v>
      </c>
    </row>
    <row r="147" spans="2:11" ht="14.4">
      <c r="B147" s="1794" t="s">
        <v>1725</v>
      </c>
    </row>
    <row r="148" spans="2:11" ht="14.4">
      <c r="B148" s="1794" t="s">
        <v>1726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176" customWidth="1"/>
    <col min="2" max="2" width="15.77734375" style="1176" customWidth="1"/>
    <col min="3" max="3" width="15.66406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685" t="s">
        <v>1727</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f>IF(C2="——",C50,ROUND(B2*10000/D3,0))</f>
        <v>0</v>
      </c>
      <c r="C3" s="1562" t="s">
        <v>1148</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90" t="s">
        <v>1155</v>
      </c>
      <c r="Q4" s="3891"/>
      <c r="R4" s="3894" t="s">
        <v>1151</v>
      </c>
      <c r="S4" s="3895"/>
      <c r="T4" s="3894" t="s">
        <v>1152</v>
      </c>
      <c r="U4" s="3895"/>
      <c r="V4" s="3896" t="s">
        <v>1153</v>
      </c>
      <c r="W4" s="3896"/>
      <c r="X4" s="1738"/>
      <c r="Y4" s="3894" t="s">
        <v>1155</v>
      </c>
      <c r="Z4" s="3895"/>
      <c r="AA4" s="3886" t="s">
        <v>1151</v>
      </c>
      <c r="AB4" s="3886" t="s">
        <v>1152</v>
      </c>
      <c r="AC4" s="3887" t="s">
        <v>1153</v>
      </c>
    </row>
    <row r="5" spans="1:29">
      <c r="A5" s="1191"/>
      <c r="B5" s="1192"/>
      <c r="C5" s="3814" t="s">
        <v>1156</v>
      </c>
      <c r="D5" s="3815"/>
      <c r="E5" s="3816" t="s">
        <v>1697</v>
      </c>
      <c r="F5" s="3817"/>
      <c r="G5" s="3814" t="s">
        <v>1698</v>
      </c>
      <c r="H5" s="3815"/>
      <c r="I5" s="3814" t="s">
        <v>1699</v>
      </c>
      <c r="J5" s="3815"/>
      <c r="K5" s="1336"/>
      <c r="L5" s="1337"/>
      <c r="M5" s="1338"/>
      <c r="N5" s="1338"/>
      <c r="O5" s="1338"/>
      <c r="P5" s="3892"/>
      <c r="Q5" s="3847"/>
      <c r="R5" s="3852"/>
      <c r="S5" s="3853"/>
      <c r="T5" s="3852"/>
      <c r="U5" s="3853"/>
      <c r="V5" s="3826"/>
      <c r="W5" s="3826"/>
      <c r="X5" s="1380"/>
      <c r="Y5" s="3852"/>
      <c r="Z5" s="3853"/>
      <c r="AA5" s="3842"/>
      <c r="AB5" s="3842"/>
      <c r="AC5" s="3888"/>
    </row>
    <row r="6" spans="1:29" ht="14.4">
      <c r="A6" s="1193"/>
      <c r="B6" s="1194"/>
      <c r="C6" s="3818" t="s">
        <v>1157</v>
      </c>
      <c r="D6" s="3819"/>
      <c r="E6" s="3820" t="s">
        <v>1157</v>
      </c>
      <c r="F6" s="3821"/>
      <c r="G6" s="3818" t="s">
        <v>1157</v>
      </c>
      <c r="H6" s="3819"/>
      <c r="I6" s="3818" t="s">
        <v>1157</v>
      </c>
      <c r="J6" s="3819"/>
      <c r="K6" s="1336" t="s">
        <v>1158</v>
      </c>
      <c r="L6" s="1337"/>
      <c r="M6" s="1338"/>
      <c r="N6" s="1338"/>
      <c r="O6" s="1338"/>
      <c r="P6" s="3893"/>
      <c r="Q6" s="3849"/>
      <c r="R6" s="3852"/>
      <c r="S6" s="3853"/>
      <c r="T6" s="3854"/>
      <c r="U6" s="3855"/>
      <c r="V6" s="3826"/>
      <c r="W6" s="3826"/>
      <c r="X6" s="1380"/>
      <c r="Y6" s="3854"/>
      <c r="Z6" s="3855"/>
      <c r="AA6" s="3843"/>
      <c r="AB6" s="3843"/>
      <c r="AC6" s="3889"/>
    </row>
    <row r="7" spans="1:29" s="1170" customFormat="1" ht="14.4">
      <c r="A7" s="1195" t="s">
        <v>1159</v>
      </c>
      <c r="B7" s="1196"/>
      <c r="C7" s="1197">
        <f>'数据-取费表'!B2</f>
        <v>44196</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8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740" t="e">
        <f>D7/J7</f>
        <v>#DIV/0!</v>
      </c>
    </row>
    <row r="8" spans="1:29" s="1170" customFormat="1" ht="14.4">
      <c r="A8" s="1195" t="s">
        <v>1162</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82" t="s">
        <v>1163</v>
      </c>
      <c r="Q8" s="3824"/>
      <c r="R8" s="1381" t="s">
        <v>1161</v>
      </c>
      <c r="S8" s="1382">
        <f t="shared" si="0"/>
        <v>100</v>
      </c>
      <c r="T8" s="1381" t="s">
        <v>1161</v>
      </c>
      <c r="U8" s="1382">
        <f t="shared" si="1"/>
        <v>100</v>
      </c>
      <c r="V8" s="1381" t="s">
        <v>1161</v>
      </c>
      <c r="W8" s="1382">
        <f t="shared" si="2"/>
        <v>100</v>
      </c>
      <c r="X8" s="1383"/>
      <c r="Y8" s="3822" t="s">
        <v>1163</v>
      </c>
      <c r="Z8" s="3824"/>
      <c r="AA8" s="1395">
        <f t="shared" ref="AA8:AA47" si="3">D8/F8</f>
        <v>1</v>
      </c>
      <c r="AB8" s="1395">
        <f t="shared" ref="AB8:AB47" si="4">D8/H8</f>
        <v>1</v>
      </c>
      <c r="AC8" s="1740">
        <f t="shared" ref="AC8:AC47" si="5">D8/J8</f>
        <v>1</v>
      </c>
    </row>
    <row r="9" spans="1:29" s="1170" customFormat="1" ht="14.4">
      <c r="A9" s="1203" t="s">
        <v>1164</v>
      </c>
      <c r="B9" s="1204" t="s">
        <v>1165</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827" t="s">
        <v>1167</v>
      </c>
      <c r="Q9" s="1385" t="str">
        <f t="shared" ref="Q9:Q15" si="6">B9</f>
        <v>用途</v>
      </c>
      <c r="R9" s="1381" t="s">
        <v>1161</v>
      </c>
      <c r="S9" s="1382">
        <f t="shared" si="0"/>
        <v>100</v>
      </c>
      <c r="T9" s="1381" t="s">
        <v>1161</v>
      </c>
      <c r="U9" s="1382">
        <f t="shared" si="1"/>
        <v>100</v>
      </c>
      <c r="V9" s="1381" t="s">
        <v>1161</v>
      </c>
      <c r="W9" s="1382">
        <f t="shared" si="2"/>
        <v>100</v>
      </c>
      <c r="X9" s="1383"/>
      <c r="Y9" s="3801" t="s">
        <v>1168</v>
      </c>
      <c r="Z9" s="1396" t="str">
        <f t="shared" ref="Z9:Z15" si="7">Q9</f>
        <v>用途</v>
      </c>
      <c r="AA9" s="1395">
        <f t="shared" si="3"/>
        <v>1</v>
      </c>
      <c r="AB9" s="1395">
        <f t="shared" si="4"/>
        <v>1</v>
      </c>
      <c r="AC9" s="1740">
        <f t="shared" si="5"/>
        <v>1</v>
      </c>
    </row>
    <row r="10" spans="1:29" s="1171" customFormat="1" ht="28.8">
      <c r="A10" s="1207"/>
      <c r="B10" s="1208" t="s">
        <v>1169</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827"/>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740">
        <f t="shared" si="5"/>
        <v>1</v>
      </c>
    </row>
    <row r="11" spans="1:29" ht="15">
      <c r="A11" s="1211"/>
      <c r="B11" s="1208" t="s">
        <v>1170</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827"/>
      <c r="Q11" s="1385" t="str">
        <f t="shared" si="6"/>
        <v>容积率</v>
      </c>
      <c r="R11" s="1381" t="s">
        <v>1161</v>
      </c>
      <c r="S11" s="1382">
        <f t="shared" si="0"/>
        <v>100</v>
      </c>
      <c r="T11" s="1381" t="s">
        <v>1161</v>
      </c>
      <c r="U11" s="1382">
        <f t="shared" si="1"/>
        <v>100</v>
      </c>
      <c r="V11" s="1381" t="s">
        <v>1161</v>
      </c>
      <c r="W11" s="1382">
        <f t="shared" si="2"/>
        <v>100</v>
      </c>
      <c r="X11" s="1383"/>
      <c r="Y11" s="3801"/>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827"/>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827"/>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827"/>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740">
        <f t="shared" si="5"/>
        <v>1</v>
      </c>
    </row>
    <row r="15" spans="1:29" ht="69">
      <c r="A15" s="1225" t="s">
        <v>1171</v>
      </c>
      <c r="B15" s="1226" t="s">
        <v>1728</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828" t="s">
        <v>1173</v>
      </c>
      <c r="Q15" s="754" t="str">
        <f t="shared" si="6"/>
        <v>办公集聚程度</v>
      </c>
      <c r="R15" s="1386" t="s">
        <v>1161</v>
      </c>
      <c r="S15" s="1387">
        <f t="shared" si="0"/>
        <v>100</v>
      </c>
      <c r="T15" s="1386" t="s">
        <v>1161</v>
      </c>
      <c r="U15" s="1387">
        <f t="shared" si="1"/>
        <v>100</v>
      </c>
      <c r="V15" s="1386" t="s">
        <v>1161</v>
      </c>
      <c r="W15" s="1387">
        <f t="shared" si="2"/>
        <v>100</v>
      </c>
      <c r="X15" s="1380"/>
      <c r="Y15" s="3833" t="s">
        <v>1173</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829"/>
      <c r="Q16" s="754"/>
      <c r="R16" s="1386"/>
      <c r="S16" s="1387"/>
      <c r="T16" s="1386"/>
      <c r="U16" s="1387"/>
      <c r="V16" s="1386"/>
      <c r="W16" s="1387"/>
      <c r="X16" s="1380"/>
      <c r="Y16" s="3834"/>
      <c r="Z16" s="1370"/>
      <c r="AA16" s="1397">
        <v>1</v>
      </c>
      <c r="AB16" s="1397">
        <v>1</v>
      </c>
      <c r="AC16" s="1741">
        <v>1</v>
      </c>
    </row>
    <row r="17" spans="1:29" ht="82.8">
      <c r="A17" s="1211"/>
      <c r="B17" s="1235" t="s">
        <v>1176</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829"/>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829"/>
      <c r="Q18" s="754"/>
      <c r="R18" s="1386"/>
      <c r="S18" s="1387"/>
      <c r="T18" s="1386"/>
      <c r="U18" s="1387"/>
      <c r="V18" s="1386"/>
      <c r="W18" s="1387"/>
      <c r="X18" s="1380"/>
      <c r="Y18" s="3834"/>
      <c r="Z18" s="1370"/>
      <c r="AA18" s="1397">
        <v>1</v>
      </c>
      <c r="AB18" s="1397">
        <v>1</v>
      </c>
      <c r="AC18" s="1741">
        <v>1</v>
      </c>
    </row>
    <row r="19" spans="1:29" ht="41.4">
      <c r="A19" s="1211"/>
      <c r="B19" s="1235" t="s">
        <v>1177</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829"/>
      <c r="Q19" s="754" t="str">
        <f>B19</f>
        <v>公共配套设施</v>
      </c>
      <c r="R19" s="1386" t="s">
        <v>1161</v>
      </c>
      <c r="S19" s="1387">
        <f>F19</f>
        <v>100</v>
      </c>
      <c r="T19" s="1386" t="s">
        <v>1161</v>
      </c>
      <c r="U19" s="1387">
        <f>H19</f>
        <v>100</v>
      </c>
      <c r="V19" s="1386" t="s">
        <v>1161</v>
      </c>
      <c r="W19" s="1387">
        <f>J19</f>
        <v>100</v>
      </c>
      <c r="X19" s="1380"/>
      <c r="Y19" s="3834"/>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829"/>
      <c r="Q20" s="754"/>
      <c r="R20" s="1386"/>
      <c r="S20" s="1387"/>
      <c r="T20" s="1386"/>
      <c r="U20" s="1387"/>
      <c r="V20" s="1386"/>
      <c r="W20" s="1387"/>
      <c r="X20" s="1380"/>
      <c r="Y20" s="3834"/>
      <c r="Z20" s="1370"/>
      <c r="AA20" s="1397">
        <v>1</v>
      </c>
      <c r="AB20" s="1397">
        <v>1</v>
      </c>
      <c r="AC20" s="1741">
        <v>1</v>
      </c>
    </row>
    <row r="21" spans="1:29" ht="27.6">
      <c r="A21" s="1211"/>
      <c r="B21" s="1242" t="s">
        <v>1178</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829"/>
      <c r="Q21" s="754" t="str">
        <f>B21</f>
        <v>基础设施水平</v>
      </c>
      <c r="R21" s="1386" t="s">
        <v>1161</v>
      </c>
      <c r="S21" s="1387">
        <f>F21</f>
        <v>100</v>
      </c>
      <c r="T21" s="1386" t="s">
        <v>1161</v>
      </c>
      <c r="U21" s="1387">
        <f>H21</f>
        <v>100</v>
      </c>
      <c r="V21" s="1386" t="s">
        <v>1161</v>
      </c>
      <c r="W21" s="1387">
        <f>J21</f>
        <v>100</v>
      </c>
      <c r="X21" s="1380"/>
      <c r="Y21" s="3834"/>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829"/>
      <c r="Q22" s="754"/>
      <c r="R22" s="1386"/>
      <c r="S22" s="1387"/>
      <c r="T22" s="1386"/>
      <c r="U22" s="1387"/>
      <c r="V22" s="1386"/>
      <c r="W22" s="1387"/>
      <c r="X22" s="1380"/>
      <c r="Y22" s="3834"/>
      <c r="Z22" s="1370"/>
      <c r="AA22" s="1397">
        <v>1</v>
      </c>
      <c r="AB22" s="1397">
        <v>1</v>
      </c>
      <c r="AC22" s="1741">
        <v>1</v>
      </c>
    </row>
    <row r="23" spans="1:29" ht="55.2">
      <c r="A23" s="1211"/>
      <c r="B23" s="1235" t="s">
        <v>1729</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829"/>
      <c r="Q23" s="754" t="str">
        <f>B23</f>
        <v>环境质量</v>
      </c>
      <c r="R23" s="1386" t="s">
        <v>1161</v>
      </c>
      <c r="S23" s="1387">
        <f>F23</f>
        <v>100</v>
      </c>
      <c r="T23" s="1386" t="s">
        <v>1161</v>
      </c>
      <c r="U23" s="1387">
        <f>H23</f>
        <v>100</v>
      </c>
      <c r="V23" s="1386" t="s">
        <v>1161</v>
      </c>
      <c r="W23" s="1387">
        <f>J23</f>
        <v>100</v>
      </c>
      <c r="X23" s="1380"/>
      <c r="Y23" s="3834"/>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829"/>
      <c r="Q24" s="754"/>
      <c r="R24" s="1386"/>
      <c r="S24" s="1387"/>
      <c r="T24" s="1386"/>
      <c r="U24" s="1387"/>
      <c r="V24" s="1386"/>
      <c r="W24" s="1387"/>
      <c r="X24" s="1380"/>
      <c r="Y24" s="3834"/>
      <c r="Z24" s="1370"/>
      <c r="AA24" s="1397">
        <v>1</v>
      </c>
      <c r="AB24" s="1397">
        <v>1</v>
      </c>
      <c r="AC24" s="1741">
        <v>1</v>
      </c>
    </row>
    <row r="25" spans="1:29" ht="28.8">
      <c r="A25" s="1191"/>
      <c r="B25" s="1235" t="s">
        <v>1730</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829"/>
      <c r="Q25" s="754" t="str">
        <f>B25</f>
        <v>毗邻道路的类型与等级</v>
      </c>
      <c r="R25" s="1386" t="s">
        <v>1161</v>
      </c>
      <c r="S25" s="1387">
        <f>F25</f>
        <v>100</v>
      </c>
      <c r="T25" s="1386" t="s">
        <v>1161</v>
      </c>
      <c r="U25" s="1387">
        <f>H25</f>
        <v>100</v>
      </c>
      <c r="V25" s="1386" t="s">
        <v>1161</v>
      </c>
      <c r="W25" s="1387">
        <f>J25</f>
        <v>100</v>
      </c>
      <c r="X25" s="1380"/>
      <c r="Y25" s="3834"/>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829"/>
      <c r="Q26" s="754"/>
      <c r="R26" s="1386"/>
      <c r="S26" s="1387"/>
      <c r="T26" s="1386"/>
      <c r="U26" s="1387"/>
      <c r="V26" s="1386"/>
      <c r="W26" s="1387"/>
      <c r="X26" s="1380"/>
      <c r="Y26" s="3834"/>
      <c r="Z26" s="1370"/>
      <c r="AA26" s="1397">
        <v>1</v>
      </c>
      <c r="AB26" s="1397">
        <v>1</v>
      </c>
      <c r="AC26" s="1741">
        <v>1</v>
      </c>
    </row>
    <row r="27" spans="1:29" ht="15">
      <c r="A27" s="1211"/>
      <c r="B27" s="1239" t="s">
        <v>1186</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829"/>
      <c r="Q27" s="754" t="str">
        <f t="shared" ref="Q27:Q47" si="11">B27</f>
        <v>楼层</v>
      </c>
      <c r="R27" s="1386" t="s">
        <v>1161</v>
      </c>
      <c r="S27" s="1387">
        <f>F27</f>
        <v>100</v>
      </c>
      <c r="T27" s="1386" t="s">
        <v>1161</v>
      </c>
      <c r="U27" s="1387">
        <f>H27</f>
        <v>100</v>
      </c>
      <c r="V27" s="1386" t="s">
        <v>1161</v>
      </c>
      <c r="W27" s="1387">
        <f>J27</f>
        <v>100</v>
      </c>
      <c r="X27" s="1380"/>
      <c r="Y27" s="3834"/>
      <c r="Z27" s="1370" t="str">
        <f>Q27</f>
        <v>楼层</v>
      </c>
      <c r="AA27" s="1397">
        <f t="shared" si="3"/>
        <v>1</v>
      </c>
      <c r="AB27" s="1397">
        <f t="shared" si="4"/>
        <v>1</v>
      </c>
      <c r="AC27" s="1741">
        <f t="shared" si="5"/>
        <v>1</v>
      </c>
    </row>
    <row r="28" spans="1:29" s="1170" customFormat="1" ht="15">
      <c r="A28" s="1214"/>
      <c r="B28" s="1235" t="s">
        <v>1701</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829"/>
      <c r="Q28" s="1385" t="str">
        <f t="shared" si="11"/>
        <v>朝向</v>
      </c>
      <c r="R28" s="1381" t="s">
        <v>1161</v>
      </c>
      <c r="S28" s="1382">
        <f>F28</f>
        <v>100</v>
      </c>
      <c r="T28" s="1381" t="s">
        <v>1161</v>
      </c>
      <c r="U28" s="1382">
        <f>H28</f>
        <v>100</v>
      </c>
      <c r="V28" s="1381" t="s">
        <v>1161</v>
      </c>
      <c r="W28" s="1382">
        <f>J28</f>
        <v>100</v>
      </c>
      <c r="X28" s="1383"/>
      <c r="Y28" s="3834"/>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829"/>
      <c r="Q29" s="754">
        <f t="shared" si="11"/>
        <v>111</v>
      </c>
      <c r="R29" s="1386" t="s">
        <v>1161</v>
      </c>
      <c r="S29" s="1387">
        <f t="shared" ref="S29:S47" si="12">F29</f>
        <v>100</v>
      </c>
      <c r="T29" s="1386" t="s">
        <v>1161</v>
      </c>
      <c r="U29" s="1387">
        <f t="shared" ref="U29:U47" si="13">H29</f>
        <v>100</v>
      </c>
      <c r="V29" s="1386" t="s">
        <v>1161</v>
      </c>
      <c r="W29" s="1387">
        <f t="shared" ref="W29:W47" si="14">J29</f>
        <v>100</v>
      </c>
      <c r="X29" s="1380"/>
      <c r="Y29" s="3834"/>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829"/>
      <c r="Q30" s="754">
        <f t="shared" si="11"/>
        <v>111</v>
      </c>
      <c r="R30" s="1386" t="s">
        <v>1161</v>
      </c>
      <c r="S30" s="1387">
        <f t="shared" si="12"/>
        <v>100</v>
      </c>
      <c r="T30" s="1386" t="s">
        <v>1161</v>
      </c>
      <c r="U30" s="1387">
        <f t="shared" si="13"/>
        <v>100</v>
      </c>
      <c r="V30" s="1386" t="s">
        <v>1161</v>
      </c>
      <c r="W30" s="1387">
        <f t="shared" si="14"/>
        <v>100</v>
      </c>
      <c r="X30" s="1380"/>
      <c r="Y30" s="3834"/>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829"/>
      <c r="Q31" s="754">
        <f t="shared" si="11"/>
        <v>111</v>
      </c>
      <c r="R31" s="1386" t="s">
        <v>1161</v>
      </c>
      <c r="S31" s="1387">
        <f t="shared" si="12"/>
        <v>100</v>
      </c>
      <c r="T31" s="1386" t="s">
        <v>1161</v>
      </c>
      <c r="U31" s="1387">
        <f t="shared" si="13"/>
        <v>100</v>
      </c>
      <c r="V31" s="1386" t="s">
        <v>1161</v>
      </c>
      <c r="W31" s="1387">
        <f t="shared" si="14"/>
        <v>100</v>
      </c>
      <c r="X31" s="1380"/>
      <c r="Y31" s="3834"/>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829"/>
      <c r="Q32" s="754">
        <f t="shared" si="11"/>
        <v>111</v>
      </c>
      <c r="R32" s="1386" t="s">
        <v>1161</v>
      </c>
      <c r="S32" s="1387">
        <f t="shared" si="12"/>
        <v>100</v>
      </c>
      <c r="T32" s="1386" t="s">
        <v>1161</v>
      </c>
      <c r="U32" s="1387">
        <f t="shared" si="13"/>
        <v>100</v>
      </c>
      <c r="V32" s="1386" t="s">
        <v>1161</v>
      </c>
      <c r="W32" s="1387">
        <f t="shared" si="14"/>
        <v>100</v>
      </c>
      <c r="X32" s="1380"/>
      <c r="Y32" s="3834"/>
      <c r="Z32" s="1370">
        <f t="shared" si="15"/>
        <v>111</v>
      </c>
      <c r="AA32" s="1397">
        <f t="shared" si="3"/>
        <v>1</v>
      </c>
      <c r="AB32" s="1397">
        <f t="shared" si="4"/>
        <v>1</v>
      </c>
      <c r="AC32" s="1741">
        <f t="shared" si="5"/>
        <v>1</v>
      </c>
    </row>
    <row r="33" spans="1:29" ht="15">
      <c r="A33" s="1225" t="s">
        <v>1187</v>
      </c>
      <c r="B33" s="1204" t="s">
        <v>1702</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830" t="s">
        <v>1189</v>
      </c>
      <c r="Q33" s="754" t="str">
        <f t="shared" si="11"/>
        <v>建筑类型</v>
      </c>
      <c r="R33" s="1386" t="s">
        <v>1161</v>
      </c>
      <c r="S33" s="1387">
        <f t="shared" si="12"/>
        <v>100</v>
      </c>
      <c r="T33" s="1386" t="s">
        <v>1161</v>
      </c>
      <c r="U33" s="1387">
        <f t="shared" si="13"/>
        <v>100</v>
      </c>
      <c r="V33" s="1386" t="s">
        <v>1161</v>
      </c>
      <c r="W33" s="1387">
        <f t="shared" si="14"/>
        <v>100</v>
      </c>
      <c r="X33" s="1380"/>
      <c r="Y33" s="3835" t="s">
        <v>1189</v>
      </c>
      <c r="Z33" s="1370" t="str">
        <f t="shared" si="15"/>
        <v>建筑类型</v>
      </c>
      <c r="AA33" s="1397">
        <f t="shared" si="3"/>
        <v>1</v>
      </c>
      <c r="AB33" s="1397">
        <f t="shared" si="4"/>
        <v>1</v>
      </c>
      <c r="AC33" s="1741">
        <f t="shared" si="5"/>
        <v>1</v>
      </c>
    </row>
    <row r="34" spans="1:29" s="1172" customFormat="1" ht="15">
      <c r="A34" s="1267"/>
      <c r="B34" s="1208" t="s">
        <v>1190</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831"/>
      <c r="Q34" s="1614" t="str">
        <f t="shared" si="11"/>
        <v>项目建筑规模</v>
      </c>
      <c r="R34" s="1388" t="s">
        <v>1161</v>
      </c>
      <c r="S34" s="1389" t="e">
        <f t="shared" si="12"/>
        <v>#N/A</v>
      </c>
      <c r="T34" s="1388" t="s">
        <v>1161</v>
      </c>
      <c r="U34" s="1389" t="e">
        <f t="shared" si="13"/>
        <v>#N/A</v>
      </c>
      <c r="V34" s="1388" t="s">
        <v>1161</v>
      </c>
      <c r="W34" s="1389" t="e">
        <f t="shared" si="14"/>
        <v>#N/A</v>
      </c>
      <c r="X34" s="1390"/>
      <c r="Y34" s="3835"/>
      <c r="Z34" s="1398" t="str">
        <f t="shared" si="15"/>
        <v>项目建筑规模</v>
      </c>
      <c r="AA34" s="1397" t="e">
        <f t="shared" si="3"/>
        <v>#N/A</v>
      </c>
      <c r="AB34" s="1397" t="e">
        <f t="shared" si="4"/>
        <v>#N/A</v>
      </c>
      <c r="AC34" s="1741" t="e">
        <f t="shared" si="5"/>
        <v>#N/A</v>
      </c>
    </row>
    <row r="35" spans="1:29" ht="15">
      <c r="A35" s="1262"/>
      <c r="B35" s="1208" t="s">
        <v>1191</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831"/>
      <c r="Q35" s="754" t="str">
        <f t="shared" si="11"/>
        <v>建筑结构</v>
      </c>
      <c r="R35" s="1386" t="s">
        <v>1161</v>
      </c>
      <c r="S35" s="1387">
        <f t="shared" si="12"/>
        <v>100</v>
      </c>
      <c r="T35" s="1386" t="s">
        <v>1161</v>
      </c>
      <c r="U35" s="1387">
        <f t="shared" si="13"/>
        <v>100</v>
      </c>
      <c r="V35" s="1386" t="s">
        <v>1161</v>
      </c>
      <c r="W35" s="1387">
        <f t="shared" si="14"/>
        <v>100</v>
      </c>
      <c r="X35" s="1380"/>
      <c r="Y35" s="3835"/>
      <c r="Z35" s="1370" t="str">
        <f t="shared" si="15"/>
        <v>建筑结构</v>
      </c>
      <c r="AA35" s="1397">
        <f t="shared" si="3"/>
        <v>1</v>
      </c>
      <c r="AB35" s="1397">
        <f t="shared" si="4"/>
        <v>1</v>
      </c>
      <c r="AC35" s="1741">
        <f t="shared" si="5"/>
        <v>1</v>
      </c>
    </row>
    <row r="36" spans="1:29" ht="15">
      <c r="A36" s="1262"/>
      <c r="B36" s="1208" t="s">
        <v>1192</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831"/>
      <c r="Q36" s="754" t="str">
        <f t="shared" si="11"/>
        <v>公共部分装修</v>
      </c>
      <c r="R36" s="1386" t="s">
        <v>1161</v>
      </c>
      <c r="S36" s="1387">
        <f t="shared" si="12"/>
        <v>100</v>
      </c>
      <c r="T36" s="1386" t="s">
        <v>1161</v>
      </c>
      <c r="U36" s="1387">
        <f t="shared" si="13"/>
        <v>100</v>
      </c>
      <c r="V36" s="1386" t="s">
        <v>1161</v>
      </c>
      <c r="W36" s="1387">
        <f t="shared" si="14"/>
        <v>100</v>
      </c>
      <c r="X36" s="1380"/>
      <c r="Y36" s="3835"/>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831"/>
      <c r="Q37" s="754" t="str">
        <f t="shared" si="11"/>
        <v>成新度</v>
      </c>
      <c r="R37" s="1386" t="s">
        <v>1161</v>
      </c>
      <c r="S37" s="1387" t="e">
        <f t="shared" si="12"/>
        <v>#N/A</v>
      </c>
      <c r="T37" s="1386" t="s">
        <v>1161</v>
      </c>
      <c r="U37" s="1387" t="e">
        <f t="shared" si="13"/>
        <v>#N/A</v>
      </c>
      <c r="V37" s="1386" t="s">
        <v>1161</v>
      </c>
      <c r="W37" s="1387" t="e">
        <f t="shared" si="14"/>
        <v>#N/A</v>
      </c>
      <c r="X37" s="1380"/>
      <c r="Y37" s="3835"/>
      <c r="Z37" s="1370" t="str">
        <f t="shared" si="15"/>
        <v>成新度</v>
      </c>
      <c r="AA37" s="1397" t="e">
        <f t="shared" si="3"/>
        <v>#N/A</v>
      </c>
      <c r="AB37" s="1397" t="e">
        <f t="shared" si="4"/>
        <v>#N/A</v>
      </c>
      <c r="AC37" s="1741" t="e">
        <f t="shared" si="5"/>
        <v>#N/A</v>
      </c>
    </row>
    <row r="38" spans="1:29" s="1170" customFormat="1" ht="15">
      <c r="A38" s="1264"/>
      <c r="B38" s="1208" t="s">
        <v>1731</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831"/>
      <c r="Q38" s="1385" t="str">
        <f t="shared" si="11"/>
        <v>写字楼等级</v>
      </c>
      <c r="R38" s="1381" t="s">
        <v>1161</v>
      </c>
      <c r="S38" s="1382">
        <f t="shared" si="12"/>
        <v>100</v>
      </c>
      <c r="T38" s="1381" t="s">
        <v>1161</v>
      </c>
      <c r="U38" s="1382">
        <f t="shared" si="13"/>
        <v>100</v>
      </c>
      <c r="V38" s="1381" t="s">
        <v>1161</v>
      </c>
      <c r="W38" s="1382">
        <f t="shared" si="14"/>
        <v>100</v>
      </c>
      <c r="X38" s="1383"/>
      <c r="Y38" s="3835"/>
      <c r="Z38" s="1396" t="str">
        <f t="shared" si="15"/>
        <v>写字楼等级</v>
      </c>
      <c r="AA38" s="1395">
        <f t="shared" si="3"/>
        <v>1</v>
      </c>
      <c r="AB38" s="1395">
        <f t="shared" si="4"/>
        <v>1</v>
      </c>
      <c r="AC38" s="1740">
        <f t="shared" si="5"/>
        <v>1</v>
      </c>
    </row>
    <row r="39" spans="1:29" ht="15">
      <c r="A39" s="1262"/>
      <c r="B39" s="1208" t="s">
        <v>1704</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831" t="s">
        <v>1189</v>
      </c>
      <c r="Q39" s="754" t="str">
        <f t="shared" si="11"/>
        <v>物业管理</v>
      </c>
      <c r="R39" s="1386" t="s">
        <v>1161</v>
      </c>
      <c r="S39" s="1387">
        <f t="shared" si="12"/>
        <v>100</v>
      </c>
      <c r="T39" s="1386" t="s">
        <v>1161</v>
      </c>
      <c r="U39" s="1387">
        <f t="shared" si="13"/>
        <v>100</v>
      </c>
      <c r="V39" s="1386" t="s">
        <v>1161</v>
      </c>
      <c r="W39" s="1387">
        <f t="shared" si="14"/>
        <v>100</v>
      </c>
      <c r="X39" s="1380"/>
      <c r="Y39" s="3835" t="s">
        <v>1189</v>
      </c>
      <c r="Z39" s="1370" t="str">
        <f t="shared" si="15"/>
        <v>物业管理</v>
      </c>
      <c r="AA39" s="1397">
        <f t="shared" si="3"/>
        <v>1</v>
      </c>
      <c r="AB39" s="1397">
        <f t="shared" si="4"/>
        <v>1</v>
      </c>
      <c r="AC39" s="1741">
        <f t="shared" si="5"/>
        <v>1</v>
      </c>
    </row>
    <row r="40" spans="1:29" ht="15">
      <c r="A40" s="1262"/>
      <c r="B40" s="1208" t="s">
        <v>1193</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831"/>
      <c r="Q40" s="754" t="str">
        <f t="shared" si="11"/>
        <v>市政基础设施</v>
      </c>
      <c r="R40" s="1386" t="s">
        <v>1161</v>
      </c>
      <c r="S40" s="1387">
        <f t="shared" si="12"/>
        <v>100</v>
      </c>
      <c r="T40" s="1386" t="s">
        <v>1161</v>
      </c>
      <c r="U40" s="1387">
        <f t="shared" si="13"/>
        <v>100</v>
      </c>
      <c r="V40" s="1386" t="s">
        <v>1161</v>
      </c>
      <c r="W40" s="1387">
        <f t="shared" si="14"/>
        <v>100</v>
      </c>
      <c r="X40" s="1380"/>
      <c r="Y40" s="3835"/>
      <c r="Z40" s="1370" t="str">
        <f t="shared" si="15"/>
        <v>市政基础设施</v>
      </c>
      <c r="AA40" s="1397">
        <f t="shared" si="3"/>
        <v>1</v>
      </c>
      <c r="AB40" s="1397">
        <f t="shared" si="4"/>
        <v>1</v>
      </c>
      <c r="AC40" s="1741">
        <f t="shared" si="5"/>
        <v>1</v>
      </c>
    </row>
    <row r="41" spans="1:29" ht="15">
      <c r="A41" s="1262"/>
      <c r="B41" s="1208" t="s">
        <v>1195</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831"/>
      <c r="Q41" s="754" t="str">
        <f t="shared" si="11"/>
        <v>层高</v>
      </c>
      <c r="R41" s="1386" t="s">
        <v>1161</v>
      </c>
      <c r="S41" s="1387">
        <f t="shared" si="12"/>
        <v>100</v>
      </c>
      <c r="T41" s="1386" t="s">
        <v>1161</v>
      </c>
      <c r="U41" s="1387">
        <f t="shared" si="13"/>
        <v>100</v>
      </c>
      <c r="V41" s="1386" t="s">
        <v>1161</v>
      </c>
      <c r="W41" s="1387">
        <f t="shared" si="14"/>
        <v>100</v>
      </c>
      <c r="X41" s="1380"/>
      <c r="Y41" s="3835"/>
      <c r="Z41" s="1370" t="str">
        <f t="shared" si="15"/>
        <v>层高</v>
      </c>
      <c r="AA41" s="1397">
        <f t="shared" si="3"/>
        <v>1</v>
      </c>
      <c r="AB41" s="1397">
        <f t="shared" si="4"/>
        <v>1</v>
      </c>
      <c r="AC41" s="1741">
        <f t="shared" si="5"/>
        <v>1</v>
      </c>
    </row>
    <row r="42" spans="1:29" s="1172" customFormat="1" ht="15">
      <c r="A42" s="1267"/>
      <c r="B42" s="1365" t="s">
        <v>1732</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831"/>
      <c r="Q42" s="1614" t="str">
        <f t="shared" si="11"/>
        <v>单套建筑面积</v>
      </c>
      <c r="R42" s="1388" t="s">
        <v>1161</v>
      </c>
      <c r="S42" s="1389">
        <f t="shared" si="12"/>
        <v>100</v>
      </c>
      <c r="T42" s="1388" t="s">
        <v>1161</v>
      </c>
      <c r="U42" s="1389">
        <f t="shared" si="13"/>
        <v>100</v>
      </c>
      <c r="V42" s="1388" t="s">
        <v>1161</v>
      </c>
      <c r="W42" s="1389">
        <f t="shared" si="14"/>
        <v>100</v>
      </c>
      <c r="X42" s="1390"/>
      <c r="Y42" s="3835"/>
      <c r="Z42" s="1398" t="str">
        <f t="shared" si="15"/>
        <v>单套建筑面积</v>
      </c>
      <c r="AA42" s="1397">
        <f t="shared" si="3"/>
        <v>1</v>
      </c>
      <c r="AB42" s="1397">
        <f t="shared" si="4"/>
        <v>1</v>
      </c>
      <c r="AC42" s="1741">
        <f t="shared" si="5"/>
        <v>1</v>
      </c>
    </row>
    <row r="43" spans="1:29" ht="15">
      <c r="A43" s="1262"/>
      <c r="B43" s="1208" t="s">
        <v>1198</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831"/>
      <c r="Q43" s="754" t="str">
        <f t="shared" si="11"/>
        <v>内部装修</v>
      </c>
      <c r="R43" s="1386" t="s">
        <v>1161</v>
      </c>
      <c r="S43" s="1387">
        <f t="shared" si="12"/>
        <v>100</v>
      </c>
      <c r="T43" s="1386" t="s">
        <v>1161</v>
      </c>
      <c r="U43" s="1387">
        <f t="shared" si="13"/>
        <v>100</v>
      </c>
      <c r="V43" s="1386" t="s">
        <v>1161</v>
      </c>
      <c r="W43" s="1387">
        <f t="shared" si="14"/>
        <v>100</v>
      </c>
      <c r="X43" s="1380"/>
      <c r="Y43" s="3835"/>
      <c r="Z43" s="1370" t="str">
        <f t="shared" si="15"/>
        <v>内部装修</v>
      </c>
      <c r="AA43" s="1397">
        <f t="shared" si="3"/>
        <v>1</v>
      </c>
      <c r="AB43" s="1397">
        <f t="shared" si="4"/>
        <v>1</v>
      </c>
      <c r="AC43" s="1741">
        <f t="shared" si="5"/>
        <v>1</v>
      </c>
    </row>
    <row r="44" spans="1:29" ht="28.8">
      <c r="A44" s="1262"/>
      <c r="B44" s="1208" t="s">
        <v>1199</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831"/>
      <c r="Q44" s="754" t="str">
        <f t="shared" si="11"/>
        <v>内部装修维护情况</v>
      </c>
      <c r="R44" s="1386" t="s">
        <v>1161</v>
      </c>
      <c r="S44" s="1387">
        <f t="shared" si="12"/>
        <v>100</v>
      </c>
      <c r="T44" s="1386" t="s">
        <v>1161</v>
      </c>
      <c r="U44" s="1387">
        <f t="shared" si="13"/>
        <v>100</v>
      </c>
      <c r="V44" s="1386" t="s">
        <v>1161</v>
      </c>
      <c r="W44" s="1387">
        <f t="shared" si="14"/>
        <v>100</v>
      </c>
      <c r="X44" s="1380"/>
      <c r="Y44" s="3835"/>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831"/>
      <c r="Q45" s="1385">
        <f t="shared" si="11"/>
        <v>111</v>
      </c>
      <c r="R45" s="1381" t="s">
        <v>1161</v>
      </c>
      <c r="S45" s="1382">
        <f t="shared" si="12"/>
        <v>100</v>
      </c>
      <c r="T45" s="1381" t="s">
        <v>1161</v>
      </c>
      <c r="U45" s="1382">
        <f t="shared" si="13"/>
        <v>100</v>
      </c>
      <c r="V45" s="1381" t="s">
        <v>1161</v>
      </c>
      <c r="W45" s="1382">
        <f t="shared" si="14"/>
        <v>100</v>
      </c>
      <c r="X45" s="1383"/>
      <c r="Y45" s="3835"/>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831"/>
      <c r="Q46" s="754">
        <f t="shared" si="11"/>
        <v>111</v>
      </c>
      <c r="R46" s="1386" t="s">
        <v>1161</v>
      </c>
      <c r="S46" s="1387">
        <f t="shared" si="12"/>
        <v>100</v>
      </c>
      <c r="T46" s="1386" t="s">
        <v>1161</v>
      </c>
      <c r="U46" s="1387">
        <f t="shared" si="13"/>
        <v>100</v>
      </c>
      <c r="V46" s="1386" t="s">
        <v>1161</v>
      </c>
      <c r="W46" s="1387">
        <f t="shared" si="14"/>
        <v>100</v>
      </c>
      <c r="X46" s="1380"/>
      <c r="Y46" s="3835"/>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832"/>
      <c r="Q47" s="754">
        <f t="shared" si="11"/>
        <v>111</v>
      </c>
      <c r="R47" s="1386" t="s">
        <v>1161</v>
      </c>
      <c r="S47" s="1387">
        <f t="shared" si="12"/>
        <v>100</v>
      </c>
      <c r="T47" s="1386" t="s">
        <v>1161</v>
      </c>
      <c r="U47" s="1387">
        <f t="shared" si="13"/>
        <v>100</v>
      </c>
      <c r="V47" s="1386" t="s">
        <v>1161</v>
      </c>
      <c r="W47" s="1387">
        <f t="shared" si="14"/>
        <v>100</v>
      </c>
      <c r="X47" s="1380"/>
      <c r="Y47" s="3836"/>
      <c r="Z47" s="1370">
        <f t="shared" si="15"/>
        <v>111</v>
      </c>
      <c r="AA47" s="1397">
        <f t="shared" si="3"/>
        <v>1</v>
      </c>
      <c r="AB47" s="1397">
        <f t="shared" si="4"/>
        <v>1</v>
      </c>
      <c r="AC47" s="1741">
        <f t="shared" si="5"/>
        <v>1</v>
      </c>
    </row>
    <row r="48" spans="1:29" ht="14.4">
      <c r="A48" s="1269" t="s">
        <v>1200</v>
      </c>
      <c r="B48" s="1589"/>
      <c r="C48" s="1590" t="s">
        <v>124</v>
      </c>
      <c r="D48" s="1591"/>
      <c r="E48" s="1592"/>
      <c r="F48" s="1593"/>
      <c r="G48" s="1594"/>
      <c r="H48" s="1595"/>
      <c r="I48" s="1592"/>
      <c r="J48" s="1276"/>
      <c r="K48" s="1361"/>
      <c r="L48" s="1362"/>
      <c r="M48" s="1338"/>
      <c r="N48" s="1338"/>
      <c r="O48" s="1338"/>
      <c r="P48" s="3827" t="str">
        <f>A48</f>
        <v>成交单价（元/平方米）</v>
      </c>
      <c r="Q48" s="3825"/>
      <c r="R48" s="3837">
        <f>E48</f>
        <v>0</v>
      </c>
      <c r="S48" s="3837"/>
      <c r="T48" s="3837">
        <f>G48</f>
        <v>0</v>
      </c>
      <c r="U48" s="3837"/>
      <c r="V48" s="3837">
        <f>I48</f>
        <v>0</v>
      </c>
      <c r="W48" s="3837"/>
      <c r="X48" s="1520"/>
      <c r="Y48" s="1399"/>
      <c r="Z48" s="1520"/>
      <c r="AA48" s="1520"/>
      <c r="AB48" s="1520"/>
      <c r="AC48" s="1230"/>
    </row>
    <row r="49" spans="1:29" ht="14.4">
      <c r="A49" s="1277" t="s">
        <v>1201</v>
      </c>
      <c r="B49" s="1596"/>
      <c r="C49" s="1597" t="e">
        <f>R50</f>
        <v>#DIV/0!</v>
      </c>
      <c r="D49" s="1280" t="s">
        <v>1202</v>
      </c>
      <c r="E49" s="1598" t="e">
        <f>R49</f>
        <v>#DIV/0!</v>
      </c>
      <c r="F49" s="1281"/>
      <c r="G49" s="1597" t="e">
        <f>T49</f>
        <v>#DIV/0!</v>
      </c>
      <c r="H49" s="1281"/>
      <c r="I49" s="1598" t="e">
        <f>V49</f>
        <v>#DIV/0!</v>
      </c>
      <c r="J49" s="1281"/>
      <c r="K49" s="1363">
        <f>F49+H49+J49</f>
        <v>0</v>
      </c>
      <c r="L49" s="1362"/>
      <c r="M49" s="1338"/>
      <c r="N49" s="1338"/>
      <c r="O49" s="1338"/>
      <c r="P49" s="3827" t="str">
        <f>A49</f>
        <v>比较价值（元/平方米）</v>
      </c>
      <c r="Q49" s="3825"/>
      <c r="R49" s="3837" t="e">
        <f>IF(F1="售价",ROUND(PRODUCT(R48,AA7:AA47),0),ROUND(PRODUCT(R48,AA7:AA47),1))</f>
        <v>#DIV/0!</v>
      </c>
      <c r="S49" s="3837"/>
      <c r="T49" s="3837" t="e">
        <f>IF(F1="售价",ROUND(PRODUCT(T48,AB7:AB47),0),ROUND(PRODUCT(T48,AB7:AB47),1))</f>
        <v>#DIV/0!</v>
      </c>
      <c r="U49" s="3837"/>
      <c r="V49" s="3837" t="e">
        <f>IF(F1="售价",ROUND(PRODUCT(V48,AC7:AC47),0),ROUND(PRODUCT(V48,AC7:AC47),1))</f>
        <v>#DIV/0!</v>
      </c>
      <c r="W49" s="3837"/>
      <c r="X49" s="1520"/>
      <c r="Y49" s="1520"/>
      <c r="Z49" s="1520"/>
      <c r="AA49" s="1520"/>
      <c r="AB49" s="1520"/>
      <c r="AC49" s="1230"/>
    </row>
    <row r="50" spans="1:29" ht="14.4">
      <c r="A50" s="1283" t="s">
        <v>1203</v>
      </c>
      <c r="B50" s="1284"/>
      <c r="C50" s="1599" t="e">
        <f>R50</f>
        <v>#DIV/0!</v>
      </c>
      <c r="D50" s="1599"/>
      <c r="E50" s="1599"/>
      <c r="F50" s="1599"/>
      <c r="G50" s="1599"/>
      <c r="H50" s="1599"/>
      <c r="I50" s="1599"/>
      <c r="J50" s="1285"/>
      <c r="K50" s="1364"/>
      <c r="L50" s="1362"/>
      <c r="M50" s="1338"/>
      <c r="N50" s="1338"/>
      <c r="O50" s="1338"/>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1204</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1205</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1206</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6">
      <c r="A58" s="1325" t="s">
        <v>1207</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4.4">
      <c r="A59" s="1601" t="s">
        <v>1159</v>
      </c>
      <c r="B59" s="1602"/>
      <c r="C59" s="1603" t="str">
        <f>YEAR(C7)&amp;"-"&amp;MONTH(C7)</f>
        <v>2020-12</v>
      </c>
      <c r="D59" s="1604">
        <f>EDATE(C59,-1)</f>
        <v>44136</v>
      </c>
      <c r="E59" s="1604">
        <f>EDATE(D59,-1)</f>
        <v>44105</v>
      </c>
      <c r="F59" s="1604">
        <f t="shared" ref="F59:O59" si="16">EDATE(E59,-1)</f>
        <v>44075</v>
      </c>
      <c r="G59" s="1604">
        <f t="shared" si="16"/>
        <v>44044</v>
      </c>
      <c r="H59" s="1604">
        <f t="shared" si="16"/>
        <v>44013</v>
      </c>
      <c r="I59" s="1604">
        <f t="shared" si="16"/>
        <v>43983</v>
      </c>
      <c r="J59" s="1604">
        <f t="shared" si="16"/>
        <v>43952</v>
      </c>
      <c r="K59" s="1604">
        <f t="shared" si="16"/>
        <v>43922</v>
      </c>
      <c r="L59" s="1604">
        <f t="shared" si="16"/>
        <v>43891</v>
      </c>
      <c r="M59" s="1604">
        <f t="shared" si="16"/>
        <v>43862</v>
      </c>
      <c r="N59" s="1604">
        <f t="shared" si="16"/>
        <v>43831</v>
      </c>
      <c r="O59" s="1604">
        <f t="shared" si="16"/>
        <v>43800</v>
      </c>
      <c r="P59" s="1669"/>
      <c r="Q59" s="1510"/>
      <c r="R59" s="1510"/>
      <c r="S59" s="1510"/>
      <c r="T59" s="1510"/>
      <c r="U59" s="1510"/>
      <c r="V59" s="1510"/>
      <c r="W59" s="1510"/>
      <c r="X59" s="1510"/>
      <c r="Y59" s="1510"/>
      <c r="Z59" s="1510"/>
      <c r="AA59" s="1510"/>
      <c r="AB59" s="1510"/>
      <c r="AC59" s="1510"/>
    </row>
    <row r="60" spans="1:29" s="1170" customFormat="1">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4.4">
      <c r="A61" s="1406" t="s">
        <v>1208</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4.4">
      <c r="A62" s="1410" t="s">
        <v>1162</v>
      </c>
      <c r="B62" s="1411"/>
      <c r="C62" s="1412" t="s">
        <v>1209</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ht="14.4">
      <c r="A64" s="1416" t="s">
        <v>1210</v>
      </c>
      <c r="B64" s="1417" t="s">
        <v>1165</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8.8">
      <c r="A66" s="1418"/>
      <c r="B66" s="1421" t="s">
        <v>1169</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4.4">
      <c r="A68" s="1418"/>
      <c r="B68" s="1425" t="s">
        <v>1170</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ht="14.4">
      <c r="A77" s="1416" t="s">
        <v>1171</v>
      </c>
      <c r="B77" s="1417" t="s">
        <v>1728</v>
      </c>
      <c r="C77" s="1438" t="s">
        <v>1212</v>
      </c>
      <c r="D77" s="1438" t="s">
        <v>1213</v>
      </c>
      <c r="E77" s="1438" t="s">
        <v>1214</v>
      </c>
      <c r="F77" s="1438" t="s">
        <v>1215</v>
      </c>
      <c r="G77" s="1438" t="s">
        <v>1216</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4.4">
      <c r="A79" s="1418"/>
      <c r="B79" s="1421" t="s">
        <v>1176</v>
      </c>
      <c r="C79" s="1440" t="s">
        <v>1212</v>
      </c>
      <c r="D79" s="1440" t="s">
        <v>1213</v>
      </c>
      <c r="E79" s="1440" t="s">
        <v>1214</v>
      </c>
      <c r="F79" s="1440" t="s">
        <v>1215</v>
      </c>
      <c r="G79" s="1440" t="s">
        <v>1216</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4.4">
      <c r="A81" s="1418"/>
      <c r="B81" s="1421" t="s">
        <v>1177</v>
      </c>
      <c r="C81" s="1440" t="s">
        <v>1212</v>
      </c>
      <c r="D81" s="1440" t="s">
        <v>1213</v>
      </c>
      <c r="E81" s="1440" t="s">
        <v>1214</v>
      </c>
      <c r="F81" s="1440" t="s">
        <v>1215</v>
      </c>
      <c r="G81" s="1440" t="s">
        <v>1216</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4.4">
      <c r="A83" s="1418"/>
      <c r="B83" s="1425" t="s">
        <v>1178</v>
      </c>
      <c r="C83" s="1445" t="s">
        <v>1217</v>
      </c>
      <c r="D83" s="1445" t="s">
        <v>1218</v>
      </c>
      <c r="E83" s="1445" t="s">
        <v>1219</v>
      </c>
      <c r="F83" s="1445" t="s">
        <v>1220</v>
      </c>
      <c r="G83" s="1445" t="s">
        <v>1221</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4.4">
      <c r="A85" s="1418"/>
      <c r="B85" s="1421" t="s">
        <v>1729</v>
      </c>
      <c r="C85" s="1440" t="s">
        <v>1212</v>
      </c>
      <c r="D85" s="1440" t="s">
        <v>1213</v>
      </c>
      <c r="E85" s="1440" t="s">
        <v>1214</v>
      </c>
      <c r="F85" s="1440" t="s">
        <v>1215</v>
      </c>
      <c r="G85" s="1440" t="s">
        <v>1216</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8.8">
      <c r="A87" s="1441"/>
      <c r="B87" s="1421" t="s">
        <v>1730</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ht="14.4">
      <c r="A101" s="1416" t="s">
        <v>1187</v>
      </c>
      <c r="B101" s="1417" t="s">
        <v>1702</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4.4">
      <c r="A103" s="1418"/>
      <c r="B103" s="1421" t="s">
        <v>1190</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ht="14.4">
      <c r="A106" s="1452"/>
      <c r="B106" s="1421" t="s">
        <v>1191</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ht="14.4">
      <c r="A108" s="1452"/>
      <c r="B108" s="1421" t="s">
        <v>1192</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ht="14.4">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ht="14.4">
      <c r="A113" s="1449"/>
      <c r="B113" s="1421" t="s">
        <v>1731</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ht="14.4">
      <c r="A115" s="1452"/>
      <c r="B115" s="1421" t="s">
        <v>1704</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ht="14.4">
      <c r="A117" s="1452"/>
      <c r="B117" s="1421" t="s">
        <v>1193</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ht="14.4">
      <c r="A119" s="1452"/>
      <c r="B119" s="1616" t="s">
        <v>1733</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ht="14.4">
      <c r="A121" s="1449"/>
      <c r="B121" s="1421" t="s">
        <v>1196</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ht="14.4">
      <c r="A123" s="1452"/>
      <c r="B123" s="1421" t="s">
        <v>1198</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ht="28.8">
      <c r="A125" s="1452"/>
      <c r="B125" s="1421" t="s">
        <v>1199</v>
      </c>
      <c r="C125" s="1440" t="s">
        <v>1212</v>
      </c>
      <c r="D125" s="1440" t="s">
        <v>1213</v>
      </c>
      <c r="E125" s="1440" t="s">
        <v>1214</v>
      </c>
      <c r="F125" s="1440" t="s">
        <v>1215</v>
      </c>
      <c r="G125" s="1440" t="s">
        <v>1216</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30" customWidth="1"/>
    <col min="2" max="16384" width="9" style="1030"/>
  </cols>
  <sheetData>
    <row r="1" spans="1:1" ht="22.8">
      <c r="A1" s="3552" t="s">
        <v>82</v>
      </c>
    </row>
    <row r="2" spans="1:1">
      <c r="A2" s="3553"/>
    </row>
    <row r="3" spans="1:1" ht="17.399999999999999">
      <c r="A3" s="3554" t="str">
        <f>项目基本情况!B5&amp;"："</f>
        <v>：</v>
      </c>
    </row>
    <row r="4" spans="1:1" ht="17.399999999999999">
      <c r="A4" s="3555" t="str">
        <f>"受贵公司委托，我公司对"&amp;项目基本情况!S1&amp;"进行了预评估。"</f>
        <v>受贵公司委托，我公司对北京市房地产抵押价值进行了预评估。</v>
      </c>
    </row>
    <row r="5" spans="1:1" ht="17.399999999999999">
      <c r="A5" s="3556" t="s">
        <v>83</v>
      </c>
    </row>
    <row r="6" spans="1:1" ht="17.399999999999999">
      <c r="A6" s="3557" t="s">
        <v>84</v>
      </c>
    </row>
    <row r="7" spans="1:1" ht="52.2">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4.6">
      <c r="A8" s="3558" t="s">
        <v>85</v>
      </c>
    </row>
    <row r="9" spans="1:1" ht="17.399999999999999">
      <c r="A9" s="3557" t="s">
        <v>86</v>
      </c>
    </row>
    <row r="10" spans="1:1" ht="52.2">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2">
      <c r="A11" s="3558" t="s">
        <v>87</v>
      </c>
    </row>
    <row r="12" spans="1:1" ht="17.399999999999999">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60" t="s">
        <v>89</v>
      </c>
    </row>
    <row r="15" spans="1:1" ht="17.399999999999999">
      <c r="A15" s="3561" t="str">
        <f>TEXT(项目基本情况!D3,"yyyy年m月d日;;")&amp;IF(项目基本情况!D3=项目基本情况!B3,"（评估专业人员实地查勘之日）","")</f>
        <v>2020年12月31日</v>
      </c>
    </row>
    <row r="16" spans="1:1" ht="17.399999999999999">
      <c r="A16" s="3560" t="s">
        <v>90</v>
      </c>
    </row>
    <row r="17" spans="1:1" ht="69.599999999999994">
      <c r="A17" s="3555" t="s">
        <v>91</v>
      </c>
    </row>
    <row r="18" spans="1:1" ht="69.59999999999999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60" t="s">
        <v>92</v>
      </c>
    </row>
    <row r="24" spans="1:1" ht="17.399999999999999">
      <c r="A24" s="3527" t="str">
        <f>"本次评估采用的主估价方法为"&amp;结果表!K4&amp;"和"&amp;结果表!L4&amp;"。"</f>
        <v>本次评估采用的主估价方法为比较法和收益法。</v>
      </c>
    </row>
    <row r="25" spans="1:1" ht="17.399999999999999">
      <c r="A25" s="3527"/>
    </row>
    <row r="26" spans="1:1" ht="17.399999999999999">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685" t="s">
        <v>1734</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999</v>
      </c>
      <c r="B3" s="1187">
        <f>IF(C2="——",C43,ROUND(B2*10000/D3,0))</f>
        <v>0</v>
      </c>
      <c r="C3" s="1562" t="s">
        <v>1148</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4.4">
      <c r="A4" s="1189" t="s">
        <v>1149</v>
      </c>
      <c r="B4" s="1190"/>
      <c r="C4" s="3810" t="s">
        <v>1150</v>
      </c>
      <c r="D4" s="3811"/>
      <c r="E4" s="3812" t="s">
        <v>1151</v>
      </c>
      <c r="F4" s="3813"/>
      <c r="G4" s="3810" t="s">
        <v>1152</v>
      </c>
      <c r="H4" s="3811"/>
      <c r="I4" s="3810" t="s">
        <v>1153</v>
      </c>
      <c r="J4" s="3811"/>
      <c r="K4" s="1336" t="s">
        <v>1154</v>
      </c>
      <c r="L4" s="1691"/>
      <c r="M4" s="1692"/>
      <c r="N4" s="1692"/>
      <c r="O4" s="1692"/>
      <c r="P4" s="3844" t="s">
        <v>1155</v>
      </c>
      <c r="Q4" s="3845"/>
      <c r="R4" s="3850" t="s">
        <v>1151</v>
      </c>
      <c r="S4" s="3851"/>
      <c r="T4" s="3850" t="s">
        <v>1152</v>
      </c>
      <c r="U4" s="3851"/>
      <c r="V4" s="3826" t="s">
        <v>1153</v>
      </c>
      <c r="W4" s="3826"/>
      <c r="X4" s="1380"/>
      <c r="Y4" s="3850" t="s">
        <v>1155</v>
      </c>
      <c r="Z4" s="3851"/>
      <c r="AA4" s="3841" t="s">
        <v>1151</v>
      </c>
      <c r="AB4" s="3842" t="s">
        <v>1152</v>
      </c>
      <c r="AC4" s="3841" t="s">
        <v>1153</v>
      </c>
    </row>
    <row r="5" spans="1:29">
      <c r="A5" s="1191"/>
      <c r="B5" s="1192"/>
      <c r="C5" s="3814" t="s">
        <v>1156</v>
      </c>
      <c r="D5" s="3815"/>
      <c r="E5" s="3816" t="s">
        <v>1697</v>
      </c>
      <c r="F5" s="3817"/>
      <c r="G5" s="3814" t="s">
        <v>1698</v>
      </c>
      <c r="H5" s="3815"/>
      <c r="I5" s="3814" t="s">
        <v>1699</v>
      </c>
      <c r="J5" s="3815"/>
      <c r="K5" s="1336"/>
      <c r="L5" s="1691"/>
      <c r="M5" s="1692"/>
      <c r="N5" s="1692"/>
      <c r="O5" s="1692"/>
      <c r="P5" s="3846"/>
      <c r="Q5" s="3847"/>
      <c r="R5" s="3852"/>
      <c r="S5" s="3853"/>
      <c r="T5" s="3852"/>
      <c r="U5" s="3853"/>
      <c r="V5" s="3826"/>
      <c r="W5" s="3826"/>
      <c r="X5" s="1380"/>
      <c r="Y5" s="3852"/>
      <c r="Z5" s="3853"/>
      <c r="AA5" s="3842"/>
      <c r="AB5" s="3842"/>
      <c r="AC5" s="3842"/>
    </row>
    <row r="6" spans="1:29" ht="14.4">
      <c r="A6" s="1193"/>
      <c r="B6" s="1194"/>
      <c r="C6" s="3818" t="s">
        <v>1157</v>
      </c>
      <c r="D6" s="3819"/>
      <c r="E6" s="3820" t="s">
        <v>1157</v>
      </c>
      <c r="F6" s="3821"/>
      <c r="G6" s="3818" t="s">
        <v>1157</v>
      </c>
      <c r="H6" s="3819"/>
      <c r="I6" s="3818" t="s">
        <v>1157</v>
      </c>
      <c r="J6" s="3819"/>
      <c r="K6" s="1336" t="s">
        <v>1158</v>
      </c>
      <c r="L6" s="1691"/>
      <c r="M6" s="1692"/>
      <c r="N6" s="1692"/>
      <c r="O6" s="1692"/>
      <c r="P6" s="3848"/>
      <c r="Q6" s="3849"/>
      <c r="R6" s="3852"/>
      <c r="S6" s="3853"/>
      <c r="T6" s="3854"/>
      <c r="U6" s="3855"/>
      <c r="V6" s="3826"/>
      <c r="W6" s="3826"/>
      <c r="X6" s="1380"/>
      <c r="Y6" s="3854"/>
      <c r="Z6" s="3855"/>
      <c r="AA6" s="3843"/>
      <c r="AB6" s="3843"/>
      <c r="AC6" s="3843"/>
    </row>
    <row r="7" spans="1:29" s="1170" customFormat="1" ht="14.4">
      <c r="A7" s="1195" t="s">
        <v>1159</v>
      </c>
      <c r="B7" s="1196"/>
      <c r="C7" s="1197">
        <f>'数据-取费表'!B2</f>
        <v>44196</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82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395" t="e">
        <f>D7/J7</f>
        <v>#DIV/0!</v>
      </c>
    </row>
    <row r="8" spans="1:29" s="1170" customFormat="1" ht="14.4">
      <c r="A8" s="1195" t="s">
        <v>1162</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40" si="3">D8/F8</f>
        <v>1</v>
      </c>
      <c r="AB8" s="1395">
        <f t="shared" ref="AB8:AB40" si="4">D8/H8</f>
        <v>1</v>
      </c>
      <c r="AC8" s="1395">
        <f t="shared" ref="AC8:AC40" si="5">D8/J8</f>
        <v>1</v>
      </c>
    </row>
    <row r="9" spans="1:29" s="1170" customFormat="1" ht="14.4">
      <c r="A9" s="1203" t="s">
        <v>1164</v>
      </c>
      <c r="B9" s="1204" t="s">
        <v>1165</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825" t="s">
        <v>1167</v>
      </c>
      <c r="Q9" s="1385" t="str">
        <f t="shared" ref="Q9:Q15" si="6">B9</f>
        <v>用途</v>
      </c>
      <c r="R9" s="1381" t="s">
        <v>1161</v>
      </c>
      <c r="S9" s="1382">
        <f t="shared" si="0"/>
        <v>100</v>
      </c>
      <c r="T9" s="1381" t="s">
        <v>1161</v>
      </c>
      <c r="U9" s="1382">
        <f t="shared" si="1"/>
        <v>100</v>
      </c>
      <c r="V9" s="1381" t="s">
        <v>1161</v>
      </c>
      <c r="W9" s="1382">
        <f t="shared" si="2"/>
        <v>100</v>
      </c>
      <c r="X9" s="1383"/>
      <c r="Y9" s="3801" t="s">
        <v>1168</v>
      </c>
      <c r="Z9" s="1396" t="str">
        <f t="shared" ref="Z9:Z15" si="7">Q9</f>
        <v>用途</v>
      </c>
      <c r="AA9" s="1395">
        <f t="shared" si="3"/>
        <v>1</v>
      </c>
      <c r="AB9" s="1395">
        <f t="shared" si="4"/>
        <v>1</v>
      </c>
      <c r="AC9" s="1395">
        <f t="shared" si="5"/>
        <v>1</v>
      </c>
    </row>
    <row r="10" spans="1:29" s="1171" customFormat="1" ht="28.8">
      <c r="A10" s="1207"/>
      <c r="B10" s="1208" t="s">
        <v>1169</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825"/>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1170</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825"/>
      <c r="Q11" s="1385" t="str">
        <f t="shared" si="6"/>
        <v>容积率</v>
      </c>
      <c r="R11" s="1381" t="s">
        <v>1161</v>
      </c>
      <c r="S11" s="1382">
        <f t="shared" si="0"/>
        <v>100</v>
      </c>
      <c r="T11" s="1381" t="s">
        <v>1161</v>
      </c>
      <c r="U11" s="1382">
        <f t="shared" si="1"/>
        <v>100</v>
      </c>
      <c r="V11" s="1381" t="s">
        <v>1161</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825"/>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825"/>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825"/>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29" ht="69">
      <c r="A15" s="1225" t="s">
        <v>1171</v>
      </c>
      <c r="B15" s="1518" t="s">
        <v>1735</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833" t="s">
        <v>1173</v>
      </c>
      <c r="Q15" s="754" t="str">
        <f t="shared" si="6"/>
        <v>产业集聚程度</v>
      </c>
      <c r="R15" s="1386" t="s">
        <v>1161</v>
      </c>
      <c r="S15" s="1387">
        <f t="shared" si="0"/>
        <v>100</v>
      </c>
      <c r="T15" s="1386" t="s">
        <v>1161</v>
      </c>
      <c r="U15" s="1387">
        <f t="shared" si="1"/>
        <v>100</v>
      </c>
      <c r="V15" s="1386" t="s">
        <v>1161</v>
      </c>
      <c r="W15" s="1387">
        <f t="shared" si="2"/>
        <v>100</v>
      </c>
      <c r="X15" s="1380"/>
      <c r="Y15" s="3833" t="s">
        <v>1173</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834"/>
      <c r="Q16" s="754"/>
      <c r="R16" s="1386"/>
      <c r="S16" s="1387"/>
      <c r="T16" s="1386"/>
      <c r="U16" s="1387"/>
      <c r="V16" s="1386"/>
      <c r="W16" s="1387"/>
      <c r="X16" s="1380"/>
      <c r="Y16" s="3834"/>
      <c r="Z16" s="1370"/>
      <c r="AA16" s="1397">
        <v>1</v>
      </c>
      <c r="AB16" s="1397">
        <v>1</v>
      </c>
      <c r="AC16" s="1397">
        <v>1</v>
      </c>
    </row>
    <row r="17" spans="1:29" ht="96.6">
      <c r="A17" s="1211"/>
      <c r="B17" s="1521" t="s">
        <v>1176</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834"/>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834"/>
      <c r="Q18" s="754"/>
      <c r="R18" s="1386"/>
      <c r="S18" s="1387"/>
      <c r="T18" s="1386"/>
      <c r="U18" s="1387"/>
      <c r="V18" s="1386"/>
      <c r="W18" s="1387"/>
      <c r="X18" s="1380"/>
      <c r="Y18" s="3834"/>
      <c r="Z18" s="1370"/>
      <c r="AA18" s="1397">
        <v>1</v>
      </c>
      <c r="AB18" s="1397">
        <v>1</v>
      </c>
      <c r="AC18" s="1397">
        <v>1</v>
      </c>
    </row>
    <row r="19" spans="1:29" ht="41.4">
      <c r="A19" s="1211"/>
      <c r="B19" s="1521" t="s">
        <v>1177</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834"/>
      <c r="Q19" s="754" t="str">
        <f>B19</f>
        <v>公共配套设施</v>
      </c>
      <c r="R19" s="1386" t="s">
        <v>1161</v>
      </c>
      <c r="S19" s="1387">
        <f>F19</f>
        <v>100</v>
      </c>
      <c r="T19" s="1386" t="s">
        <v>1161</v>
      </c>
      <c r="U19" s="1387">
        <f>H19</f>
        <v>100</v>
      </c>
      <c r="V19" s="1386" t="s">
        <v>1161</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834"/>
      <c r="Q20" s="754"/>
      <c r="R20" s="1386"/>
      <c r="S20" s="1387"/>
      <c r="T20" s="1386"/>
      <c r="U20" s="1387"/>
      <c r="V20" s="1386"/>
      <c r="W20" s="1387"/>
      <c r="X20" s="1380"/>
      <c r="Y20" s="3834"/>
      <c r="Z20" s="1370"/>
      <c r="AA20" s="1397">
        <v>1</v>
      </c>
      <c r="AB20" s="1397">
        <v>1</v>
      </c>
      <c r="AC20" s="1397">
        <v>1</v>
      </c>
    </row>
    <row r="21" spans="1:29" ht="41.4">
      <c r="A21" s="1211"/>
      <c r="B21" s="1525" t="s">
        <v>1178</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834"/>
      <c r="Q21" s="754" t="str">
        <f>B21</f>
        <v>基础设施水平</v>
      </c>
      <c r="R21" s="1386" t="s">
        <v>1161</v>
      </c>
      <c r="S21" s="1387">
        <f>F21</f>
        <v>100</v>
      </c>
      <c r="T21" s="1386" t="s">
        <v>1161</v>
      </c>
      <c r="U21" s="1387">
        <f>H21</f>
        <v>100</v>
      </c>
      <c r="V21" s="1386" t="s">
        <v>1161</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834"/>
      <c r="Q22" s="754"/>
      <c r="R22" s="1386"/>
      <c r="S22" s="1387"/>
      <c r="T22" s="1386"/>
      <c r="U22" s="1387"/>
      <c r="V22" s="1386"/>
      <c r="W22" s="1387"/>
      <c r="X22" s="1380"/>
      <c r="Y22" s="3834"/>
      <c r="Z22" s="1370"/>
      <c r="AA22" s="1397">
        <v>1</v>
      </c>
      <c r="AB22" s="1397">
        <v>1</v>
      </c>
      <c r="AC22" s="1397">
        <v>1</v>
      </c>
    </row>
    <row r="23" spans="1:29" ht="82.8">
      <c r="A23" s="1211"/>
      <c r="B23" s="1521" t="s">
        <v>1729</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834"/>
      <c r="Q23" s="754" t="str">
        <f>B23</f>
        <v>环境质量</v>
      </c>
      <c r="R23" s="1386" t="s">
        <v>1161</v>
      </c>
      <c r="S23" s="1387">
        <f>F23</f>
        <v>100</v>
      </c>
      <c r="T23" s="1386" t="s">
        <v>1161</v>
      </c>
      <c r="U23" s="1387">
        <f>H23</f>
        <v>100</v>
      </c>
      <c r="V23" s="1386" t="s">
        <v>1161</v>
      </c>
      <c r="W23" s="1387">
        <f>J23</f>
        <v>100</v>
      </c>
      <c r="X23" s="1380"/>
      <c r="Y23" s="3834"/>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834"/>
      <c r="Q24" s="754"/>
      <c r="R24" s="1386"/>
      <c r="S24" s="1387"/>
      <c r="T24" s="1386"/>
      <c r="U24" s="1387"/>
      <c r="V24" s="1386"/>
      <c r="W24" s="1387"/>
      <c r="X24" s="1380"/>
      <c r="Y24" s="3834"/>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834"/>
      <c r="Q25" s="754">
        <f>B25</f>
        <v>111</v>
      </c>
      <c r="R25" s="1386" t="s">
        <v>1161</v>
      </c>
      <c r="S25" s="1387">
        <f>F25</f>
        <v>100</v>
      </c>
      <c r="T25" s="1386" t="s">
        <v>1161</v>
      </c>
      <c r="U25" s="1387">
        <f>H25</f>
        <v>100</v>
      </c>
      <c r="V25" s="1386" t="s">
        <v>1161</v>
      </c>
      <c r="W25" s="1387">
        <f>J25</f>
        <v>100</v>
      </c>
      <c r="X25" s="1380"/>
      <c r="Y25" s="3834"/>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834"/>
      <c r="Q26" s="754">
        <f t="shared" ref="Q26:Q40" si="11">B26</f>
        <v>111</v>
      </c>
      <c r="R26" s="1386" t="s">
        <v>1161</v>
      </c>
      <c r="S26" s="1387">
        <f>F26</f>
        <v>100</v>
      </c>
      <c r="T26" s="1386" t="s">
        <v>1161</v>
      </c>
      <c r="U26" s="1387">
        <f>H26</f>
        <v>100</v>
      </c>
      <c r="V26" s="1386" t="s">
        <v>1161</v>
      </c>
      <c r="W26" s="1387">
        <f>J26</f>
        <v>100</v>
      </c>
      <c r="X26" s="1380"/>
      <c r="Y26" s="3834"/>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834"/>
      <c r="Q27" s="1385">
        <f t="shared" si="11"/>
        <v>111</v>
      </c>
      <c r="R27" s="1381" t="s">
        <v>1161</v>
      </c>
      <c r="S27" s="1382">
        <f>F27</f>
        <v>100</v>
      </c>
      <c r="T27" s="1381" t="s">
        <v>1161</v>
      </c>
      <c r="U27" s="1382">
        <f>H27</f>
        <v>100</v>
      </c>
      <c r="V27" s="1381" t="s">
        <v>1161</v>
      </c>
      <c r="W27" s="1382">
        <f>J27</f>
        <v>100</v>
      </c>
      <c r="X27" s="1383"/>
      <c r="Y27" s="3834"/>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834"/>
      <c r="Q28" s="754">
        <f t="shared" si="11"/>
        <v>111</v>
      </c>
      <c r="R28" s="1386" t="s">
        <v>1161</v>
      </c>
      <c r="S28" s="1387">
        <f t="shared" ref="S28:S40" si="12">F28</f>
        <v>100</v>
      </c>
      <c r="T28" s="1386" t="s">
        <v>1161</v>
      </c>
      <c r="U28" s="1387">
        <f t="shared" ref="U28:U40" si="13">H28</f>
        <v>100</v>
      </c>
      <c r="V28" s="1386" t="s">
        <v>1161</v>
      </c>
      <c r="W28" s="1387">
        <f t="shared" ref="W28:W40" si="14">J28</f>
        <v>100</v>
      </c>
      <c r="X28" s="1380"/>
      <c r="Y28" s="3834"/>
      <c r="Z28" s="1370">
        <f t="shared" ref="Z28:Z40" si="15">Q28</f>
        <v>111</v>
      </c>
      <c r="AA28" s="1397">
        <f t="shared" si="3"/>
        <v>1</v>
      </c>
      <c r="AB28" s="1397">
        <f t="shared" si="4"/>
        <v>1</v>
      </c>
      <c r="AC28" s="1397">
        <f t="shared" si="5"/>
        <v>1</v>
      </c>
    </row>
    <row r="29" spans="1:29" ht="30">
      <c r="A29" s="1579" t="s">
        <v>1187</v>
      </c>
      <c r="B29" s="1204" t="s">
        <v>1702</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97" t="s">
        <v>1189</v>
      </c>
      <c r="Q29" s="754" t="str">
        <f t="shared" si="11"/>
        <v>建筑类型</v>
      </c>
      <c r="R29" s="1386" t="s">
        <v>1161</v>
      </c>
      <c r="S29" s="1387">
        <f t="shared" si="12"/>
        <v>100</v>
      </c>
      <c r="T29" s="1386" t="s">
        <v>1161</v>
      </c>
      <c r="U29" s="1387">
        <f t="shared" si="13"/>
        <v>100</v>
      </c>
      <c r="V29" s="1386" t="s">
        <v>1161</v>
      </c>
      <c r="W29" s="1387">
        <f t="shared" si="14"/>
        <v>100</v>
      </c>
      <c r="X29" s="1380"/>
      <c r="Y29" s="3835" t="s">
        <v>1189</v>
      </c>
      <c r="Z29" s="1370" t="str">
        <f t="shared" si="15"/>
        <v>建筑类型</v>
      </c>
      <c r="AA29" s="1397">
        <f t="shared" si="3"/>
        <v>1</v>
      </c>
      <c r="AB29" s="1397">
        <f t="shared" si="4"/>
        <v>1</v>
      </c>
      <c r="AC29" s="1397">
        <f t="shared" si="5"/>
        <v>1</v>
      </c>
    </row>
    <row r="30" spans="1:29" s="1172" customFormat="1" ht="15">
      <c r="A30" s="1267"/>
      <c r="B30" s="1208" t="s">
        <v>1190</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835"/>
      <c r="Q30" s="1614" t="str">
        <f t="shared" si="11"/>
        <v>项目建筑规模</v>
      </c>
      <c r="R30" s="1388" t="s">
        <v>1161</v>
      </c>
      <c r="S30" s="1389" t="e">
        <f t="shared" si="12"/>
        <v>#N/A</v>
      </c>
      <c r="T30" s="1388" t="s">
        <v>1161</v>
      </c>
      <c r="U30" s="1389" t="e">
        <f t="shared" si="13"/>
        <v>#N/A</v>
      </c>
      <c r="V30" s="1388" t="s">
        <v>1161</v>
      </c>
      <c r="W30" s="1389" t="e">
        <f t="shared" si="14"/>
        <v>#N/A</v>
      </c>
      <c r="X30" s="1390"/>
      <c r="Y30" s="3835"/>
      <c r="Z30" s="1398" t="str">
        <f t="shared" si="15"/>
        <v>项目建筑规模</v>
      </c>
      <c r="AA30" s="1397" t="e">
        <f t="shared" si="3"/>
        <v>#N/A</v>
      </c>
      <c r="AB30" s="1397" t="e">
        <f t="shared" si="4"/>
        <v>#N/A</v>
      </c>
      <c r="AC30" s="1397" t="e">
        <f t="shared" si="5"/>
        <v>#N/A</v>
      </c>
    </row>
    <row r="31" spans="1:29" ht="15">
      <c r="A31" s="1262"/>
      <c r="B31" s="1208" t="s">
        <v>1191</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835"/>
      <c r="Q31" s="754" t="str">
        <f t="shared" si="11"/>
        <v>建筑结构</v>
      </c>
      <c r="R31" s="1386" t="s">
        <v>1161</v>
      </c>
      <c r="S31" s="1387">
        <f t="shared" si="12"/>
        <v>100</v>
      </c>
      <c r="T31" s="1386" t="s">
        <v>1161</v>
      </c>
      <c r="U31" s="1387">
        <f t="shared" si="13"/>
        <v>100</v>
      </c>
      <c r="V31" s="1386" t="s">
        <v>1161</v>
      </c>
      <c r="W31" s="1387">
        <f t="shared" si="14"/>
        <v>100</v>
      </c>
      <c r="X31" s="1380"/>
      <c r="Y31" s="3835"/>
      <c r="Z31" s="1370" t="str">
        <f t="shared" si="15"/>
        <v>建筑结构</v>
      </c>
      <c r="AA31" s="1397">
        <f t="shared" si="3"/>
        <v>1</v>
      </c>
      <c r="AB31" s="1397">
        <f t="shared" si="4"/>
        <v>1</v>
      </c>
      <c r="AC31" s="1397">
        <f t="shared" si="5"/>
        <v>1</v>
      </c>
    </row>
    <row r="32" spans="1:29" ht="15">
      <c r="A32" s="1262"/>
      <c r="B32" s="1208" t="s">
        <v>1192</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835"/>
      <c r="Q32" s="754" t="str">
        <f t="shared" si="11"/>
        <v>公共部分装修</v>
      </c>
      <c r="R32" s="1386" t="s">
        <v>1161</v>
      </c>
      <c r="S32" s="1387">
        <f t="shared" si="12"/>
        <v>100</v>
      </c>
      <c r="T32" s="1386" t="s">
        <v>1161</v>
      </c>
      <c r="U32" s="1387">
        <f t="shared" si="13"/>
        <v>100</v>
      </c>
      <c r="V32" s="1386" t="s">
        <v>1161</v>
      </c>
      <c r="W32" s="1387">
        <f t="shared" si="14"/>
        <v>100</v>
      </c>
      <c r="X32" s="1380"/>
      <c r="Y32" s="3835"/>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835"/>
      <c r="Q33" s="754" t="str">
        <f t="shared" si="11"/>
        <v>成新度</v>
      </c>
      <c r="R33" s="1386" t="s">
        <v>1161</v>
      </c>
      <c r="S33" s="1387" t="e">
        <f t="shared" si="12"/>
        <v>#N/A</v>
      </c>
      <c r="T33" s="1386" t="s">
        <v>1161</v>
      </c>
      <c r="U33" s="1387" t="e">
        <f t="shared" si="13"/>
        <v>#N/A</v>
      </c>
      <c r="V33" s="1386" t="s">
        <v>1161</v>
      </c>
      <c r="W33" s="1387" t="e">
        <f t="shared" si="14"/>
        <v>#N/A</v>
      </c>
      <c r="X33" s="1380"/>
      <c r="Y33" s="3835"/>
      <c r="Z33" s="1370" t="str">
        <f t="shared" si="15"/>
        <v>成新度</v>
      </c>
      <c r="AA33" s="1397" t="e">
        <f t="shared" si="3"/>
        <v>#N/A</v>
      </c>
      <c r="AB33" s="1397" t="e">
        <f t="shared" si="4"/>
        <v>#N/A</v>
      </c>
      <c r="AC33" s="1397" t="e">
        <f t="shared" si="5"/>
        <v>#N/A</v>
      </c>
    </row>
    <row r="34" spans="1:29" s="1170" customFormat="1" ht="15">
      <c r="A34" s="1264"/>
      <c r="B34" s="1208" t="s">
        <v>1704</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835"/>
      <c r="Q34" s="1385" t="str">
        <f t="shared" si="11"/>
        <v>物业管理</v>
      </c>
      <c r="R34" s="1381" t="s">
        <v>1161</v>
      </c>
      <c r="S34" s="1382">
        <f t="shared" si="12"/>
        <v>100</v>
      </c>
      <c r="T34" s="1381" t="s">
        <v>1161</v>
      </c>
      <c r="U34" s="1382">
        <f t="shared" si="13"/>
        <v>100</v>
      </c>
      <c r="V34" s="1381" t="s">
        <v>1161</v>
      </c>
      <c r="W34" s="1382">
        <f t="shared" si="14"/>
        <v>100</v>
      </c>
      <c r="X34" s="1383"/>
      <c r="Y34" s="3835"/>
      <c r="Z34" s="1396" t="str">
        <f t="shared" si="15"/>
        <v>物业管理</v>
      </c>
      <c r="AA34" s="1395">
        <f t="shared" si="3"/>
        <v>1</v>
      </c>
      <c r="AB34" s="1395">
        <f t="shared" si="4"/>
        <v>1</v>
      </c>
      <c r="AC34" s="1395">
        <f t="shared" si="5"/>
        <v>1</v>
      </c>
    </row>
    <row r="35" spans="1:29" ht="15">
      <c r="A35" s="1262"/>
      <c r="B35" s="1208" t="s">
        <v>1193</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835" t="s">
        <v>1189</v>
      </c>
      <c r="Q35" s="754" t="str">
        <f t="shared" si="11"/>
        <v>市政基础设施</v>
      </c>
      <c r="R35" s="1386" t="s">
        <v>1161</v>
      </c>
      <c r="S35" s="1387">
        <f t="shared" si="12"/>
        <v>100</v>
      </c>
      <c r="T35" s="1386" t="s">
        <v>1161</v>
      </c>
      <c r="U35" s="1387">
        <f t="shared" si="13"/>
        <v>100</v>
      </c>
      <c r="V35" s="1386" t="s">
        <v>1161</v>
      </c>
      <c r="W35" s="1387">
        <f t="shared" si="14"/>
        <v>100</v>
      </c>
      <c r="X35" s="1380"/>
      <c r="Y35" s="3835" t="s">
        <v>1189</v>
      </c>
      <c r="Z35" s="1370" t="str">
        <f t="shared" si="15"/>
        <v>市政基础设施</v>
      </c>
      <c r="AA35" s="1397">
        <f t="shared" si="3"/>
        <v>1</v>
      </c>
      <c r="AB35" s="1397">
        <f t="shared" si="4"/>
        <v>1</v>
      </c>
      <c r="AC35" s="1397">
        <f t="shared" si="5"/>
        <v>1</v>
      </c>
    </row>
    <row r="36" spans="1:29" ht="15">
      <c r="A36" s="1262"/>
      <c r="B36" s="1208" t="s">
        <v>1198</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835"/>
      <c r="Q36" s="754" t="str">
        <f t="shared" si="11"/>
        <v>内部装修</v>
      </c>
      <c r="R36" s="1386" t="s">
        <v>1161</v>
      </c>
      <c r="S36" s="1387">
        <f t="shared" si="12"/>
        <v>100</v>
      </c>
      <c r="T36" s="1386" t="s">
        <v>1161</v>
      </c>
      <c r="U36" s="1387">
        <f t="shared" si="13"/>
        <v>100</v>
      </c>
      <c r="V36" s="1386" t="s">
        <v>1161</v>
      </c>
      <c r="W36" s="1387">
        <f t="shared" si="14"/>
        <v>100</v>
      </c>
      <c r="X36" s="1380"/>
      <c r="Y36" s="3835"/>
      <c r="Z36" s="1370" t="str">
        <f t="shared" si="15"/>
        <v>内部装修</v>
      </c>
      <c r="AA36" s="1397">
        <f t="shared" si="3"/>
        <v>1</v>
      </c>
      <c r="AB36" s="1397">
        <f t="shared" si="4"/>
        <v>1</v>
      </c>
      <c r="AC36" s="1397">
        <f t="shared" si="5"/>
        <v>1</v>
      </c>
    </row>
    <row r="37" spans="1:29" ht="15">
      <c r="A37" s="1262"/>
      <c r="B37" s="1208" t="s">
        <v>1736</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835"/>
      <c r="Q37" s="754" t="str">
        <f t="shared" si="11"/>
        <v>内部装修状况</v>
      </c>
      <c r="R37" s="1386" t="s">
        <v>1161</v>
      </c>
      <c r="S37" s="1387">
        <f t="shared" si="12"/>
        <v>100</v>
      </c>
      <c r="T37" s="1386" t="s">
        <v>1161</v>
      </c>
      <c r="U37" s="1387">
        <f t="shared" si="13"/>
        <v>100</v>
      </c>
      <c r="V37" s="1386" t="s">
        <v>1161</v>
      </c>
      <c r="W37" s="1387">
        <f t="shared" si="14"/>
        <v>100</v>
      </c>
      <c r="X37" s="1380"/>
      <c r="Y37" s="3835"/>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835"/>
      <c r="Q38" s="1614">
        <f t="shared" si="11"/>
        <v>111</v>
      </c>
      <c r="R38" s="1388" t="s">
        <v>1161</v>
      </c>
      <c r="S38" s="1389">
        <f t="shared" si="12"/>
        <v>100</v>
      </c>
      <c r="T38" s="1388" t="s">
        <v>1161</v>
      </c>
      <c r="U38" s="1389">
        <f t="shared" si="13"/>
        <v>100</v>
      </c>
      <c r="V38" s="1388" t="s">
        <v>1161</v>
      </c>
      <c r="W38" s="1389">
        <f t="shared" si="14"/>
        <v>100</v>
      </c>
      <c r="X38" s="1390"/>
      <c r="Y38" s="3835"/>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835"/>
      <c r="Q39" s="754">
        <f t="shared" si="11"/>
        <v>111</v>
      </c>
      <c r="R39" s="1386" t="s">
        <v>1161</v>
      </c>
      <c r="S39" s="1387">
        <f t="shared" si="12"/>
        <v>100</v>
      </c>
      <c r="T39" s="1386" t="s">
        <v>1161</v>
      </c>
      <c r="U39" s="1387">
        <f t="shared" si="13"/>
        <v>100</v>
      </c>
      <c r="V39" s="1386" t="s">
        <v>1161</v>
      </c>
      <c r="W39" s="1387">
        <f t="shared" si="14"/>
        <v>100</v>
      </c>
      <c r="X39" s="1380"/>
      <c r="Y39" s="3835"/>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36"/>
      <c r="Q40" s="754">
        <f t="shared" si="11"/>
        <v>111</v>
      </c>
      <c r="R40" s="1386" t="s">
        <v>1161</v>
      </c>
      <c r="S40" s="1387">
        <f t="shared" si="12"/>
        <v>100</v>
      </c>
      <c r="T40" s="1386" t="s">
        <v>1161</v>
      </c>
      <c r="U40" s="1387">
        <f t="shared" si="13"/>
        <v>100</v>
      </c>
      <c r="V40" s="1386" t="s">
        <v>1161</v>
      </c>
      <c r="W40" s="1387">
        <f t="shared" si="14"/>
        <v>100</v>
      </c>
      <c r="X40" s="1380"/>
      <c r="Y40" s="3836"/>
      <c r="Z40" s="1370">
        <f t="shared" si="15"/>
        <v>111</v>
      </c>
      <c r="AA40" s="1397">
        <f t="shared" si="3"/>
        <v>1</v>
      </c>
      <c r="AB40" s="1397">
        <f t="shared" si="4"/>
        <v>1</v>
      </c>
      <c r="AC40" s="1397">
        <f t="shared" si="5"/>
        <v>1</v>
      </c>
    </row>
    <row r="41" spans="1:29" ht="14.4">
      <c r="A41" s="1269" t="s">
        <v>1200</v>
      </c>
      <c r="B41" s="1589"/>
      <c r="C41" s="1590" t="s">
        <v>124</v>
      </c>
      <c r="D41" s="1591"/>
      <c r="E41" s="1592"/>
      <c r="F41" s="1593"/>
      <c r="G41" s="1594"/>
      <c r="H41" s="1595"/>
      <c r="I41" s="1592"/>
      <c r="J41" s="1595"/>
      <c r="K41" s="1361"/>
      <c r="L41" s="1704"/>
      <c r="M41" s="1321"/>
      <c r="N41" s="1692"/>
      <c r="O41" s="1321"/>
      <c r="P41" s="3825" t="str">
        <f>A41</f>
        <v>成交单价（元/平方米）</v>
      </c>
      <c r="Q41" s="3825"/>
      <c r="R41" s="3837">
        <f>E41</f>
        <v>0</v>
      </c>
      <c r="S41" s="3837"/>
      <c r="T41" s="3837">
        <f>G41</f>
        <v>0</v>
      </c>
      <c r="U41" s="3837"/>
      <c r="V41" s="3837">
        <f>I41</f>
        <v>0</v>
      </c>
      <c r="W41" s="3837"/>
      <c r="X41" s="1326"/>
      <c r="Y41" s="1399"/>
      <c r="Z41" s="1326"/>
      <c r="AA41" s="1326"/>
      <c r="AB41" s="1326"/>
      <c r="AC41" s="1326"/>
    </row>
    <row r="42" spans="1:29" ht="14.4">
      <c r="A42" s="1277" t="s">
        <v>1201</v>
      </c>
      <c r="B42" s="1596"/>
      <c r="C42" s="1597" t="e">
        <f>R43</f>
        <v>#DIV/0!</v>
      </c>
      <c r="D42" s="1280" t="s">
        <v>1202</v>
      </c>
      <c r="E42" s="1598" t="e">
        <f>R42</f>
        <v>#DIV/0!</v>
      </c>
      <c r="F42" s="1281"/>
      <c r="G42" s="1597" t="e">
        <f>T42</f>
        <v>#DIV/0!</v>
      </c>
      <c r="H42" s="1281"/>
      <c r="I42" s="1598" t="e">
        <f>V42</f>
        <v>#DIV/0!</v>
      </c>
      <c r="J42" s="1281"/>
      <c r="K42" s="1363">
        <f>F42+H42+J42</f>
        <v>0</v>
      </c>
      <c r="L42" s="1704"/>
      <c r="M42" s="1321"/>
      <c r="N42" s="1692"/>
      <c r="O42" s="1321"/>
      <c r="P42" s="3825" t="str">
        <f>A42</f>
        <v>比较价值（元/平方米）</v>
      </c>
      <c r="Q42" s="3825"/>
      <c r="R42" s="3837" t="e">
        <f>IF(F1="售价",ROUND(PRODUCT(R41,AA7:AA40),0),ROUND(PRODUCT(R41,AA7:AA40),1))</f>
        <v>#DIV/0!</v>
      </c>
      <c r="S42" s="3837"/>
      <c r="T42" s="3837" t="e">
        <f>IF(F1="售价",ROUND(PRODUCT(T41,AB7:AB40),0),ROUND(PRODUCT(T41,AB7:AB40),1))</f>
        <v>#DIV/0!</v>
      </c>
      <c r="U42" s="3837"/>
      <c r="V42" s="3837" t="e">
        <f>IF(F1="售价",ROUND(PRODUCT(V41,AC7:AC40),0),ROUND(PRODUCT(V41,AC7:AC40),1))</f>
        <v>#DIV/0!</v>
      </c>
      <c r="W42" s="3837"/>
      <c r="X42" s="1326"/>
      <c r="Y42" s="1326"/>
      <c r="Z42" s="1326"/>
      <c r="AA42" s="1326"/>
      <c r="AB42" s="1326"/>
      <c r="AC42" s="1326"/>
    </row>
    <row r="43" spans="1:29" ht="14.4">
      <c r="A43" s="1283" t="s">
        <v>1203</v>
      </c>
      <c r="B43" s="1284"/>
      <c r="C43" s="1599" t="e">
        <f>R43</f>
        <v>#DIV/0!</v>
      </c>
      <c r="D43" s="1599"/>
      <c r="E43" s="1599"/>
      <c r="F43" s="1599"/>
      <c r="G43" s="1599"/>
      <c r="H43" s="1599"/>
      <c r="I43" s="1599"/>
      <c r="J43" s="1599"/>
      <c r="K43" s="1364"/>
      <c r="L43" s="1704"/>
      <c r="M43" s="1321"/>
      <c r="N43" s="1321"/>
      <c r="O43" s="1321"/>
      <c r="P43" s="3838" t="str">
        <f>A43</f>
        <v>估价对象XX用房的比较价值（楼面单价，元/平方米）</v>
      </c>
      <c r="Q43" s="3839"/>
      <c r="R43" s="3840" t="e">
        <f>IF(F1="售价",ROUND(IF(D42="简单平均",AVERAGE(R42:V42),R42*F42+T42*H42+V42*J42),0),ROUND(IF(D42="简单平均",AVERAGE(R42:V42),R42*F42+T42*H42+V42*J42),1))</f>
        <v>#DIV/0!</v>
      </c>
      <c r="S43" s="3840"/>
      <c r="T43" s="3840"/>
      <c r="U43" s="3840"/>
      <c r="V43" s="3840"/>
      <c r="W43" s="3840"/>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1204</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1205</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1206</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6">
      <c r="A51" s="1325" t="s">
        <v>1207</v>
      </c>
      <c r="B51" s="1326"/>
      <c r="C51" s="1327"/>
      <c r="D51" s="1327"/>
      <c r="E51" s="1327"/>
      <c r="F51" s="1328"/>
      <c r="G51" s="1328"/>
      <c r="H51" s="1327"/>
      <c r="I51" s="1327"/>
      <c r="J51" s="1327"/>
      <c r="K51" s="1544"/>
      <c r="L51" s="1545"/>
      <c r="M51" s="1378"/>
      <c r="N51" s="1378"/>
      <c r="O51" s="1378"/>
      <c r="P51" s="1707"/>
      <c r="Q51" s="1709"/>
    </row>
    <row r="52" spans="1:17" s="1175" customFormat="1" ht="14.4">
      <c r="A52" s="1601" t="s">
        <v>1159</v>
      </c>
      <c r="B52" s="1602"/>
      <c r="C52" s="1603" t="str">
        <f>YEAR(C7)&amp;"-"&amp;MONTH(C7)</f>
        <v>2020-12</v>
      </c>
      <c r="D52" s="1604">
        <f>EDATE(C52,-1)</f>
        <v>44136</v>
      </c>
      <c r="E52" s="1604">
        <f t="shared" ref="E52:O52" si="16">EDATE(D52,-1)</f>
        <v>44105</v>
      </c>
      <c r="F52" s="1604">
        <f t="shared" si="16"/>
        <v>44075</v>
      </c>
      <c r="G52" s="1604">
        <f t="shared" si="16"/>
        <v>44044</v>
      </c>
      <c r="H52" s="1604">
        <f t="shared" si="16"/>
        <v>44013</v>
      </c>
      <c r="I52" s="1604">
        <f t="shared" si="16"/>
        <v>43983</v>
      </c>
      <c r="J52" s="1604">
        <f t="shared" si="16"/>
        <v>43952</v>
      </c>
      <c r="K52" s="1604">
        <f t="shared" si="16"/>
        <v>43922</v>
      </c>
      <c r="L52" s="1604">
        <f t="shared" si="16"/>
        <v>43891</v>
      </c>
      <c r="M52" s="1604">
        <f t="shared" si="16"/>
        <v>43862</v>
      </c>
      <c r="N52" s="1604">
        <f t="shared" si="16"/>
        <v>43831</v>
      </c>
      <c r="O52" s="1604">
        <f t="shared" si="16"/>
        <v>43800</v>
      </c>
      <c r="P52" s="1708"/>
    </row>
    <row r="53" spans="1:17" s="1170" customFormat="1">
      <c r="A53" s="1605"/>
      <c r="B53" s="1411"/>
      <c r="C53" s="1606">
        <v>100</v>
      </c>
      <c r="D53" s="1415"/>
      <c r="E53" s="1415"/>
      <c r="F53" s="1415"/>
      <c r="G53" s="1415"/>
      <c r="H53" s="1415"/>
      <c r="I53" s="1415"/>
      <c r="J53" s="1415"/>
      <c r="K53" s="1415"/>
      <c r="L53" s="1415"/>
      <c r="M53" s="1613"/>
      <c r="N53" s="1415"/>
      <c r="O53" s="1463"/>
      <c r="P53" s="1709"/>
    </row>
    <row r="54" spans="1:17" s="1170" customFormat="1" ht="14.4">
      <c r="A54" s="1406" t="s">
        <v>1208</v>
      </c>
      <c r="B54" s="1407"/>
      <c r="C54" s="1408"/>
      <c r="D54" s="1409"/>
      <c r="E54" s="1409"/>
      <c r="F54" s="1409"/>
      <c r="G54" s="1409"/>
      <c r="H54" s="1409"/>
      <c r="I54" s="1409"/>
      <c r="J54" s="1409"/>
      <c r="K54" s="1409"/>
      <c r="L54" s="1409"/>
      <c r="M54" s="1457"/>
      <c r="N54" s="1710"/>
      <c r="O54" s="1711"/>
      <c r="P54" s="1709"/>
      <c r="Q54" s="1709"/>
    </row>
    <row r="55" spans="1:17" s="1170" customFormat="1" ht="14.4">
      <c r="A55" s="1410" t="s">
        <v>1162</v>
      </c>
      <c r="B55" s="1411"/>
      <c r="C55" s="1412" t="s">
        <v>1209</v>
      </c>
      <c r="D55" s="1413"/>
      <c r="E55" s="1413"/>
      <c r="F55" s="1413"/>
      <c r="G55" s="1413"/>
      <c r="H55" s="1413"/>
      <c r="I55" s="1413"/>
      <c r="J55" s="1413"/>
      <c r="K55" s="1413"/>
      <c r="L55" s="1459"/>
      <c r="M55" s="1460"/>
      <c r="N55" s="1712"/>
      <c r="O55" s="1712"/>
      <c r="P55" s="1713"/>
      <c r="Q55" s="1709"/>
    </row>
    <row r="56" spans="1:17" s="1170" customFormat="1">
      <c r="A56" s="1410"/>
      <c r="B56" s="1411"/>
      <c r="C56" s="1414">
        <v>100</v>
      </c>
      <c r="D56" s="1415"/>
      <c r="E56" s="1415"/>
      <c r="F56" s="1415"/>
      <c r="G56" s="1415"/>
      <c r="H56" s="1415"/>
      <c r="I56" s="1415"/>
      <c r="J56" s="1415"/>
      <c r="K56" s="1415"/>
      <c r="L56" s="1415"/>
      <c r="M56" s="1463"/>
      <c r="N56" s="1712"/>
      <c r="O56" s="1712"/>
      <c r="P56" s="1709"/>
      <c r="Q56" s="1709"/>
    </row>
    <row r="57" spans="1:17" ht="14.4">
      <c r="A57" s="1416" t="s">
        <v>1210</v>
      </c>
      <c r="B57" s="1417" t="s">
        <v>1165</v>
      </c>
      <c r="C57" s="1439">
        <f>C9</f>
        <v>0</v>
      </c>
      <c r="D57" s="1359"/>
      <c r="E57" s="1359"/>
      <c r="F57" s="1359"/>
      <c r="G57" s="1359"/>
      <c r="H57" s="1359"/>
      <c r="I57" s="1359"/>
      <c r="J57" s="1359"/>
      <c r="K57" s="1464"/>
      <c r="L57" s="1465"/>
      <c r="M57" s="1466"/>
      <c r="N57" s="1714"/>
      <c r="O57" s="1714"/>
      <c r="P57" s="1715"/>
      <c r="Q57" s="1709"/>
    </row>
    <row r="58" spans="1:17">
      <c r="A58" s="1418"/>
      <c r="B58" s="1419"/>
      <c r="C58" s="1420">
        <v>100</v>
      </c>
      <c r="D58" s="1420"/>
      <c r="E58" s="1420"/>
      <c r="F58" s="1420"/>
      <c r="G58" s="1420"/>
      <c r="H58" s="1420"/>
      <c r="I58" s="1420"/>
      <c r="J58" s="1420"/>
      <c r="K58" s="1420"/>
      <c r="L58" s="1420"/>
      <c r="M58" s="1469"/>
      <c r="N58" s="1716"/>
      <c r="O58" s="1716"/>
      <c r="P58" s="1715"/>
      <c r="Q58" s="1709"/>
    </row>
    <row r="59" spans="1:17" ht="28.8">
      <c r="A59" s="1418"/>
      <c r="B59" s="1421" t="s">
        <v>1169</v>
      </c>
      <c r="C59" s="1446"/>
      <c r="D59" s="1446"/>
      <c r="E59" s="1446"/>
      <c r="F59" s="1446"/>
      <c r="G59" s="1446"/>
      <c r="H59" s="1446"/>
      <c r="I59" s="1446"/>
      <c r="J59" s="1446"/>
      <c r="K59" s="1497"/>
      <c r="L59" s="1498"/>
      <c r="M59" s="1499"/>
      <c r="N59" s="1714"/>
      <c r="O59" s="1714"/>
      <c r="P59" s="1715"/>
      <c r="Q59" s="1709"/>
    </row>
    <row r="60" spans="1:17">
      <c r="A60" s="1418"/>
      <c r="B60" s="1423"/>
      <c r="C60" s="1420"/>
      <c r="D60" s="1420"/>
      <c r="E60" s="1420"/>
      <c r="F60" s="1420"/>
      <c r="G60" s="1420"/>
      <c r="H60" s="1420"/>
      <c r="I60" s="1420"/>
      <c r="J60" s="1420"/>
      <c r="K60" s="1420"/>
      <c r="L60" s="1420"/>
      <c r="M60" s="1469"/>
      <c r="N60" s="1716"/>
      <c r="O60" s="1716"/>
      <c r="P60" s="1715"/>
      <c r="Q60" s="1709"/>
    </row>
    <row r="61" spans="1:17" ht="14.4">
      <c r="A61" s="1418"/>
      <c r="B61" s="1425" t="s">
        <v>1170</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c r="A62" s="1418"/>
      <c r="B62" s="1427"/>
      <c r="C62" s="1217">
        <v>0</v>
      </c>
      <c r="D62" s="1217">
        <v>2</v>
      </c>
      <c r="E62" s="1217"/>
      <c r="F62" s="1217"/>
      <c r="G62" s="1217"/>
      <c r="H62" s="1217"/>
      <c r="I62" s="1217"/>
      <c r="J62" s="1217"/>
      <c r="K62" s="1475"/>
      <c r="L62" s="1476"/>
      <c r="M62" s="1477"/>
      <c r="N62" s="1714"/>
      <c r="O62" s="1714"/>
      <c r="P62" s="1715"/>
      <c r="Q62" s="1709"/>
    </row>
    <row r="63"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c r="A64" s="1428"/>
      <c r="B64" s="1421">
        <f>B12</f>
        <v>111</v>
      </c>
      <c r="C64" s="1429"/>
      <c r="D64" s="1429"/>
      <c r="E64" s="1429"/>
      <c r="F64" s="1429"/>
      <c r="G64" s="1429"/>
      <c r="H64" s="1430"/>
      <c r="I64" s="1430"/>
      <c r="J64" s="1430"/>
      <c r="K64" s="1430"/>
      <c r="L64" s="1478"/>
      <c r="M64" s="1479"/>
      <c r="N64" s="1717"/>
      <c r="O64" s="1717"/>
      <c r="P64" s="1718"/>
      <c r="Q64" s="1719"/>
    </row>
    <row r="65" spans="1:17" s="1172" customFormat="1">
      <c r="A65" s="1428"/>
      <c r="B65" s="1423"/>
      <c r="C65" s="1431"/>
      <c r="D65" s="1420"/>
      <c r="E65" s="1420"/>
      <c r="F65" s="1420"/>
      <c r="G65" s="1420"/>
      <c r="H65" s="1420"/>
      <c r="I65" s="1420"/>
      <c r="J65" s="1420"/>
      <c r="K65" s="1420"/>
      <c r="L65" s="1420"/>
      <c r="M65" s="1469"/>
      <c r="N65" s="1716"/>
      <c r="O65" s="1716"/>
      <c r="P65" s="1718"/>
      <c r="Q65" s="1719"/>
    </row>
    <row r="66" spans="1:17" s="1172" customFormat="1">
      <c r="A66" s="1428"/>
      <c r="B66" s="1421">
        <f>B13</f>
        <v>111</v>
      </c>
      <c r="C66" s="1429"/>
      <c r="D66" s="1429"/>
      <c r="E66" s="1429"/>
      <c r="F66" s="1429"/>
      <c r="G66" s="1429"/>
      <c r="H66" s="1430"/>
      <c r="I66" s="1430"/>
      <c r="J66" s="1430"/>
      <c r="K66" s="1430"/>
      <c r="L66" s="1478"/>
      <c r="M66" s="1479"/>
      <c r="N66" s="1717"/>
      <c r="O66" s="1717"/>
      <c r="P66" s="1721"/>
      <c r="Q66" s="1725"/>
    </row>
    <row r="67" spans="1:17" s="1172" customFormat="1">
      <c r="A67" s="1428"/>
      <c r="B67" s="1423"/>
      <c r="C67" s="1431"/>
      <c r="D67" s="1420"/>
      <c r="E67" s="1420"/>
      <c r="F67" s="1420"/>
      <c r="G67" s="1431"/>
      <c r="H67" s="1432"/>
      <c r="I67" s="1432"/>
      <c r="J67" s="1432"/>
      <c r="K67" s="1432"/>
      <c r="L67" s="1432"/>
      <c r="M67" s="1482"/>
      <c r="N67" s="1717"/>
      <c r="O67" s="1717"/>
      <c r="P67" s="1718"/>
      <c r="Q67" s="1719"/>
    </row>
    <row r="68" spans="1:17" s="1172" customFormat="1">
      <c r="A68" s="1428"/>
      <c r="B68" s="1425">
        <f>B14</f>
        <v>111</v>
      </c>
      <c r="C68" s="1413"/>
      <c r="D68" s="1413"/>
      <c r="E68" s="1413"/>
      <c r="F68" s="1413"/>
      <c r="G68" s="1413"/>
      <c r="H68" s="1433"/>
      <c r="I68" s="1433"/>
      <c r="J68" s="1433"/>
      <c r="K68" s="1433"/>
      <c r="L68" s="1483"/>
      <c r="M68" s="1484"/>
      <c r="N68" s="1717"/>
      <c r="O68" s="1717"/>
      <c r="P68" s="1722"/>
      <c r="Q68" s="1719"/>
    </row>
    <row r="69" spans="1:17" s="1172" customFormat="1">
      <c r="A69" s="1434"/>
      <c r="B69" s="1435"/>
      <c r="C69" s="1436"/>
      <c r="D69" s="1436"/>
      <c r="E69" s="1436"/>
      <c r="F69" s="1436"/>
      <c r="G69" s="1436"/>
      <c r="H69" s="1437"/>
      <c r="I69" s="1437"/>
      <c r="J69" s="1437"/>
      <c r="K69" s="1437"/>
      <c r="L69" s="1437"/>
      <c r="M69" s="1486"/>
      <c r="N69" s="1717"/>
      <c r="O69" s="1717"/>
      <c r="P69" s="1718"/>
      <c r="Q69" s="1719"/>
    </row>
    <row r="70" spans="1:17" ht="14.4">
      <c r="A70" s="1416" t="s">
        <v>1171</v>
      </c>
      <c r="B70" s="1417" t="s">
        <v>1735</v>
      </c>
      <c r="C70" s="1438" t="s">
        <v>1212</v>
      </c>
      <c r="D70" s="1438" t="s">
        <v>1213</v>
      </c>
      <c r="E70" s="1438" t="s">
        <v>1214</v>
      </c>
      <c r="F70" s="1438" t="s">
        <v>1215</v>
      </c>
      <c r="G70" s="1438" t="s">
        <v>1216</v>
      </c>
      <c r="H70" s="1439"/>
      <c r="I70" s="1439"/>
      <c r="J70" s="1439"/>
      <c r="K70" s="1487"/>
      <c r="L70" s="1488"/>
      <c r="M70" s="1489"/>
      <c r="N70" s="1714"/>
      <c r="O70" s="1714"/>
      <c r="P70" s="1723"/>
      <c r="Q70" s="1709"/>
    </row>
    <row r="71" spans="1:17">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4.4">
      <c r="A72" s="1418"/>
      <c r="B72" s="1421" t="s">
        <v>1176</v>
      </c>
      <c r="C72" s="1440" t="s">
        <v>1212</v>
      </c>
      <c r="D72" s="1440" t="s">
        <v>1213</v>
      </c>
      <c r="E72" s="1440" t="s">
        <v>1214</v>
      </c>
      <c r="F72" s="1440" t="s">
        <v>1215</v>
      </c>
      <c r="G72" s="1440" t="s">
        <v>1216</v>
      </c>
      <c r="H72" s="1422"/>
      <c r="I72" s="1422"/>
      <c r="J72" s="1422"/>
      <c r="K72" s="1471"/>
      <c r="L72" s="1472"/>
      <c r="M72" s="1473"/>
      <c r="N72" s="1714"/>
      <c r="O72" s="1714"/>
      <c r="P72" s="1715"/>
      <c r="Q72" s="1709"/>
    </row>
    <row r="73" spans="1:17">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4.4">
      <c r="A74" s="1418"/>
      <c r="B74" s="1421" t="s">
        <v>1177</v>
      </c>
      <c r="C74" s="1440" t="s">
        <v>1212</v>
      </c>
      <c r="D74" s="1440" t="s">
        <v>1213</v>
      </c>
      <c r="E74" s="1440" t="s">
        <v>1214</v>
      </c>
      <c r="F74" s="1440" t="s">
        <v>1215</v>
      </c>
      <c r="G74" s="1440" t="s">
        <v>1216</v>
      </c>
      <c r="H74" s="1422"/>
      <c r="I74" s="1422"/>
      <c r="J74" s="1422"/>
      <c r="K74" s="1471"/>
      <c r="L74" s="1472"/>
      <c r="M74" s="1473"/>
      <c r="N74" s="1714"/>
      <c r="O74" s="1714"/>
      <c r="P74" s="1715"/>
      <c r="Q74" s="1709"/>
    </row>
    <row r="75" spans="1:17">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4.4">
      <c r="A76" s="1418"/>
      <c r="B76" s="1425" t="s">
        <v>1178</v>
      </c>
      <c r="C76" s="1445" t="s">
        <v>1217</v>
      </c>
      <c r="D76" s="1445" t="s">
        <v>1218</v>
      </c>
      <c r="E76" s="1445" t="s">
        <v>1219</v>
      </c>
      <c r="F76" s="1445" t="s">
        <v>1220</v>
      </c>
      <c r="G76" s="1445" t="s">
        <v>1221</v>
      </c>
      <c r="H76" s="1422"/>
      <c r="I76" s="1422"/>
      <c r="J76" s="1422"/>
      <c r="K76" s="1422"/>
      <c r="L76" s="1422"/>
      <c r="M76" s="1618"/>
      <c r="N76" s="1716"/>
      <c r="O76" s="1716"/>
      <c r="P76" s="1715"/>
      <c r="Q76" s="1709"/>
    </row>
    <row r="77" spans="1:17">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4.4">
      <c r="A78" s="1418"/>
      <c r="B78" s="1421" t="s">
        <v>1729</v>
      </c>
      <c r="C78" s="1440" t="s">
        <v>1212</v>
      </c>
      <c r="D78" s="1440" t="s">
        <v>1213</v>
      </c>
      <c r="E78" s="1440" t="s">
        <v>1214</v>
      </c>
      <c r="F78" s="1440" t="s">
        <v>1215</v>
      </c>
      <c r="G78" s="1440" t="s">
        <v>1216</v>
      </c>
      <c r="H78" s="1422"/>
      <c r="I78" s="1422"/>
      <c r="J78" s="1422"/>
      <c r="K78" s="1471"/>
      <c r="L78" s="1472"/>
      <c r="M78" s="1473"/>
      <c r="N78" s="1714"/>
      <c r="O78" s="1714"/>
      <c r="P78" s="1715"/>
      <c r="Q78" s="1709"/>
    </row>
    <row r="79" spans="1:17">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c r="A80" s="1441"/>
      <c r="B80" s="1421">
        <f>B25</f>
        <v>111</v>
      </c>
      <c r="C80" s="1429"/>
      <c r="D80" s="1429"/>
      <c r="E80" s="1429"/>
      <c r="F80" s="1429"/>
      <c r="G80" s="1429"/>
      <c r="H80" s="1429"/>
      <c r="I80" s="1429"/>
      <c r="J80" s="1429"/>
      <c r="K80" s="1429"/>
      <c r="L80" s="1619"/>
      <c r="M80" s="1620"/>
      <c r="N80" s="1712"/>
      <c r="O80" s="1712"/>
      <c r="P80" s="1715"/>
      <c r="Q80" s="1709"/>
    </row>
    <row r="81" spans="1:17" s="1170" customFormat="1">
      <c r="A81" s="1441"/>
      <c r="B81" s="1423"/>
      <c r="C81" s="1431"/>
      <c r="D81" s="1420"/>
      <c r="E81" s="1420"/>
      <c r="F81" s="1420"/>
      <c r="G81" s="1420"/>
      <c r="H81" s="1420"/>
      <c r="I81" s="1420"/>
      <c r="J81" s="1420"/>
      <c r="K81" s="1420"/>
      <c r="L81" s="1420"/>
      <c r="M81" s="1469"/>
      <c r="N81" s="1716"/>
      <c r="O81" s="1716"/>
      <c r="P81" s="1715"/>
      <c r="Q81" s="1709"/>
    </row>
    <row r="82" spans="1:17" s="1170" customFormat="1">
      <c r="A82" s="1441"/>
      <c r="B82" s="1421">
        <f>B26</f>
        <v>111</v>
      </c>
      <c r="C82" s="1429"/>
      <c r="D82" s="1429"/>
      <c r="E82" s="1429"/>
      <c r="F82" s="1429"/>
      <c r="G82" s="1429"/>
      <c r="H82" s="1429"/>
      <c r="I82" s="1429"/>
      <c r="J82" s="1429"/>
      <c r="K82" s="1429"/>
      <c r="L82" s="1619"/>
      <c r="M82" s="1620"/>
      <c r="N82" s="1712"/>
      <c r="O82" s="1712"/>
      <c r="P82" s="1715"/>
      <c r="Q82" s="1709"/>
    </row>
    <row r="83" spans="1:17" s="1170" customFormat="1">
      <c r="A83" s="1441"/>
      <c r="B83" s="1423"/>
      <c r="C83" s="1431"/>
      <c r="D83" s="1420"/>
      <c r="E83" s="1420"/>
      <c r="F83" s="1420"/>
      <c r="G83" s="1420"/>
      <c r="H83" s="1420"/>
      <c r="I83" s="1420"/>
      <c r="J83" s="1420"/>
      <c r="K83" s="1420"/>
      <c r="L83" s="1420"/>
      <c r="M83" s="1469"/>
      <c r="N83" s="1716"/>
      <c r="O83" s="1716"/>
      <c r="P83" s="1715"/>
      <c r="Q83" s="1709"/>
    </row>
    <row r="84" spans="1:17" s="1172" customFormat="1">
      <c r="A84" s="1428"/>
      <c r="B84" s="1421">
        <f>B27</f>
        <v>111</v>
      </c>
      <c r="C84" s="1429"/>
      <c r="D84" s="1429"/>
      <c r="E84" s="1429"/>
      <c r="F84" s="1429"/>
      <c r="G84" s="1429"/>
      <c r="H84" s="1429"/>
      <c r="I84" s="1429"/>
      <c r="J84" s="1429"/>
      <c r="K84" s="1429"/>
      <c r="L84" s="1619"/>
      <c r="M84" s="1620"/>
      <c r="N84" s="1717"/>
      <c r="O84" s="1717"/>
      <c r="P84" s="1718"/>
      <c r="Q84" s="1719"/>
    </row>
    <row r="85" spans="1:17" s="1172" customFormat="1">
      <c r="A85" s="1428"/>
      <c r="B85" s="1423"/>
      <c r="C85" s="1431"/>
      <c r="D85" s="1420"/>
      <c r="E85" s="1420"/>
      <c r="F85" s="1420"/>
      <c r="G85" s="1420"/>
      <c r="H85" s="1420"/>
      <c r="I85" s="1420"/>
      <c r="J85" s="1420"/>
      <c r="K85" s="1420"/>
      <c r="L85" s="1420"/>
      <c r="M85" s="1469"/>
      <c r="N85" s="1717"/>
      <c r="O85" s="1717"/>
      <c r="P85" s="1718"/>
      <c r="Q85" s="1719"/>
    </row>
    <row r="86" spans="1:17">
      <c r="A86" s="1418"/>
      <c r="B86" s="1425">
        <f>B28</f>
        <v>111</v>
      </c>
      <c r="C86" s="1413"/>
      <c r="D86" s="1413"/>
      <c r="E86" s="1413"/>
      <c r="F86" s="1413"/>
      <c r="G86" s="1447"/>
      <c r="H86" s="1447"/>
      <c r="I86" s="1447"/>
      <c r="J86" s="1447"/>
      <c r="K86" s="1500"/>
      <c r="L86" s="1501"/>
      <c r="M86" s="1502"/>
      <c r="N86" s="1714"/>
      <c r="O86" s="1714"/>
      <c r="P86" s="1715"/>
      <c r="Q86" s="1709"/>
    </row>
    <row r="87" spans="1:17">
      <c r="A87" s="1720"/>
      <c r="B87" s="1435"/>
      <c r="C87" s="1436"/>
      <c r="D87" s="1436"/>
      <c r="E87" s="1436"/>
      <c r="F87" s="1436"/>
      <c r="G87" s="1448"/>
      <c r="H87" s="1448"/>
      <c r="I87" s="1448"/>
      <c r="J87" s="1448"/>
      <c r="K87" s="1448"/>
      <c r="L87" s="1448"/>
      <c r="M87" s="1503"/>
      <c r="N87" s="1716"/>
      <c r="O87" s="1716"/>
      <c r="P87" s="1715"/>
      <c r="Q87" s="1709"/>
    </row>
    <row r="88" spans="1:17" ht="14.4">
      <c r="A88" s="1416" t="s">
        <v>1187</v>
      </c>
      <c r="B88" s="1417" t="s">
        <v>1702</v>
      </c>
      <c r="C88" s="1359"/>
      <c r="D88" s="1359"/>
      <c r="E88" s="1359"/>
      <c r="F88" s="1359"/>
      <c r="G88" s="1359"/>
      <c r="H88" s="1359"/>
      <c r="I88" s="1359"/>
      <c r="J88" s="1359"/>
      <c r="K88" s="1464"/>
      <c r="L88" s="1465"/>
      <c r="M88" s="1466"/>
      <c r="N88" s="1714"/>
      <c r="O88" s="1714"/>
      <c r="P88" s="1715"/>
      <c r="Q88" s="1709"/>
    </row>
    <row r="89"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4.4">
      <c r="A90" s="1418"/>
      <c r="B90" s="1421" t="s">
        <v>1190</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c r="A92" s="1428"/>
      <c r="B92" s="1423"/>
      <c r="C92" s="1431"/>
      <c r="D92" s="1420"/>
      <c r="E92" s="1420"/>
      <c r="F92" s="1420"/>
      <c r="G92" s="1420"/>
      <c r="H92" s="1420"/>
      <c r="I92" s="1420"/>
      <c r="J92" s="1420"/>
      <c r="K92" s="1420"/>
      <c r="L92" s="1420"/>
      <c r="M92" s="1469"/>
      <c r="N92" s="1716"/>
      <c r="O92" s="1716"/>
      <c r="P92" s="1718"/>
      <c r="Q92" s="1719"/>
    </row>
    <row r="93" spans="1:17" ht="14.4">
      <c r="A93" s="1452"/>
      <c r="B93" s="1421" t="s">
        <v>1191</v>
      </c>
      <c r="C93" s="1429"/>
      <c r="D93" s="1429"/>
      <c r="E93" s="1446"/>
      <c r="F93" s="1446"/>
      <c r="G93" s="1446"/>
      <c r="H93" s="1446"/>
      <c r="I93" s="1446"/>
      <c r="J93" s="1446"/>
      <c r="K93" s="1497"/>
      <c r="L93" s="1498"/>
      <c r="M93" s="1499"/>
      <c r="N93" s="1714"/>
      <c r="O93" s="1714"/>
      <c r="P93" s="1715"/>
      <c r="Q93" s="1709"/>
    </row>
    <row r="94"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ht="14.4">
      <c r="A95" s="1452"/>
      <c r="B95" s="1421" t="s">
        <v>1192</v>
      </c>
      <c r="C95" s="1429"/>
      <c r="D95" s="1429"/>
      <c r="E95" s="1429"/>
      <c r="F95" s="1446"/>
      <c r="G95" s="1446"/>
      <c r="H95" s="1446"/>
      <c r="I95" s="1446"/>
      <c r="J95" s="1446"/>
      <c r="K95" s="1497"/>
      <c r="L95" s="1498"/>
      <c r="M95" s="1499"/>
      <c r="N95" s="1714"/>
      <c r="O95" s="1714"/>
      <c r="P95" s="1715"/>
      <c r="Q95" s="1709"/>
    </row>
    <row r="96"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ht="14.4">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ht="14.4">
      <c r="A100" s="1449"/>
      <c r="B100" s="1421" t="s">
        <v>1704</v>
      </c>
      <c r="C100" s="1429"/>
      <c r="D100" s="1429"/>
      <c r="E100" s="1429"/>
      <c r="F100" s="1429"/>
      <c r="G100" s="1429"/>
      <c r="H100" s="1446"/>
      <c r="I100" s="1446"/>
      <c r="J100" s="1446"/>
      <c r="K100" s="1497"/>
      <c r="L100" s="1498"/>
      <c r="M100" s="1499"/>
      <c r="N100" s="1717"/>
      <c r="O100" s="1717"/>
      <c r="P100" s="1718"/>
      <c r="Q100" s="1719"/>
    </row>
    <row r="101" spans="1:17" s="1172" customFormat="1">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ht="14.4">
      <c r="A102" s="1452"/>
      <c r="B102" s="1421" t="s">
        <v>1193</v>
      </c>
      <c r="C102" s="1429"/>
      <c r="D102" s="1429"/>
      <c r="E102" s="1429"/>
      <c r="F102" s="1429"/>
      <c r="G102" s="1429"/>
      <c r="H102" s="1446"/>
      <c r="I102" s="1446"/>
      <c r="J102" s="1446"/>
      <c r="K102" s="1497"/>
      <c r="L102" s="1498"/>
      <c r="M102" s="1499"/>
      <c r="N102" s="1714"/>
      <c r="O102" s="1714"/>
      <c r="P102" s="1715"/>
      <c r="Q102" s="1709"/>
    </row>
    <row r="103"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ht="14.4">
      <c r="A104" s="1452"/>
      <c r="B104" s="1421" t="s">
        <v>1198</v>
      </c>
      <c r="C104" s="1429"/>
      <c r="D104" s="1429"/>
      <c r="E104" s="1429"/>
      <c r="F104" s="1429"/>
      <c r="G104" s="1429"/>
      <c r="H104" s="1446"/>
      <c r="I104" s="1446"/>
      <c r="J104" s="1446"/>
      <c r="K104" s="1497"/>
      <c r="L104" s="1498"/>
      <c r="M104" s="1499"/>
      <c r="N104" s="1714"/>
      <c r="O104" s="1714"/>
      <c r="P104" s="1715"/>
      <c r="Q104" s="1709"/>
    </row>
    <row r="10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ht="28.8">
      <c r="A106" s="1452"/>
      <c r="B106" s="1616" t="s">
        <v>1737</v>
      </c>
      <c r="C106" s="1440" t="s">
        <v>1212</v>
      </c>
      <c r="D106" s="1440" t="s">
        <v>1213</v>
      </c>
      <c r="E106" s="1440" t="s">
        <v>1214</v>
      </c>
      <c r="F106" s="1440" t="s">
        <v>1215</v>
      </c>
      <c r="G106" s="1440" t="s">
        <v>1216</v>
      </c>
      <c r="H106" s="1422"/>
      <c r="I106" s="1422"/>
      <c r="J106" s="1422"/>
      <c r="K106" s="1471"/>
      <c r="L106" s="1472"/>
      <c r="M106" s="1473"/>
      <c r="N106" s="1716"/>
      <c r="O106" s="1716"/>
      <c r="P106" s="1724"/>
      <c r="Q106" s="1726"/>
    </row>
    <row r="107"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5.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1738</v>
      </c>
      <c r="B1" s="1550" t="s">
        <v>1739</v>
      </c>
      <c r="C1" s="1551" t="s">
        <v>1144</v>
      </c>
      <c r="D1" s="1552"/>
      <c r="E1" s="1553"/>
      <c r="F1" s="1554"/>
      <c r="G1" s="1629" t="s">
        <v>1147</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997</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999</v>
      </c>
      <c r="B3" s="1187" t="e">
        <f>IF(AND(C2="——",B37="元/平方米"),C39,ROUND(B2*10000/D3,0))</f>
        <v>#DIV/0!</v>
      </c>
      <c r="C3" s="1562" t="s">
        <v>1148</v>
      </c>
      <c r="D3" s="1563">
        <f>SUMIF('数据-汇总表'!$C19:$C33,D1,'数据-汇总表'!$E19:$E33)</f>
        <v>0</v>
      </c>
      <c r="E3" s="1562" t="s">
        <v>1740</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42" t="s">
        <v>1152</v>
      </c>
      <c r="AC4" s="3841" t="s">
        <v>1153</v>
      </c>
    </row>
    <row r="5" spans="1:29">
      <c r="A5" s="1191"/>
      <c r="B5" s="1192"/>
      <c r="C5" s="3814" t="s">
        <v>1156</v>
      </c>
      <c r="D5" s="3815"/>
      <c r="E5" s="3816" t="s">
        <v>1697</v>
      </c>
      <c r="F5" s="3817"/>
      <c r="G5" s="3814" t="s">
        <v>1698</v>
      </c>
      <c r="H5" s="3815"/>
      <c r="I5" s="3814" t="s">
        <v>1699</v>
      </c>
      <c r="J5" s="3815"/>
      <c r="K5" s="1336"/>
      <c r="L5" s="1337"/>
      <c r="M5" s="1338"/>
      <c r="N5" s="1338"/>
      <c r="O5" s="1338"/>
      <c r="P5" s="3846"/>
      <c r="Q5" s="3847"/>
      <c r="R5" s="3852"/>
      <c r="S5" s="3853"/>
      <c r="T5" s="3852"/>
      <c r="U5" s="3853"/>
      <c r="V5" s="3826"/>
      <c r="W5" s="3826"/>
      <c r="X5" s="1380"/>
      <c r="Y5" s="3852"/>
      <c r="Z5" s="3853"/>
      <c r="AA5" s="3842"/>
      <c r="AB5" s="3842"/>
      <c r="AC5" s="3842"/>
    </row>
    <row r="6" spans="1:29" ht="14.4">
      <c r="A6" s="1193"/>
      <c r="B6" s="1194"/>
      <c r="C6" s="3818" t="s">
        <v>1157</v>
      </c>
      <c r="D6" s="3819"/>
      <c r="E6" s="3820" t="s">
        <v>1157</v>
      </c>
      <c r="F6" s="3821"/>
      <c r="G6" s="3818" t="s">
        <v>1157</v>
      </c>
      <c r="H6" s="3819"/>
      <c r="I6" s="3818" t="s">
        <v>1157</v>
      </c>
      <c r="J6" s="3819"/>
      <c r="K6" s="1336" t="s">
        <v>1158</v>
      </c>
      <c r="L6" s="1337"/>
      <c r="M6" s="1338"/>
      <c r="N6" s="1338"/>
      <c r="O6" s="1338"/>
      <c r="P6" s="3848"/>
      <c r="Q6" s="3849"/>
      <c r="R6" s="3852"/>
      <c r="S6" s="3853"/>
      <c r="T6" s="3854"/>
      <c r="U6" s="3855"/>
      <c r="V6" s="3826"/>
      <c r="W6" s="3826"/>
      <c r="X6" s="1380"/>
      <c r="Y6" s="3854"/>
      <c r="Z6" s="3855"/>
      <c r="AA6" s="3843"/>
      <c r="AB6" s="3843"/>
      <c r="AC6" s="3843"/>
    </row>
    <row r="7" spans="1:29" s="1170" customFormat="1" ht="14.4">
      <c r="A7" s="1195" t="s">
        <v>1159</v>
      </c>
      <c r="B7" s="1196"/>
      <c r="C7" s="1197">
        <f>'数据-取费表'!B2</f>
        <v>44196</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822" t="s">
        <v>1160</v>
      </c>
      <c r="Q7" s="3823"/>
      <c r="R7" s="1381" t="s">
        <v>1161</v>
      </c>
      <c r="S7" s="1382">
        <f t="shared" ref="S7:S14" si="0">F7</f>
        <v>0</v>
      </c>
      <c r="T7" s="1381" t="s">
        <v>1161</v>
      </c>
      <c r="U7" s="1382">
        <f t="shared" ref="U7:U14" si="1">H7</f>
        <v>0</v>
      </c>
      <c r="V7" s="1381" t="s">
        <v>1161</v>
      </c>
      <c r="W7" s="1382">
        <f t="shared" ref="W7:W14" si="2">J7</f>
        <v>0</v>
      </c>
      <c r="X7" s="1383"/>
      <c r="Y7" s="3822" t="s">
        <v>1160</v>
      </c>
      <c r="Z7" s="3824"/>
      <c r="AA7" s="1395" t="e">
        <f>D7/F7</f>
        <v>#DIV/0!</v>
      </c>
      <c r="AB7" s="1395" t="e">
        <f>D7/H7</f>
        <v>#DIV/0!</v>
      </c>
      <c r="AC7" s="1395" t="e">
        <f>D7/J7</f>
        <v>#DIV/0!</v>
      </c>
    </row>
    <row r="8" spans="1:29" s="1170" customFormat="1" ht="14.4">
      <c r="A8" s="1195" t="s">
        <v>1162</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36" si="3">D8/F8</f>
        <v>1</v>
      </c>
      <c r="AB8" s="1395">
        <f t="shared" ref="AB8:AB36" si="4">D8/H8</f>
        <v>1</v>
      </c>
      <c r="AC8" s="1395">
        <f t="shared" ref="AC8:AC36" si="5">D8/J8</f>
        <v>1</v>
      </c>
    </row>
    <row r="9" spans="1:29" s="1170" customFormat="1" ht="14.4">
      <c r="A9" s="1631" t="s">
        <v>1164</v>
      </c>
      <c r="B9" s="1632" t="s">
        <v>1165</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825" t="s">
        <v>1167</v>
      </c>
      <c r="Q9" s="1385" t="str">
        <f t="shared" ref="Q9:Q14" si="6">B9</f>
        <v>用途</v>
      </c>
      <c r="R9" s="1381" t="s">
        <v>1161</v>
      </c>
      <c r="S9" s="1382">
        <f t="shared" si="0"/>
        <v>100</v>
      </c>
      <c r="T9" s="1381" t="s">
        <v>1161</v>
      </c>
      <c r="U9" s="1382">
        <f t="shared" si="1"/>
        <v>100</v>
      </c>
      <c r="V9" s="1381" t="s">
        <v>1161</v>
      </c>
      <c r="W9" s="1382">
        <f t="shared" si="2"/>
        <v>100</v>
      </c>
      <c r="X9" s="1383"/>
      <c r="Y9" s="3801" t="s">
        <v>1168</v>
      </c>
      <c r="Z9" s="1396" t="str">
        <f t="shared" ref="Z9:Z14" si="7">Q9</f>
        <v>用途</v>
      </c>
      <c r="AA9" s="1395">
        <f t="shared" si="3"/>
        <v>1</v>
      </c>
      <c r="AB9" s="1395">
        <f t="shared" si="4"/>
        <v>1</v>
      </c>
      <c r="AC9" s="1395">
        <f t="shared" si="5"/>
        <v>1</v>
      </c>
    </row>
    <row r="10" spans="1:29" s="1171" customFormat="1" ht="28.8">
      <c r="A10" s="1634"/>
      <c r="B10" s="1635" t="s">
        <v>1169</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825"/>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825"/>
      <c r="Q11" s="1385">
        <f t="shared" si="6"/>
        <v>111</v>
      </c>
      <c r="R11" s="1381" t="s">
        <v>1161</v>
      </c>
      <c r="S11" s="1382">
        <f t="shared" si="0"/>
        <v>100</v>
      </c>
      <c r="T11" s="1381" t="s">
        <v>1161</v>
      </c>
      <c r="U11" s="1382">
        <f t="shared" si="1"/>
        <v>100</v>
      </c>
      <c r="V11" s="1381" t="s">
        <v>1161</v>
      </c>
      <c r="W11" s="1382">
        <f t="shared" si="2"/>
        <v>100</v>
      </c>
      <c r="X11" s="1383"/>
      <c r="Y11" s="3801"/>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825"/>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825"/>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96.6">
      <c r="A14" s="1189" t="s">
        <v>1171</v>
      </c>
      <c r="B14" s="1226" t="s">
        <v>1176</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833" t="s">
        <v>1173</v>
      </c>
      <c r="Q14" s="754" t="str">
        <f t="shared" si="6"/>
        <v>交通便捷度</v>
      </c>
      <c r="R14" s="1386" t="s">
        <v>1161</v>
      </c>
      <c r="S14" s="1387">
        <f t="shared" si="0"/>
        <v>100</v>
      </c>
      <c r="T14" s="1386" t="s">
        <v>1161</v>
      </c>
      <c r="U14" s="1387">
        <f t="shared" si="1"/>
        <v>100</v>
      </c>
      <c r="V14" s="1386" t="s">
        <v>1161</v>
      </c>
      <c r="W14" s="1387">
        <f t="shared" si="2"/>
        <v>100</v>
      </c>
      <c r="X14" s="1380"/>
      <c r="Y14" s="3833" t="s">
        <v>1173</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834"/>
      <c r="Q15" s="754"/>
      <c r="R15" s="1386"/>
      <c r="S15" s="1387"/>
      <c r="T15" s="1386"/>
      <c r="U15" s="1387"/>
      <c r="V15" s="1386"/>
      <c r="W15" s="1387"/>
      <c r="X15" s="1380"/>
      <c r="Y15" s="3834"/>
      <c r="Z15" s="1370"/>
      <c r="AA15" s="1397">
        <v>1</v>
      </c>
      <c r="AB15" s="1397">
        <v>1</v>
      </c>
      <c r="AC15" s="1397">
        <v>1</v>
      </c>
    </row>
    <row r="16" spans="1:29" ht="41.4">
      <c r="A16" s="1191"/>
      <c r="B16" s="1235" t="s">
        <v>1177</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834"/>
      <c r="Q16" s="754" t="str">
        <f>B16</f>
        <v>公共配套设施</v>
      </c>
      <c r="R16" s="1386" t="s">
        <v>1161</v>
      </c>
      <c r="S16" s="1387">
        <f>F16</f>
        <v>100</v>
      </c>
      <c r="T16" s="1386" t="s">
        <v>1161</v>
      </c>
      <c r="U16" s="1387">
        <f>H16</f>
        <v>100</v>
      </c>
      <c r="V16" s="1386" t="s">
        <v>1161</v>
      </c>
      <c r="W16" s="1387">
        <f>J16</f>
        <v>100</v>
      </c>
      <c r="X16" s="1380"/>
      <c r="Y16" s="3834"/>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834"/>
      <c r="Q17" s="754"/>
      <c r="R17" s="1386"/>
      <c r="S17" s="1387"/>
      <c r="T17" s="1386"/>
      <c r="U17" s="1387"/>
      <c r="V17" s="1386"/>
      <c r="W17" s="1387"/>
      <c r="X17" s="1380"/>
      <c r="Y17" s="3834"/>
      <c r="Z17" s="1370"/>
      <c r="AA17" s="1397">
        <v>1</v>
      </c>
      <c r="AB17" s="1397">
        <v>1</v>
      </c>
      <c r="AC17" s="1397">
        <v>1</v>
      </c>
    </row>
    <row r="18" spans="1:29" ht="41.4">
      <c r="A18" s="1191"/>
      <c r="B18" s="1242" t="s">
        <v>1178</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834"/>
      <c r="Q18" s="754" t="str">
        <f>B18</f>
        <v>基础设施水平</v>
      </c>
      <c r="R18" s="1386" t="s">
        <v>1161</v>
      </c>
      <c r="S18" s="1387">
        <f>F18</f>
        <v>100</v>
      </c>
      <c r="T18" s="1386" t="s">
        <v>1161</v>
      </c>
      <c r="U18" s="1387">
        <f>H18</f>
        <v>100</v>
      </c>
      <c r="V18" s="1386" t="s">
        <v>1161</v>
      </c>
      <c r="W18" s="1387">
        <f>J18</f>
        <v>100</v>
      </c>
      <c r="X18" s="1380"/>
      <c r="Y18" s="3834"/>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834"/>
      <c r="Q19" s="754"/>
      <c r="R19" s="1386"/>
      <c r="S19" s="1387"/>
      <c r="T19" s="1386"/>
      <c r="U19" s="1387"/>
      <c r="V19" s="1386"/>
      <c r="W19" s="1387"/>
      <c r="X19" s="1380"/>
      <c r="Y19" s="3834"/>
      <c r="Z19" s="1370"/>
      <c r="AA19" s="1397">
        <v>1</v>
      </c>
      <c r="AB19" s="1397">
        <v>1</v>
      </c>
      <c r="AC19" s="1397">
        <v>1</v>
      </c>
    </row>
    <row r="20" spans="1:29" ht="55.2">
      <c r="A20" s="1191"/>
      <c r="B20" s="1235" t="s">
        <v>1179</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834"/>
      <c r="Q20" s="754" t="str">
        <f>B20</f>
        <v>自然及人文环境</v>
      </c>
      <c r="R20" s="1386" t="s">
        <v>1161</v>
      </c>
      <c r="S20" s="1387">
        <f>F20</f>
        <v>100</v>
      </c>
      <c r="T20" s="1386" t="s">
        <v>1161</v>
      </c>
      <c r="U20" s="1387">
        <f>H20</f>
        <v>100</v>
      </c>
      <c r="V20" s="1386" t="s">
        <v>1161</v>
      </c>
      <c r="W20" s="1387">
        <f>J20</f>
        <v>100</v>
      </c>
      <c r="X20" s="1380"/>
      <c r="Y20" s="3834"/>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834"/>
      <c r="Q21" s="754"/>
      <c r="R21" s="1386"/>
      <c r="S21" s="1387"/>
      <c r="T21" s="1386"/>
      <c r="U21" s="1387"/>
      <c r="V21" s="1386"/>
      <c r="W21" s="1387"/>
      <c r="X21" s="1380"/>
      <c r="Y21" s="3834"/>
      <c r="Z21" s="1370"/>
      <c r="AA21" s="1397">
        <v>1</v>
      </c>
      <c r="AB21" s="1397">
        <v>1</v>
      </c>
      <c r="AC21" s="1397">
        <v>1</v>
      </c>
    </row>
    <row r="22" spans="1:29" ht="15">
      <c r="A22" s="1191"/>
      <c r="B22" s="1235" t="s">
        <v>1186</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834"/>
      <c r="Q22" s="754" t="str">
        <f>B22</f>
        <v>楼层</v>
      </c>
      <c r="R22" s="1386" t="s">
        <v>1161</v>
      </c>
      <c r="S22" s="1387">
        <f>F22</f>
        <v>100</v>
      </c>
      <c r="T22" s="1386" t="s">
        <v>1161</v>
      </c>
      <c r="U22" s="1387">
        <f>H22</f>
        <v>100</v>
      </c>
      <c r="V22" s="1386" t="s">
        <v>1161</v>
      </c>
      <c r="W22" s="1387">
        <f>J22</f>
        <v>100</v>
      </c>
      <c r="X22" s="1380"/>
      <c r="Y22" s="3834"/>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834"/>
      <c r="Q23" s="754">
        <f>B23</f>
        <v>111</v>
      </c>
      <c r="R23" s="1386" t="s">
        <v>1161</v>
      </c>
      <c r="S23" s="1387">
        <f>F23</f>
        <v>100</v>
      </c>
      <c r="T23" s="1386" t="s">
        <v>1161</v>
      </c>
      <c r="U23" s="1387">
        <f>H23</f>
        <v>100</v>
      </c>
      <c r="V23" s="1386" t="s">
        <v>1161</v>
      </c>
      <c r="W23" s="1387">
        <f>J23</f>
        <v>100</v>
      </c>
      <c r="X23" s="1380"/>
      <c r="Y23" s="3834"/>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834"/>
      <c r="Q24" s="754">
        <f t="shared" ref="Q24:Q36" si="11">B24</f>
        <v>111</v>
      </c>
      <c r="R24" s="1386" t="s">
        <v>1161</v>
      </c>
      <c r="S24" s="1387">
        <f>F24</f>
        <v>100</v>
      </c>
      <c r="T24" s="1386" t="s">
        <v>1161</v>
      </c>
      <c r="U24" s="1387">
        <f>H24</f>
        <v>100</v>
      </c>
      <c r="V24" s="1386" t="s">
        <v>1161</v>
      </c>
      <c r="W24" s="1387">
        <f>J24</f>
        <v>100</v>
      </c>
      <c r="X24" s="1380"/>
      <c r="Y24" s="3834"/>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834"/>
      <c r="Q25" s="1385">
        <f t="shared" si="11"/>
        <v>111</v>
      </c>
      <c r="R25" s="1381" t="s">
        <v>1161</v>
      </c>
      <c r="S25" s="1382">
        <f>F25</f>
        <v>100</v>
      </c>
      <c r="T25" s="1381" t="s">
        <v>1161</v>
      </c>
      <c r="U25" s="1382">
        <f>H25</f>
        <v>100</v>
      </c>
      <c r="V25" s="1381" t="s">
        <v>1161</v>
      </c>
      <c r="W25" s="1382">
        <f>J25</f>
        <v>100</v>
      </c>
      <c r="X25" s="1383"/>
      <c r="Y25" s="3834"/>
      <c r="Z25" s="1396">
        <f>Q25</f>
        <v>111</v>
      </c>
      <c r="AA25" s="1397">
        <f t="shared" si="3"/>
        <v>1</v>
      </c>
      <c r="AB25" s="1397">
        <f t="shared" si="4"/>
        <v>1</v>
      </c>
      <c r="AC25" s="1397">
        <f t="shared" si="5"/>
        <v>1</v>
      </c>
    </row>
    <row r="26" spans="1:29" ht="30">
      <c r="A26" s="1647" t="s">
        <v>1187</v>
      </c>
      <c r="B26" s="1648" t="s">
        <v>1741</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97" t="s">
        <v>1189</v>
      </c>
      <c r="Q26" s="754" t="str">
        <f t="shared" si="11"/>
        <v>配套类型</v>
      </c>
      <c r="R26" s="1386" t="s">
        <v>1161</v>
      </c>
      <c r="S26" s="1387">
        <f t="shared" ref="S26:S36" si="12">F26</f>
        <v>0</v>
      </c>
      <c r="T26" s="1386" t="s">
        <v>1161</v>
      </c>
      <c r="U26" s="1387">
        <f t="shared" ref="U26:U36" si="13">H26</f>
        <v>0</v>
      </c>
      <c r="V26" s="1386" t="s">
        <v>1161</v>
      </c>
      <c r="W26" s="1387">
        <f t="shared" ref="W26:W36" si="14">J26</f>
        <v>0</v>
      </c>
      <c r="X26" s="1380"/>
      <c r="Y26" s="3835" t="s">
        <v>1189</v>
      </c>
      <c r="Z26" s="1370" t="str">
        <f t="shared" ref="Z26:Z36" si="15">Q26</f>
        <v>配套类型</v>
      </c>
      <c r="AA26" s="1397" t="e">
        <f t="shared" si="3"/>
        <v>#DIV/0!</v>
      </c>
      <c r="AB26" s="1397" t="e">
        <f t="shared" si="4"/>
        <v>#DIV/0!</v>
      </c>
      <c r="AC26" s="1397" t="e">
        <f t="shared" si="5"/>
        <v>#DIV/0!</v>
      </c>
    </row>
    <row r="27" spans="1:29" s="1172" customFormat="1" ht="15">
      <c r="A27" s="1650"/>
      <c r="B27" s="1248" t="s">
        <v>1742</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835"/>
      <c r="Q27" s="1614" t="str">
        <f t="shared" si="11"/>
        <v>项目停车位配比</v>
      </c>
      <c r="R27" s="1388" t="s">
        <v>1161</v>
      </c>
      <c r="S27" s="1389">
        <f t="shared" si="12"/>
        <v>100</v>
      </c>
      <c r="T27" s="1388" t="s">
        <v>1161</v>
      </c>
      <c r="U27" s="1389">
        <f t="shared" si="13"/>
        <v>100</v>
      </c>
      <c r="V27" s="1388" t="s">
        <v>1161</v>
      </c>
      <c r="W27" s="1389">
        <f t="shared" si="14"/>
        <v>100</v>
      </c>
      <c r="X27" s="1390"/>
      <c r="Y27" s="3835"/>
      <c r="Z27" s="1398" t="str">
        <f t="shared" si="15"/>
        <v>项目停车位配比</v>
      </c>
      <c r="AA27" s="1397">
        <f t="shared" si="3"/>
        <v>1</v>
      </c>
      <c r="AB27" s="1397">
        <f t="shared" si="4"/>
        <v>1</v>
      </c>
      <c r="AC27" s="1397">
        <f t="shared" si="5"/>
        <v>1</v>
      </c>
    </row>
    <row r="28" spans="1:29" ht="15">
      <c r="A28" s="1652"/>
      <c r="B28" s="1248" t="s">
        <v>1192</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835"/>
      <c r="Q28" s="754" t="str">
        <f t="shared" si="11"/>
        <v>公共部分装修</v>
      </c>
      <c r="R28" s="1386" t="s">
        <v>1161</v>
      </c>
      <c r="S28" s="1387">
        <f t="shared" si="12"/>
        <v>100</v>
      </c>
      <c r="T28" s="1386" t="s">
        <v>1161</v>
      </c>
      <c r="U28" s="1387">
        <f t="shared" si="13"/>
        <v>100</v>
      </c>
      <c r="V28" s="1386" t="s">
        <v>1161</v>
      </c>
      <c r="W28" s="1387">
        <f t="shared" si="14"/>
        <v>100</v>
      </c>
      <c r="X28" s="1380"/>
      <c r="Y28" s="3835"/>
      <c r="Z28" s="1370" t="str">
        <f t="shared" si="15"/>
        <v>公共部分装修</v>
      </c>
      <c r="AA28" s="1397">
        <f t="shared" si="3"/>
        <v>1</v>
      </c>
      <c r="AB28" s="1397">
        <f t="shared" si="4"/>
        <v>1</v>
      </c>
      <c r="AC28" s="1397">
        <f t="shared" si="5"/>
        <v>1</v>
      </c>
    </row>
    <row r="29" spans="1:29" ht="15">
      <c r="A29" s="1652"/>
      <c r="B29" s="1248" t="s">
        <v>1743</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835"/>
      <c r="Q29" s="754" t="str">
        <f t="shared" si="11"/>
        <v>成新率</v>
      </c>
      <c r="R29" s="1386" t="s">
        <v>1161</v>
      </c>
      <c r="S29" s="1387" t="e">
        <f t="shared" si="12"/>
        <v>#N/A</v>
      </c>
      <c r="T29" s="1386" t="s">
        <v>1161</v>
      </c>
      <c r="U29" s="1387" t="e">
        <f t="shared" si="13"/>
        <v>#N/A</v>
      </c>
      <c r="V29" s="1386" t="s">
        <v>1161</v>
      </c>
      <c r="W29" s="1387" t="e">
        <f t="shared" si="14"/>
        <v>#N/A</v>
      </c>
      <c r="X29" s="1380"/>
      <c r="Y29" s="3835"/>
      <c r="Z29" s="1370" t="str">
        <f t="shared" si="15"/>
        <v>成新率</v>
      </c>
      <c r="AA29" s="1397" t="e">
        <f t="shared" si="3"/>
        <v>#N/A</v>
      </c>
      <c r="AB29" s="1397" t="e">
        <f t="shared" si="4"/>
        <v>#N/A</v>
      </c>
      <c r="AC29" s="1397" t="e">
        <f t="shared" si="5"/>
        <v>#N/A</v>
      </c>
    </row>
    <row r="30" spans="1:29" ht="15">
      <c r="A30" s="1652"/>
      <c r="B30" s="1248" t="s">
        <v>1744</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835"/>
      <c r="Q30" s="754" t="str">
        <f t="shared" si="11"/>
        <v>物业等级</v>
      </c>
      <c r="R30" s="1386" t="s">
        <v>1161</v>
      </c>
      <c r="S30" s="1387">
        <f t="shared" si="12"/>
        <v>100</v>
      </c>
      <c r="T30" s="1386" t="s">
        <v>1161</v>
      </c>
      <c r="U30" s="1387">
        <f t="shared" si="13"/>
        <v>100</v>
      </c>
      <c r="V30" s="1386" t="s">
        <v>1161</v>
      </c>
      <c r="W30" s="1387">
        <f t="shared" si="14"/>
        <v>100</v>
      </c>
      <c r="X30" s="1380"/>
      <c r="Y30" s="3835"/>
      <c r="Z30" s="1370" t="str">
        <f t="shared" si="15"/>
        <v>物业等级</v>
      </c>
      <c r="AA30" s="1397">
        <f t="shared" si="3"/>
        <v>1</v>
      </c>
      <c r="AB30" s="1397">
        <f t="shared" si="4"/>
        <v>1</v>
      </c>
      <c r="AC30" s="1397">
        <f t="shared" si="5"/>
        <v>1</v>
      </c>
    </row>
    <row r="31" spans="1:29" s="1170" customFormat="1" ht="15">
      <c r="A31" s="1653"/>
      <c r="B31" s="1248" t="s">
        <v>1745</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835"/>
      <c r="Q31" s="1385" t="str">
        <f t="shared" si="11"/>
        <v>停车位面积</v>
      </c>
      <c r="R31" s="1381" t="s">
        <v>1161</v>
      </c>
      <c r="S31" s="1382" t="e">
        <f t="shared" si="12"/>
        <v>#N/A</v>
      </c>
      <c r="T31" s="1381" t="s">
        <v>1161</v>
      </c>
      <c r="U31" s="1382" t="e">
        <f t="shared" si="13"/>
        <v>#N/A</v>
      </c>
      <c r="V31" s="1381" t="s">
        <v>1161</v>
      </c>
      <c r="W31" s="1382" t="e">
        <f t="shared" si="14"/>
        <v>#N/A</v>
      </c>
      <c r="X31" s="1383"/>
      <c r="Y31" s="3835"/>
      <c r="Z31" s="1396" t="str">
        <f t="shared" si="15"/>
        <v>停车位面积</v>
      </c>
      <c r="AA31" s="1395" t="e">
        <f t="shared" si="3"/>
        <v>#N/A</v>
      </c>
      <c r="AB31" s="1395" t="e">
        <f t="shared" si="4"/>
        <v>#N/A</v>
      </c>
      <c r="AC31" s="1395" t="e">
        <f t="shared" si="5"/>
        <v>#N/A</v>
      </c>
    </row>
    <row r="32" spans="1:29" ht="15">
      <c r="A32" s="1652"/>
      <c r="B32" s="1248" t="s">
        <v>1746</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835" t="s">
        <v>1189</v>
      </c>
      <c r="Q32" s="754" t="str">
        <f t="shared" si="11"/>
        <v>车位类型</v>
      </c>
      <c r="R32" s="1386" t="s">
        <v>1161</v>
      </c>
      <c r="S32" s="1387">
        <f t="shared" si="12"/>
        <v>100</v>
      </c>
      <c r="T32" s="1386" t="s">
        <v>1161</v>
      </c>
      <c r="U32" s="1387">
        <f t="shared" si="13"/>
        <v>100</v>
      </c>
      <c r="V32" s="1386" t="s">
        <v>1161</v>
      </c>
      <c r="W32" s="1387">
        <f t="shared" si="14"/>
        <v>100</v>
      </c>
      <c r="X32" s="1380"/>
      <c r="Y32" s="3835" t="s">
        <v>1189</v>
      </c>
      <c r="Z32" s="1370" t="str">
        <f t="shared" si="15"/>
        <v>车位类型</v>
      </c>
      <c r="AA32" s="1397">
        <f t="shared" si="3"/>
        <v>1</v>
      </c>
      <c r="AB32" s="1397">
        <f t="shared" si="4"/>
        <v>1</v>
      </c>
      <c r="AC32" s="1397">
        <f t="shared" si="5"/>
        <v>1</v>
      </c>
    </row>
    <row r="33" spans="1:29" ht="15">
      <c r="A33" s="1652"/>
      <c r="B33" s="1248" t="s">
        <v>1747</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835"/>
      <c r="Q33" s="754" t="str">
        <f t="shared" si="11"/>
        <v>是否直接入户</v>
      </c>
      <c r="R33" s="1386" t="s">
        <v>1161</v>
      </c>
      <c r="S33" s="1387">
        <f t="shared" si="12"/>
        <v>100</v>
      </c>
      <c r="T33" s="1386" t="s">
        <v>1161</v>
      </c>
      <c r="U33" s="1387">
        <f t="shared" si="13"/>
        <v>100</v>
      </c>
      <c r="V33" s="1386" t="s">
        <v>1161</v>
      </c>
      <c r="W33" s="1387">
        <f t="shared" si="14"/>
        <v>100</v>
      </c>
      <c r="X33" s="1380"/>
      <c r="Y33" s="3835"/>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835"/>
      <c r="Q34" s="754">
        <f t="shared" si="11"/>
        <v>111</v>
      </c>
      <c r="R34" s="1386" t="s">
        <v>1161</v>
      </c>
      <c r="S34" s="1387">
        <f t="shared" si="12"/>
        <v>100</v>
      </c>
      <c r="T34" s="1386" t="s">
        <v>1161</v>
      </c>
      <c r="U34" s="1387">
        <f t="shared" si="13"/>
        <v>100</v>
      </c>
      <c r="V34" s="1386" t="s">
        <v>1161</v>
      </c>
      <c r="W34" s="1387">
        <f t="shared" si="14"/>
        <v>100</v>
      </c>
      <c r="X34" s="1380"/>
      <c r="Y34" s="3835"/>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835"/>
      <c r="Q35" s="1614">
        <f t="shared" si="11"/>
        <v>111</v>
      </c>
      <c r="R35" s="1388" t="s">
        <v>1161</v>
      </c>
      <c r="S35" s="1389">
        <f t="shared" si="12"/>
        <v>100</v>
      </c>
      <c r="T35" s="1388" t="s">
        <v>1161</v>
      </c>
      <c r="U35" s="1389">
        <f t="shared" si="13"/>
        <v>100</v>
      </c>
      <c r="V35" s="1388" t="s">
        <v>1161</v>
      </c>
      <c r="W35" s="1389">
        <f t="shared" si="14"/>
        <v>100</v>
      </c>
      <c r="X35" s="1390"/>
      <c r="Y35" s="3835"/>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835"/>
      <c r="Q36" s="754">
        <f t="shared" si="11"/>
        <v>111</v>
      </c>
      <c r="R36" s="1386" t="s">
        <v>1161</v>
      </c>
      <c r="S36" s="1387">
        <f t="shared" si="12"/>
        <v>100</v>
      </c>
      <c r="T36" s="1386" t="s">
        <v>1161</v>
      </c>
      <c r="U36" s="1387">
        <f t="shared" si="13"/>
        <v>100</v>
      </c>
      <c r="V36" s="1386" t="s">
        <v>1161</v>
      </c>
      <c r="W36" s="1387">
        <f t="shared" si="14"/>
        <v>100</v>
      </c>
      <c r="X36" s="1380"/>
      <c r="Y36" s="3835"/>
      <c r="Z36" s="1370">
        <f t="shared" si="15"/>
        <v>111</v>
      </c>
      <c r="AA36" s="1397">
        <f t="shared" si="3"/>
        <v>1</v>
      </c>
      <c r="AB36" s="1397">
        <f t="shared" si="4"/>
        <v>1</v>
      </c>
      <c r="AC36" s="1397">
        <f t="shared" si="5"/>
        <v>1</v>
      </c>
    </row>
    <row r="37" spans="1:29" ht="14.4">
      <c r="A37" s="1269" t="s">
        <v>1748</v>
      </c>
      <c r="B37" s="1655" t="s">
        <v>1749</v>
      </c>
      <c r="C37" s="1590" t="s">
        <v>124</v>
      </c>
      <c r="D37" s="1591"/>
      <c r="E37" s="1592"/>
      <c r="F37" s="1593"/>
      <c r="G37" s="1594"/>
      <c r="H37" s="1595"/>
      <c r="I37" s="1592"/>
      <c r="J37" s="1595"/>
      <c r="K37" s="1664"/>
      <c r="L37" s="1362"/>
      <c r="M37" s="1286"/>
      <c r="N37" s="1338"/>
      <c r="O37" s="1286"/>
      <c r="P37" s="3825" t="str">
        <f>A37</f>
        <v>成交单价</v>
      </c>
      <c r="Q37" s="3825"/>
      <c r="R37" s="3837">
        <f>E37</f>
        <v>0</v>
      </c>
      <c r="S37" s="3837"/>
      <c r="T37" s="3837">
        <f>G37</f>
        <v>0</v>
      </c>
      <c r="U37" s="3837"/>
      <c r="V37" s="3837">
        <f>I37</f>
        <v>0</v>
      </c>
      <c r="W37" s="3837"/>
      <c r="X37" s="1326"/>
      <c r="Y37" s="1399"/>
      <c r="Z37" s="1326"/>
      <c r="AA37" s="1326"/>
      <c r="AB37" s="1326"/>
      <c r="AC37" s="1326"/>
    </row>
    <row r="38" spans="1:29" ht="14.4">
      <c r="A38" s="1277" t="s">
        <v>1201</v>
      </c>
      <c r="B38" s="1596" t="str">
        <f>B37</f>
        <v>元/平方米</v>
      </c>
      <c r="C38" s="1597" t="e">
        <f>R39</f>
        <v>#DIV/0!</v>
      </c>
      <c r="D38" s="1280" t="s">
        <v>1202</v>
      </c>
      <c r="E38" s="1598" t="e">
        <f>R38</f>
        <v>#DIV/0!</v>
      </c>
      <c r="F38" s="1281"/>
      <c r="G38" s="1597" t="e">
        <f>T38</f>
        <v>#DIV/0!</v>
      </c>
      <c r="H38" s="1281"/>
      <c r="I38" s="1598" t="e">
        <f>V38</f>
        <v>#DIV/0!</v>
      </c>
      <c r="J38" s="1281"/>
      <c r="K38" s="1363">
        <f>F38+H38+J38</f>
        <v>0</v>
      </c>
      <c r="L38" s="1362"/>
      <c r="M38" s="1286"/>
      <c r="N38" s="1286"/>
      <c r="O38" s="1286"/>
      <c r="P38" s="3825" t="str">
        <f>A38</f>
        <v>比较价值（元/平方米）</v>
      </c>
      <c r="Q38" s="3825"/>
      <c r="R38" s="3837" t="e">
        <f>IF(F1="售价",ROUND(PRODUCT(R37,AA7:AA36),0),ROUND(PRODUCT(R37,AA7:AA36),1))</f>
        <v>#DIV/0!</v>
      </c>
      <c r="S38" s="3837"/>
      <c r="T38" s="3837" t="e">
        <f>IF(F1="售价",ROUND(PRODUCT(T37,AB7:AB36),0),ROUND(PRODUCT(T37,AB7:AB36),1))</f>
        <v>#DIV/0!</v>
      </c>
      <c r="U38" s="3837"/>
      <c r="V38" s="3837" t="e">
        <f>IF(F1="售价",ROUND(PRODUCT(V37,AC7:AC36),0),ROUND(PRODUCT(V37,AC7:AC36),1))</f>
        <v>#DIV/0!</v>
      </c>
      <c r="W38" s="3837"/>
      <c r="X38" s="1326"/>
      <c r="Y38" s="1326"/>
      <c r="Z38" s="1326"/>
      <c r="AA38" s="1326"/>
      <c r="AB38" s="1326"/>
      <c r="AC38" s="1326"/>
    </row>
    <row r="39" spans="1:29" ht="14.4">
      <c r="A39" s="1283" t="s">
        <v>1750</v>
      </c>
      <c r="B39" s="1284"/>
      <c r="C39" s="1599" t="e">
        <f>R39</f>
        <v>#DIV/0!</v>
      </c>
      <c r="D39" s="1599"/>
      <c r="E39" s="1599"/>
      <c r="F39" s="1599"/>
      <c r="G39" s="1599"/>
      <c r="H39" s="1599"/>
      <c r="I39" s="1599"/>
      <c r="J39" s="1599"/>
      <c r="K39" s="1665"/>
      <c r="L39" s="1362"/>
      <c r="M39" s="1286"/>
      <c r="N39" s="1286"/>
      <c r="O39" s="1286"/>
      <c r="P39" s="3838" t="str">
        <f>A39</f>
        <v>估价对象XX用房的比较价值（楼面单价，元/平方米）</v>
      </c>
      <c r="Q39" s="3839"/>
      <c r="R39" s="3898" t="e">
        <f>IF(F1="售价",ROUND(IF(D38="简单平均",AVERAGE(R38:W38),R38*F38+T38*H38+V38*J38),0),ROUND(IF(D38="简单平均",AVERAGE(R38:V38),R38*F38+T38*H38+V38*J38),1))</f>
        <v>#DIV/0!</v>
      </c>
      <c r="S39" s="3898"/>
      <c r="T39" s="3898"/>
      <c r="U39" s="3898"/>
      <c r="V39" s="3898"/>
      <c r="W39" s="3898"/>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1204</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1205</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1206</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6">
      <c r="A47" s="1656" t="s">
        <v>1207</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4.4">
      <c r="A48" s="1601" t="s">
        <v>1159</v>
      </c>
      <c r="B48" s="1602"/>
      <c r="C48" s="1603" t="str">
        <f>YEAR(C7)&amp;"-"&amp;MONTH(C7)</f>
        <v>2020-12</v>
      </c>
      <c r="D48" s="1604">
        <f>EDATE(C48,-1)</f>
        <v>44136</v>
      </c>
      <c r="E48" s="1604">
        <f t="shared" ref="E48:O48" si="16">EDATE(D48,-1)</f>
        <v>44105</v>
      </c>
      <c r="F48" s="1604">
        <f t="shared" si="16"/>
        <v>44075</v>
      </c>
      <c r="G48" s="1604">
        <f t="shared" si="16"/>
        <v>44044</v>
      </c>
      <c r="H48" s="1604">
        <f t="shared" si="16"/>
        <v>44013</v>
      </c>
      <c r="I48" s="1604">
        <f t="shared" si="16"/>
        <v>43983</v>
      </c>
      <c r="J48" s="1604">
        <f t="shared" si="16"/>
        <v>43952</v>
      </c>
      <c r="K48" s="1604">
        <f t="shared" si="16"/>
        <v>43922</v>
      </c>
      <c r="L48" s="1604">
        <f t="shared" si="16"/>
        <v>43891</v>
      </c>
      <c r="M48" s="1604">
        <f t="shared" si="16"/>
        <v>43862</v>
      </c>
      <c r="N48" s="1604">
        <f t="shared" si="16"/>
        <v>43831</v>
      </c>
      <c r="O48" s="1604">
        <f t="shared" si="16"/>
        <v>43800</v>
      </c>
      <c r="P48" s="1669"/>
      <c r="Q48" s="1510"/>
      <c r="R48" s="1510"/>
      <c r="S48" s="1510"/>
      <c r="T48" s="1510"/>
      <c r="U48" s="1510"/>
      <c r="V48" s="1510"/>
      <c r="W48" s="1510"/>
      <c r="X48" s="1510"/>
      <c r="Y48" s="1510"/>
      <c r="Z48" s="1510"/>
      <c r="AA48" s="1510"/>
      <c r="AB48" s="1510"/>
      <c r="AC48" s="1510"/>
    </row>
    <row r="49" spans="1:29" s="1170" customFormat="1">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4.4">
      <c r="A50" s="1406" t="s">
        <v>1208</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4.4">
      <c r="A51" s="1410" t="s">
        <v>1162</v>
      </c>
      <c r="B51" s="1411"/>
      <c r="C51" s="1412" t="s">
        <v>1209</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ht="14.4">
      <c r="A53" s="1416" t="s">
        <v>1210</v>
      </c>
      <c r="B53" s="1417" t="s">
        <v>1165</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8.8">
      <c r="A55" s="1418"/>
      <c r="B55" s="1421" t="s">
        <v>1169</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ht="14.4">
      <c r="A63" s="1416" t="s">
        <v>1171</v>
      </c>
      <c r="B63" s="1417" t="s">
        <v>1176</v>
      </c>
      <c r="C63" s="1438" t="s">
        <v>1212</v>
      </c>
      <c r="D63" s="1438" t="s">
        <v>1213</v>
      </c>
      <c r="E63" s="1438" t="s">
        <v>1214</v>
      </c>
      <c r="F63" s="1438" t="s">
        <v>1215</v>
      </c>
      <c r="G63" s="1438" t="s">
        <v>1216</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4.4">
      <c r="A65" s="1418"/>
      <c r="B65" s="1421" t="s">
        <v>1177</v>
      </c>
      <c r="C65" s="1440" t="s">
        <v>1212</v>
      </c>
      <c r="D65" s="1440" t="s">
        <v>1213</v>
      </c>
      <c r="E65" s="1440" t="s">
        <v>1214</v>
      </c>
      <c r="F65" s="1440" t="s">
        <v>1215</v>
      </c>
      <c r="G65" s="1440" t="s">
        <v>1216</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4.4">
      <c r="A67" s="1418"/>
      <c r="B67" s="1425" t="s">
        <v>1178</v>
      </c>
      <c r="C67" s="1445" t="s">
        <v>1217</v>
      </c>
      <c r="D67" s="1445" t="s">
        <v>1218</v>
      </c>
      <c r="E67" s="1445" t="s">
        <v>1219</v>
      </c>
      <c r="F67" s="1445" t="s">
        <v>1220</v>
      </c>
      <c r="G67" s="1445" t="s">
        <v>1221</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4.4">
      <c r="A69" s="1418"/>
      <c r="B69" s="1421" t="s">
        <v>1179</v>
      </c>
      <c r="C69" s="1440" t="s">
        <v>1212</v>
      </c>
      <c r="D69" s="1440" t="s">
        <v>1213</v>
      </c>
      <c r="E69" s="1440" t="s">
        <v>1214</v>
      </c>
      <c r="F69" s="1440" t="s">
        <v>1215</v>
      </c>
      <c r="G69" s="1440" t="s">
        <v>1216</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4.4">
      <c r="A71" s="1418"/>
      <c r="B71" s="1421" t="s">
        <v>1186</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8.8">
      <c r="A79" s="1416" t="s">
        <v>1187</v>
      </c>
      <c r="B79" s="1417" t="s">
        <v>1751</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4.4">
      <c r="A81" s="1418"/>
      <c r="B81" s="1421" t="s">
        <v>1742</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ht="14.4">
      <c r="A83" s="1452"/>
      <c r="B83" s="1421" t="s">
        <v>1192</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ht="14.4">
      <c r="A85" s="1452"/>
      <c r="B85" s="1421" t="s">
        <v>1743</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ht="14.4">
      <c r="A88" s="1452"/>
      <c r="B88" s="1425" t="s">
        <v>1744</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ht="14.4">
      <c r="A90" s="1449"/>
      <c r="B90" s="1421" t="s">
        <v>1745</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ht="14.4">
      <c r="A93" s="1452"/>
      <c r="B93" s="1421" t="s">
        <v>1746</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ht="14.4">
      <c r="A95" s="1452"/>
      <c r="B95" s="1421" t="s">
        <v>1747</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1738</v>
      </c>
      <c r="B1" s="1550" t="s">
        <v>1752</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t="e">
        <f>IF(C2="——",C37,ROUND(B2*10000/D3,0))</f>
        <v>#DIV/0!</v>
      </c>
      <c r="C3" s="1562" t="s">
        <v>1148</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42" t="s">
        <v>1152</v>
      </c>
      <c r="AC4" s="3841" t="s">
        <v>1153</v>
      </c>
    </row>
    <row r="5" spans="1:29">
      <c r="A5" s="1191"/>
      <c r="B5" s="1192"/>
      <c r="C5" s="3814" t="s">
        <v>1156</v>
      </c>
      <c r="D5" s="3815"/>
      <c r="E5" s="3816" t="s">
        <v>1697</v>
      </c>
      <c r="F5" s="3817"/>
      <c r="G5" s="3814" t="s">
        <v>1698</v>
      </c>
      <c r="H5" s="3815"/>
      <c r="I5" s="3814" t="s">
        <v>1699</v>
      </c>
      <c r="J5" s="3815"/>
      <c r="K5" s="1336"/>
      <c r="L5" s="1337"/>
      <c r="M5" s="1338"/>
      <c r="N5" s="1338"/>
      <c r="O5" s="1338"/>
      <c r="P5" s="3846"/>
      <c r="Q5" s="3847"/>
      <c r="R5" s="3852"/>
      <c r="S5" s="3853"/>
      <c r="T5" s="3852"/>
      <c r="U5" s="3853"/>
      <c r="V5" s="3826"/>
      <c r="W5" s="3826"/>
      <c r="X5" s="1380"/>
      <c r="Y5" s="3852"/>
      <c r="Z5" s="3853"/>
      <c r="AA5" s="3842"/>
      <c r="AB5" s="3842"/>
      <c r="AC5" s="3842"/>
    </row>
    <row r="6" spans="1:29" ht="14.4">
      <c r="A6" s="1193"/>
      <c r="B6" s="1194"/>
      <c r="C6" s="3818" t="s">
        <v>1157</v>
      </c>
      <c r="D6" s="3819"/>
      <c r="E6" s="3820" t="s">
        <v>1157</v>
      </c>
      <c r="F6" s="3821"/>
      <c r="G6" s="3818" t="s">
        <v>1157</v>
      </c>
      <c r="H6" s="3819"/>
      <c r="I6" s="3818" t="s">
        <v>1157</v>
      </c>
      <c r="J6" s="3819"/>
      <c r="K6" s="1336" t="s">
        <v>1158</v>
      </c>
      <c r="L6" s="1337"/>
      <c r="M6" s="1338"/>
      <c r="N6" s="1338"/>
      <c r="O6" s="1338"/>
      <c r="P6" s="3848"/>
      <c r="Q6" s="3849"/>
      <c r="R6" s="3852"/>
      <c r="S6" s="3853"/>
      <c r="T6" s="3854"/>
      <c r="U6" s="3855"/>
      <c r="V6" s="3826"/>
      <c r="W6" s="3826"/>
      <c r="X6" s="1380"/>
      <c r="Y6" s="3854"/>
      <c r="Z6" s="3855"/>
      <c r="AA6" s="3843"/>
      <c r="AB6" s="3843"/>
      <c r="AC6" s="3843"/>
    </row>
    <row r="7" spans="1:29" s="1170" customFormat="1" ht="14.4">
      <c r="A7" s="1195" t="s">
        <v>1159</v>
      </c>
      <c r="B7" s="1196"/>
      <c r="C7" s="1197">
        <f>'数据-取费表'!B2</f>
        <v>44196</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822" t="s">
        <v>1160</v>
      </c>
      <c r="Q7" s="3823"/>
      <c r="R7" s="1381" t="s">
        <v>1161</v>
      </c>
      <c r="S7" s="1382">
        <f t="shared" ref="S7:S14" si="0">F7</f>
        <v>0</v>
      </c>
      <c r="T7" s="1381" t="s">
        <v>1161</v>
      </c>
      <c r="U7" s="1382">
        <f t="shared" ref="U7:U14" si="1">H7</f>
        <v>0</v>
      </c>
      <c r="V7" s="1381" t="s">
        <v>1161</v>
      </c>
      <c r="W7" s="1382">
        <f t="shared" ref="W7:W14" si="2">J7</f>
        <v>0</v>
      </c>
      <c r="X7" s="1383"/>
      <c r="Y7" s="3822" t="s">
        <v>1160</v>
      </c>
      <c r="Z7" s="3824"/>
      <c r="AA7" s="1395" t="e">
        <f>D7/F7</f>
        <v>#DIV/0!</v>
      </c>
      <c r="AB7" s="1395" t="e">
        <f>D7/H7</f>
        <v>#DIV/0!</v>
      </c>
      <c r="AC7" s="1395" t="e">
        <f>D7/J7</f>
        <v>#DIV/0!</v>
      </c>
    </row>
    <row r="8" spans="1:29" s="1170" customFormat="1" ht="14.4">
      <c r="A8" s="1195" t="s">
        <v>1162</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822" t="s">
        <v>1163</v>
      </c>
      <c r="Q8" s="3824"/>
      <c r="R8" s="1381" t="s">
        <v>1161</v>
      </c>
      <c r="S8" s="1382">
        <f t="shared" si="0"/>
        <v>100</v>
      </c>
      <c r="T8" s="1381" t="s">
        <v>1161</v>
      </c>
      <c r="U8" s="1382">
        <f t="shared" si="1"/>
        <v>100</v>
      </c>
      <c r="V8" s="1381" t="s">
        <v>1161</v>
      </c>
      <c r="W8" s="1382">
        <f t="shared" si="2"/>
        <v>100</v>
      </c>
      <c r="X8" s="1383"/>
      <c r="Y8" s="3822" t="s">
        <v>1163</v>
      </c>
      <c r="Z8" s="3824"/>
      <c r="AA8" s="1395">
        <f t="shared" ref="AA8:AA34" si="3">D8/F8</f>
        <v>1</v>
      </c>
      <c r="AB8" s="1395">
        <f t="shared" ref="AB8:AB34" si="4">D8/H8</f>
        <v>1</v>
      </c>
      <c r="AC8" s="1395">
        <f t="shared" ref="AC8:AC34" si="5">D8/J8</f>
        <v>1</v>
      </c>
    </row>
    <row r="9" spans="1:29" s="1170" customFormat="1" ht="14.4">
      <c r="A9" s="1203" t="s">
        <v>1164</v>
      </c>
      <c r="B9" s="1204" t="s">
        <v>1165</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825" t="s">
        <v>1167</v>
      </c>
      <c r="Q9" s="1385" t="str">
        <f t="shared" ref="Q9:Q14" si="6">B9</f>
        <v>用途</v>
      </c>
      <c r="R9" s="1381" t="s">
        <v>1161</v>
      </c>
      <c r="S9" s="1382">
        <f t="shared" si="0"/>
        <v>100</v>
      </c>
      <c r="T9" s="1381" t="s">
        <v>1161</v>
      </c>
      <c r="U9" s="1382">
        <f t="shared" si="1"/>
        <v>100</v>
      </c>
      <c r="V9" s="1381" t="s">
        <v>1161</v>
      </c>
      <c r="W9" s="1382">
        <f t="shared" si="2"/>
        <v>100</v>
      </c>
      <c r="X9" s="1383"/>
      <c r="Y9" s="3801" t="s">
        <v>1168</v>
      </c>
      <c r="Z9" s="1396" t="str">
        <f t="shared" ref="Z9:Z14" si="7">Q9</f>
        <v>用途</v>
      </c>
      <c r="AA9" s="1395">
        <f t="shared" si="3"/>
        <v>1</v>
      </c>
      <c r="AB9" s="1395">
        <f t="shared" si="4"/>
        <v>1</v>
      </c>
      <c r="AC9" s="1395">
        <f t="shared" si="5"/>
        <v>1</v>
      </c>
    </row>
    <row r="10" spans="1:29" s="1171" customFormat="1" ht="28.8">
      <c r="A10" s="1207"/>
      <c r="B10" s="1208" t="s">
        <v>1169</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825"/>
      <c r="Q10" s="1385" t="str">
        <f t="shared" si="6"/>
        <v>土地使用年限（年）</v>
      </c>
      <c r="R10" s="1381" t="s">
        <v>1161</v>
      </c>
      <c r="S10" s="1382">
        <f t="shared" si="0"/>
        <v>100</v>
      </c>
      <c r="T10" s="1381" t="s">
        <v>1161</v>
      </c>
      <c r="U10" s="1382">
        <f t="shared" si="1"/>
        <v>100</v>
      </c>
      <c r="V10" s="1381" t="s">
        <v>1161</v>
      </c>
      <c r="W10" s="1382">
        <f t="shared" si="2"/>
        <v>100</v>
      </c>
      <c r="X10" s="1383"/>
      <c r="Y10" s="3801"/>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825"/>
      <c r="Q11" s="1385">
        <f t="shared" si="6"/>
        <v>111</v>
      </c>
      <c r="R11" s="1381" t="s">
        <v>1161</v>
      </c>
      <c r="S11" s="1382">
        <f t="shared" si="0"/>
        <v>100</v>
      </c>
      <c r="T11" s="1381" t="s">
        <v>1161</v>
      </c>
      <c r="U11" s="1382">
        <f t="shared" si="1"/>
        <v>100</v>
      </c>
      <c r="V11" s="1381" t="s">
        <v>1161</v>
      </c>
      <c r="W11" s="1382">
        <f t="shared" si="2"/>
        <v>100</v>
      </c>
      <c r="X11" s="1383"/>
      <c r="Y11" s="3801"/>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825"/>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825"/>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96.6">
      <c r="A14" s="1225" t="s">
        <v>1171</v>
      </c>
      <c r="B14" s="1518" t="s">
        <v>1176</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833" t="s">
        <v>1173</v>
      </c>
      <c r="Q14" s="754" t="str">
        <f t="shared" si="6"/>
        <v>交通便捷度</v>
      </c>
      <c r="R14" s="1386" t="s">
        <v>1161</v>
      </c>
      <c r="S14" s="1387">
        <f t="shared" si="0"/>
        <v>100</v>
      </c>
      <c r="T14" s="1386" t="s">
        <v>1161</v>
      </c>
      <c r="U14" s="1387">
        <f t="shared" si="1"/>
        <v>100</v>
      </c>
      <c r="V14" s="1386" t="s">
        <v>1161</v>
      </c>
      <c r="W14" s="1387">
        <f t="shared" si="2"/>
        <v>100</v>
      </c>
      <c r="X14" s="1380"/>
      <c r="Y14" s="3833" t="s">
        <v>1173</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834"/>
      <c r="Q15" s="754"/>
      <c r="R15" s="1386"/>
      <c r="S15" s="1387"/>
      <c r="T15" s="1386"/>
      <c r="U15" s="1387"/>
      <c r="V15" s="1386"/>
      <c r="W15" s="1387"/>
      <c r="X15" s="1380"/>
      <c r="Y15" s="3834"/>
      <c r="Z15" s="1370"/>
      <c r="AA15" s="1397">
        <v>1</v>
      </c>
      <c r="AB15" s="1397">
        <v>1</v>
      </c>
      <c r="AC15" s="1397">
        <v>1</v>
      </c>
    </row>
    <row r="16" spans="1:29" ht="41.4">
      <c r="A16" s="1211"/>
      <c r="B16" s="1521" t="s">
        <v>1177</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834"/>
      <c r="Q16" s="754" t="str">
        <f>B16</f>
        <v>公共配套设施</v>
      </c>
      <c r="R16" s="1386" t="s">
        <v>1161</v>
      </c>
      <c r="S16" s="1387">
        <f>F16</f>
        <v>100</v>
      </c>
      <c r="T16" s="1386" t="s">
        <v>1161</v>
      </c>
      <c r="U16" s="1387">
        <f>H16</f>
        <v>100</v>
      </c>
      <c r="V16" s="1386" t="s">
        <v>1161</v>
      </c>
      <c r="W16" s="1387">
        <f>J16</f>
        <v>100</v>
      </c>
      <c r="X16" s="1380"/>
      <c r="Y16" s="3834"/>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834"/>
      <c r="Q17" s="754"/>
      <c r="R17" s="1386"/>
      <c r="S17" s="1387"/>
      <c r="T17" s="1386"/>
      <c r="U17" s="1387"/>
      <c r="V17" s="1386"/>
      <c r="W17" s="1387"/>
      <c r="X17" s="1380"/>
      <c r="Y17" s="3834"/>
      <c r="Z17" s="1370"/>
      <c r="AA17" s="1397">
        <v>1</v>
      </c>
      <c r="AB17" s="1397">
        <v>1</v>
      </c>
      <c r="AC17" s="1397">
        <v>1</v>
      </c>
    </row>
    <row r="18" spans="1:29" ht="41.4">
      <c r="A18" s="1211"/>
      <c r="B18" s="1525" t="s">
        <v>1178</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834"/>
      <c r="Q18" s="754" t="str">
        <f>B18</f>
        <v>基础设施水平</v>
      </c>
      <c r="R18" s="1386" t="s">
        <v>1161</v>
      </c>
      <c r="S18" s="1387">
        <f>F18</f>
        <v>100</v>
      </c>
      <c r="T18" s="1386" t="s">
        <v>1161</v>
      </c>
      <c r="U18" s="1387">
        <f>H18</f>
        <v>100</v>
      </c>
      <c r="V18" s="1386" t="s">
        <v>1161</v>
      </c>
      <c r="W18" s="1387">
        <f>J18</f>
        <v>100</v>
      </c>
      <c r="X18" s="1380"/>
      <c r="Y18" s="3834"/>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834"/>
      <c r="Q19" s="754"/>
      <c r="R19" s="1386"/>
      <c r="S19" s="1387"/>
      <c r="T19" s="1386"/>
      <c r="U19" s="1387"/>
      <c r="V19" s="1386"/>
      <c r="W19" s="1387"/>
      <c r="X19" s="1380"/>
      <c r="Y19" s="3834"/>
      <c r="Z19" s="1370"/>
      <c r="AA19" s="1397">
        <v>1</v>
      </c>
      <c r="AB19" s="1397">
        <v>1</v>
      </c>
      <c r="AC19" s="1397">
        <v>1</v>
      </c>
    </row>
    <row r="20" spans="1:29" ht="55.2">
      <c r="A20" s="1211"/>
      <c r="B20" s="1521" t="s">
        <v>1179</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834"/>
      <c r="Q20" s="754" t="str">
        <f>B20</f>
        <v>自然及人文环境</v>
      </c>
      <c r="R20" s="1386" t="s">
        <v>1161</v>
      </c>
      <c r="S20" s="1387">
        <f>F20</f>
        <v>100</v>
      </c>
      <c r="T20" s="1386" t="s">
        <v>1161</v>
      </c>
      <c r="U20" s="1387">
        <f>H20</f>
        <v>100</v>
      </c>
      <c r="V20" s="1386" t="s">
        <v>1161</v>
      </c>
      <c r="W20" s="1387">
        <f>J20</f>
        <v>100</v>
      </c>
      <c r="X20" s="1380"/>
      <c r="Y20" s="3834"/>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834"/>
      <c r="Q21" s="754"/>
      <c r="R21" s="1386"/>
      <c r="S21" s="1387"/>
      <c r="T21" s="1386"/>
      <c r="U21" s="1387"/>
      <c r="V21" s="1386"/>
      <c r="W21" s="1387"/>
      <c r="X21" s="1380"/>
      <c r="Y21" s="3834"/>
      <c r="Z21" s="1370"/>
      <c r="AA21" s="1397">
        <v>1</v>
      </c>
      <c r="AB21" s="1397">
        <v>1</v>
      </c>
      <c r="AC21" s="1397">
        <v>1</v>
      </c>
    </row>
    <row r="22" spans="1:29" ht="15">
      <c r="A22" s="1211"/>
      <c r="B22" s="1521" t="s">
        <v>1186</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834"/>
      <c r="Q22" s="754" t="str">
        <f>B22</f>
        <v>楼层</v>
      </c>
      <c r="R22" s="1386" t="s">
        <v>1161</v>
      </c>
      <c r="S22" s="1387">
        <f>F22</f>
        <v>100</v>
      </c>
      <c r="T22" s="1386" t="s">
        <v>1161</v>
      </c>
      <c r="U22" s="1387">
        <f>H22</f>
        <v>100</v>
      </c>
      <c r="V22" s="1386" t="s">
        <v>1161</v>
      </c>
      <c r="W22" s="1387">
        <f>J22</f>
        <v>100</v>
      </c>
      <c r="X22" s="1380"/>
      <c r="Y22" s="3834"/>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834"/>
      <c r="Q23" s="754">
        <f>B23</f>
        <v>111</v>
      </c>
      <c r="R23" s="1386" t="s">
        <v>1161</v>
      </c>
      <c r="S23" s="1387">
        <f>F23</f>
        <v>100</v>
      </c>
      <c r="T23" s="1386" t="s">
        <v>1161</v>
      </c>
      <c r="U23" s="1387">
        <f>H23</f>
        <v>100</v>
      </c>
      <c r="V23" s="1386" t="s">
        <v>1161</v>
      </c>
      <c r="W23" s="1387">
        <f>J23</f>
        <v>100</v>
      </c>
      <c r="X23" s="1380"/>
      <c r="Y23" s="3834"/>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834"/>
      <c r="Q24" s="754">
        <f t="shared" ref="Q24:Q34" si="11">B24</f>
        <v>111</v>
      </c>
      <c r="R24" s="1386" t="s">
        <v>1161</v>
      </c>
      <c r="S24" s="1387">
        <f>F24</f>
        <v>100</v>
      </c>
      <c r="T24" s="1386" t="s">
        <v>1161</v>
      </c>
      <c r="U24" s="1387">
        <f>H24</f>
        <v>100</v>
      </c>
      <c r="V24" s="1386" t="s">
        <v>1161</v>
      </c>
      <c r="W24" s="1387">
        <f>J24</f>
        <v>100</v>
      </c>
      <c r="X24" s="1380"/>
      <c r="Y24" s="3834"/>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834"/>
      <c r="Q25" s="1385">
        <f t="shared" si="11"/>
        <v>111</v>
      </c>
      <c r="R25" s="1381" t="s">
        <v>1161</v>
      </c>
      <c r="S25" s="1382">
        <f>F25</f>
        <v>100</v>
      </c>
      <c r="T25" s="1381" t="s">
        <v>1161</v>
      </c>
      <c r="U25" s="1382">
        <f>H25</f>
        <v>100</v>
      </c>
      <c r="V25" s="1381" t="s">
        <v>1161</v>
      </c>
      <c r="W25" s="1382">
        <f>J25</f>
        <v>100</v>
      </c>
      <c r="X25" s="1383"/>
      <c r="Y25" s="3834"/>
      <c r="Z25" s="1396">
        <f>Q25</f>
        <v>111</v>
      </c>
      <c r="AA25" s="1397">
        <f t="shared" si="3"/>
        <v>1</v>
      </c>
      <c r="AB25" s="1397">
        <f t="shared" si="4"/>
        <v>1</v>
      </c>
      <c r="AC25" s="1397">
        <f t="shared" si="5"/>
        <v>1</v>
      </c>
    </row>
    <row r="26" spans="1:29" ht="30">
      <c r="A26" s="1579" t="s">
        <v>1187</v>
      </c>
      <c r="B26" s="1204" t="s">
        <v>1192</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97" t="s">
        <v>1189</v>
      </c>
      <c r="Q26" s="754" t="str">
        <f t="shared" si="11"/>
        <v>公共部分装修</v>
      </c>
      <c r="R26" s="1386" t="s">
        <v>1161</v>
      </c>
      <c r="S26" s="1387">
        <f t="shared" ref="S26:S34" si="12">F26</f>
        <v>100</v>
      </c>
      <c r="T26" s="1386" t="s">
        <v>1161</v>
      </c>
      <c r="U26" s="1387">
        <f t="shared" ref="U26:U34" si="13">H26</f>
        <v>100</v>
      </c>
      <c r="V26" s="1386" t="s">
        <v>1161</v>
      </c>
      <c r="W26" s="1387">
        <f t="shared" ref="W26:W34" si="14">J26</f>
        <v>100</v>
      </c>
      <c r="X26" s="1380"/>
      <c r="Y26" s="3835" t="s">
        <v>1189</v>
      </c>
      <c r="Z26" s="1370" t="str">
        <f t="shared" ref="Z26:Z34" si="15">Q26</f>
        <v>公共部分装修</v>
      </c>
      <c r="AA26" s="1397">
        <f t="shared" si="3"/>
        <v>1</v>
      </c>
      <c r="AB26" s="1397">
        <f t="shared" si="4"/>
        <v>1</v>
      </c>
      <c r="AC26" s="1397">
        <f t="shared" si="5"/>
        <v>1</v>
      </c>
    </row>
    <row r="27" spans="1:29" s="1172" customFormat="1" ht="15">
      <c r="A27" s="1267"/>
      <c r="B27" s="1208" t="s">
        <v>1743</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835"/>
      <c r="Q27" s="1614" t="str">
        <f t="shared" si="11"/>
        <v>成新率</v>
      </c>
      <c r="R27" s="1388" t="s">
        <v>1161</v>
      </c>
      <c r="S27" s="1389" t="e">
        <f t="shared" si="12"/>
        <v>#N/A</v>
      </c>
      <c r="T27" s="1388" t="s">
        <v>1161</v>
      </c>
      <c r="U27" s="1389" t="e">
        <f t="shared" si="13"/>
        <v>#N/A</v>
      </c>
      <c r="V27" s="1388" t="s">
        <v>1161</v>
      </c>
      <c r="W27" s="1389" t="e">
        <f t="shared" si="14"/>
        <v>#N/A</v>
      </c>
      <c r="X27" s="1390"/>
      <c r="Y27" s="3835"/>
      <c r="Z27" s="1398" t="str">
        <f t="shared" si="15"/>
        <v>成新率</v>
      </c>
      <c r="AA27" s="1397" t="e">
        <f t="shared" si="3"/>
        <v>#N/A</v>
      </c>
      <c r="AB27" s="1397" t="e">
        <f t="shared" si="4"/>
        <v>#N/A</v>
      </c>
      <c r="AC27" s="1397" t="e">
        <f t="shared" si="5"/>
        <v>#N/A</v>
      </c>
    </row>
    <row r="28" spans="1:29" ht="15">
      <c r="A28" s="1262"/>
      <c r="B28" s="1208" t="s">
        <v>1744</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835"/>
      <c r="Q28" s="754" t="str">
        <f t="shared" si="11"/>
        <v>物业等级</v>
      </c>
      <c r="R28" s="1386" t="s">
        <v>1161</v>
      </c>
      <c r="S28" s="1387">
        <f t="shared" si="12"/>
        <v>100</v>
      </c>
      <c r="T28" s="1386" t="s">
        <v>1161</v>
      </c>
      <c r="U28" s="1387">
        <f t="shared" si="13"/>
        <v>100</v>
      </c>
      <c r="V28" s="1386" t="s">
        <v>1161</v>
      </c>
      <c r="W28" s="1387">
        <f t="shared" si="14"/>
        <v>100</v>
      </c>
      <c r="X28" s="1380"/>
      <c r="Y28" s="3835"/>
      <c r="Z28" s="1370" t="str">
        <f t="shared" si="15"/>
        <v>物业等级</v>
      </c>
      <c r="AA28" s="1397">
        <f t="shared" si="3"/>
        <v>1</v>
      </c>
      <c r="AB28" s="1397">
        <f t="shared" si="4"/>
        <v>1</v>
      </c>
      <c r="AC28" s="1397">
        <f t="shared" si="5"/>
        <v>1</v>
      </c>
    </row>
    <row r="29" spans="1:29" ht="15">
      <c r="A29" s="1262"/>
      <c r="B29" s="1208" t="s">
        <v>1753</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835"/>
      <c r="Q29" s="754" t="str">
        <f t="shared" si="11"/>
        <v>有无电梯</v>
      </c>
      <c r="R29" s="1386" t="s">
        <v>1161</v>
      </c>
      <c r="S29" s="1387">
        <f t="shared" si="12"/>
        <v>100</v>
      </c>
      <c r="T29" s="1386" t="s">
        <v>1161</v>
      </c>
      <c r="U29" s="1387">
        <f t="shared" si="13"/>
        <v>100</v>
      </c>
      <c r="V29" s="1386" t="s">
        <v>1161</v>
      </c>
      <c r="W29" s="1387">
        <f t="shared" si="14"/>
        <v>100</v>
      </c>
      <c r="X29" s="1380"/>
      <c r="Y29" s="3835"/>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835"/>
      <c r="Q30" s="754" t="str">
        <f t="shared" si="11"/>
        <v>建筑面积</v>
      </c>
      <c r="R30" s="1386" t="s">
        <v>1161</v>
      </c>
      <c r="S30" s="1387" t="e">
        <f t="shared" si="12"/>
        <v>#N/A</v>
      </c>
      <c r="T30" s="1386" t="s">
        <v>1161</v>
      </c>
      <c r="U30" s="1387" t="e">
        <f t="shared" si="13"/>
        <v>#N/A</v>
      </c>
      <c r="V30" s="1386" t="s">
        <v>1161</v>
      </c>
      <c r="W30" s="1387" t="e">
        <f t="shared" si="14"/>
        <v>#N/A</v>
      </c>
      <c r="X30" s="1380"/>
      <c r="Y30" s="3835"/>
      <c r="Z30" s="1370" t="str">
        <f t="shared" si="15"/>
        <v>建筑面积</v>
      </c>
      <c r="AA30" s="1397" t="e">
        <f t="shared" si="3"/>
        <v>#N/A</v>
      </c>
      <c r="AB30" s="1397" t="e">
        <f t="shared" si="4"/>
        <v>#N/A</v>
      </c>
      <c r="AC30" s="1397" t="e">
        <f t="shared" si="5"/>
        <v>#N/A</v>
      </c>
    </row>
    <row r="31" spans="1:29" s="1170" customFormat="1" ht="15">
      <c r="A31" s="1264"/>
      <c r="B31" s="1208" t="s">
        <v>1754</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835"/>
      <c r="Q31" s="1385" t="str">
        <f t="shared" si="11"/>
        <v>是否封闭</v>
      </c>
      <c r="R31" s="1381" t="s">
        <v>1161</v>
      </c>
      <c r="S31" s="1382">
        <f t="shared" si="12"/>
        <v>100</v>
      </c>
      <c r="T31" s="1381" t="s">
        <v>1161</v>
      </c>
      <c r="U31" s="1382">
        <f t="shared" si="13"/>
        <v>100</v>
      </c>
      <c r="V31" s="1381" t="s">
        <v>1161</v>
      </c>
      <c r="W31" s="1382">
        <f t="shared" si="14"/>
        <v>100</v>
      </c>
      <c r="X31" s="1383"/>
      <c r="Y31" s="3835"/>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835" t="s">
        <v>1189</v>
      </c>
      <c r="Q32" s="754">
        <f t="shared" si="11"/>
        <v>111</v>
      </c>
      <c r="R32" s="1386" t="s">
        <v>1161</v>
      </c>
      <c r="S32" s="1387">
        <f t="shared" si="12"/>
        <v>100</v>
      </c>
      <c r="T32" s="1386" t="s">
        <v>1161</v>
      </c>
      <c r="U32" s="1387">
        <f t="shared" si="13"/>
        <v>100</v>
      </c>
      <c r="V32" s="1386" t="s">
        <v>1161</v>
      </c>
      <c r="W32" s="1387">
        <f t="shared" si="14"/>
        <v>100</v>
      </c>
      <c r="X32" s="1380"/>
      <c r="Y32" s="3835" t="s">
        <v>1189</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835"/>
      <c r="Q33" s="754">
        <f t="shared" si="11"/>
        <v>111</v>
      </c>
      <c r="R33" s="1386" t="s">
        <v>1161</v>
      </c>
      <c r="S33" s="1387">
        <f t="shared" si="12"/>
        <v>100</v>
      </c>
      <c r="T33" s="1386" t="s">
        <v>1161</v>
      </c>
      <c r="U33" s="1387">
        <f t="shared" si="13"/>
        <v>100</v>
      </c>
      <c r="V33" s="1386" t="s">
        <v>1161</v>
      </c>
      <c r="W33" s="1387">
        <f t="shared" si="14"/>
        <v>100</v>
      </c>
      <c r="X33" s="1380"/>
      <c r="Y33" s="3835"/>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835"/>
      <c r="Q34" s="754">
        <f t="shared" si="11"/>
        <v>111</v>
      </c>
      <c r="R34" s="1386" t="s">
        <v>1161</v>
      </c>
      <c r="S34" s="1387">
        <f t="shared" si="12"/>
        <v>100</v>
      </c>
      <c r="T34" s="1386" t="s">
        <v>1161</v>
      </c>
      <c r="U34" s="1387">
        <f t="shared" si="13"/>
        <v>100</v>
      </c>
      <c r="V34" s="1386" t="s">
        <v>1161</v>
      </c>
      <c r="W34" s="1387">
        <f t="shared" si="14"/>
        <v>100</v>
      </c>
      <c r="X34" s="1380"/>
      <c r="Y34" s="3835"/>
      <c r="Z34" s="1370">
        <f t="shared" si="15"/>
        <v>111</v>
      </c>
      <c r="AA34" s="1397">
        <f t="shared" si="3"/>
        <v>1</v>
      </c>
      <c r="AB34" s="1397">
        <f t="shared" si="4"/>
        <v>1</v>
      </c>
      <c r="AC34" s="1397">
        <f t="shared" si="5"/>
        <v>1</v>
      </c>
    </row>
    <row r="35" spans="1:30" ht="14.4">
      <c r="A35" s="1269" t="s">
        <v>1200</v>
      </c>
      <c r="B35" s="1589"/>
      <c r="C35" s="1590" t="s">
        <v>124</v>
      </c>
      <c r="D35" s="1591"/>
      <c r="E35" s="1592"/>
      <c r="F35" s="1593"/>
      <c r="G35" s="1594"/>
      <c r="H35" s="1595"/>
      <c r="I35" s="1592"/>
      <c r="J35" s="1595"/>
      <c r="K35" s="1361"/>
      <c r="L35" s="1362"/>
      <c r="M35" s="1286"/>
      <c r="N35" s="1338"/>
      <c r="O35" s="1286"/>
      <c r="P35" s="3825" t="str">
        <f>A35</f>
        <v>成交单价（元/平方米）</v>
      </c>
      <c r="Q35" s="3825"/>
      <c r="R35" s="3837">
        <f>E35</f>
        <v>0</v>
      </c>
      <c r="S35" s="3837"/>
      <c r="T35" s="3837">
        <f>G35</f>
        <v>0</v>
      </c>
      <c r="U35" s="3837"/>
      <c r="V35" s="3837">
        <f>I35</f>
        <v>0</v>
      </c>
      <c r="W35" s="3837"/>
      <c r="X35" s="1326"/>
      <c r="Y35" s="1399"/>
      <c r="Z35" s="1326"/>
      <c r="AA35" s="1326"/>
      <c r="AB35" s="1326"/>
      <c r="AC35" s="1326"/>
    </row>
    <row r="36" spans="1:30" ht="14.4">
      <c r="A36" s="1277" t="s">
        <v>1201</v>
      </c>
      <c r="B36" s="1596"/>
      <c r="C36" s="1597" t="e">
        <f>R37</f>
        <v>#DIV/0!</v>
      </c>
      <c r="D36" s="1280" t="s">
        <v>1202</v>
      </c>
      <c r="E36" s="1598" t="e">
        <f>R36</f>
        <v>#DIV/0!</v>
      </c>
      <c r="F36" s="1281"/>
      <c r="G36" s="1597" t="e">
        <f>T36</f>
        <v>#DIV/0!</v>
      </c>
      <c r="H36" s="1281"/>
      <c r="I36" s="1598" t="e">
        <f>V36</f>
        <v>#DIV/0!</v>
      </c>
      <c r="J36" s="1281"/>
      <c r="K36" s="1363">
        <f>F36+H36+J36</f>
        <v>0</v>
      </c>
      <c r="L36" s="1362"/>
      <c r="M36" s="1286"/>
      <c r="N36" s="1338"/>
      <c r="O36" s="1286"/>
      <c r="P36" s="3825" t="str">
        <f>A36</f>
        <v>比较价值（元/平方米）</v>
      </c>
      <c r="Q36" s="3825"/>
      <c r="R36" s="3837" t="e">
        <f>IF(F1="售价",ROUND(PRODUCT(R35,AA7:AA34),0),ROUND(PRODUCT(R35,AA7:AA34),1))</f>
        <v>#DIV/0!</v>
      </c>
      <c r="S36" s="3837"/>
      <c r="T36" s="3837" t="e">
        <f>IF(F1="售价",ROUND(PRODUCT(T35,AB7:AB34),0),ROUND(PRODUCT(T35,AB7:AB34),1))</f>
        <v>#DIV/0!</v>
      </c>
      <c r="U36" s="3837"/>
      <c r="V36" s="3837" t="e">
        <f>IF(F1="售价",ROUND(PRODUCT(V35,AC7:AC34),0),ROUND(PRODUCT(V35,AC7:AC34),1))</f>
        <v>#DIV/0!</v>
      </c>
      <c r="W36" s="3837"/>
      <c r="X36" s="1326"/>
      <c r="Y36" s="1326"/>
      <c r="Z36" s="1326"/>
      <c r="AA36" s="1326"/>
      <c r="AB36" s="1326"/>
      <c r="AC36" s="1326"/>
    </row>
    <row r="37" spans="1:30" ht="14.4">
      <c r="A37" s="1283" t="s">
        <v>1203</v>
      </c>
      <c r="B37" s="1284"/>
      <c r="C37" s="1599" t="e">
        <f>R37</f>
        <v>#DIV/0!</v>
      </c>
      <c r="D37" s="1599"/>
      <c r="E37" s="1599"/>
      <c r="F37" s="1599"/>
      <c r="G37" s="1599"/>
      <c r="H37" s="1599"/>
      <c r="I37" s="1599"/>
      <c r="J37" s="1599"/>
      <c r="K37" s="1364"/>
      <c r="L37" s="1362"/>
      <c r="M37" s="1286"/>
      <c r="N37" s="1286"/>
      <c r="O37" s="1286"/>
      <c r="P37" s="3838" t="str">
        <f>A37</f>
        <v>估价对象XX用房的比较价值（楼面单价，元/平方米）</v>
      </c>
      <c r="Q37" s="3839"/>
      <c r="R37" s="3898" t="e">
        <f>IF(F1="售价",ROUND(IF(D36="简单平均",AVERAGE(R36:W36),R36*F36+T36*H36+V36*J36),0),ROUND(IF(D36="简单平均",AVERAGE(R36:V36),R36*F36+T36*H36+V36*J36),1))</f>
        <v>#DIV/0!</v>
      </c>
      <c r="S37" s="3898"/>
      <c r="T37" s="3898"/>
      <c r="U37" s="3898"/>
      <c r="V37" s="3898"/>
      <c r="W37" s="3898"/>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1204</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1205</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1206</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6">
      <c r="A45" s="1325" t="s">
        <v>1207</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4.4">
      <c r="A46" s="1601" t="s">
        <v>1159</v>
      </c>
      <c r="B46" s="1602"/>
      <c r="C46" s="1603" t="str">
        <f>YEAR(C7)&amp;"-"&amp;MONTH(C7)</f>
        <v>2020-12</v>
      </c>
      <c r="D46" s="1604">
        <f>EDATE(C46,-1)</f>
        <v>44136</v>
      </c>
      <c r="E46" s="1604">
        <f t="shared" ref="E46:O46" si="16">EDATE(D46,-1)</f>
        <v>44105</v>
      </c>
      <c r="F46" s="1604">
        <f t="shared" si="16"/>
        <v>44075</v>
      </c>
      <c r="G46" s="1604">
        <f t="shared" si="16"/>
        <v>44044</v>
      </c>
      <c r="H46" s="1604">
        <f t="shared" si="16"/>
        <v>44013</v>
      </c>
      <c r="I46" s="1604">
        <f t="shared" si="16"/>
        <v>43983</v>
      </c>
      <c r="J46" s="1604">
        <f t="shared" si="16"/>
        <v>43952</v>
      </c>
      <c r="K46" s="1604">
        <f t="shared" si="16"/>
        <v>43922</v>
      </c>
      <c r="L46" s="1604">
        <f t="shared" si="16"/>
        <v>43891</v>
      </c>
      <c r="M46" s="1604">
        <f t="shared" si="16"/>
        <v>43862</v>
      </c>
      <c r="N46" s="1604">
        <f t="shared" si="16"/>
        <v>43831</v>
      </c>
      <c r="O46" s="1604">
        <f t="shared" si="16"/>
        <v>43800</v>
      </c>
      <c r="P46" s="1454"/>
      <c r="Q46" s="1510"/>
      <c r="R46" s="1510"/>
      <c r="S46" s="1510"/>
      <c r="T46" s="1510"/>
      <c r="U46" s="1510"/>
      <c r="V46" s="1510"/>
      <c r="W46" s="1510"/>
      <c r="X46" s="1510"/>
      <c r="Y46" s="1510"/>
      <c r="Z46" s="1510"/>
      <c r="AA46" s="1510"/>
      <c r="AB46" s="1510"/>
      <c r="AC46" s="1510"/>
      <c r="AD46" s="1510"/>
    </row>
    <row r="47" spans="1:30" s="1170" customFormat="1">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4.4">
      <c r="A48" s="1406" t="s">
        <v>1208</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4.4">
      <c r="A49" s="1410" t="s">
        <v>1162</v>
      </c>
      <c r="B49" s="1411"/>
      <c r="C49" s="1412" t="s">
        <v>1209</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ht="14.4">
      <c r="A51" s="1416" t="s">
        <v>1210</v>
      </c>
      <c r="B51" s="1417" t="s">
        <v>1165</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8.8">
      <c r="A53" s="1418"/>
      <c r="B53" s="1421" t="s">
        <v>1169</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ht="14.4">
      <c r="A61" s="1416" t="s">
        <v>1171</v>
      </c>
      <c r="B61" s="1417" t="s">
        <v>1176</v>
      </c>
      <c r="C61" s="1438" t="s">
        <v>1212</v>
      </c>
      <c r="D61" s="1438" t="s">
        <v>1213</v>
      </c>
      <c r="E61" s="1438" t="s">
        <v>1214</v>
      </c>
      <c r="F61" s="1438" t="s">
        <v>1215</v>
      </c>
      <c r="G61" s="1438" t="s">
        <v>1216</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8.8">
      <c r="A63" s="1418"/>
      <c r="B63" s="1421" t="s">
        <v>1755</v>
      </c>
      <c r="C63" s="1440" t="s">
        <v>1212</v>
      </c>
      <c r="D63" s="1440" t="s">
        <v>1213</v>
      </c>
      <c r="E63" s="1440" t="s">
        <v>1214</v>
      </c>
      <c r="F63" s="1440" t="s">
        <v>1215</v>
      </c>
      <c r="G63" s="1440" t="s">
        <v>1216</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4.4">
      <c r="A65" s="1418"/>
      <c r="B65" s="1425" t="s">
        <v>1178</v>
      </c>
      <c r="C65" s="1445" t="s">
        <v>1217</v>
      </c>
      <c r="D65" s="1445" t="s">
        <v>1218</v>
      </c>
      <c r="E65" s="1445" t="s">
        <v>1219</v>
      </c>
      <c r="F65" s="1445" t="s">
        <v>1220</v>
      </c>
      <c r="G65" s="1445" t="s">
        <v>1221</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4.4">
      <c r="A67" s="1418"/>
      <c r="B67" s="1421" t="s">
        <v>1179</v>
      </c>
      <c r="C67" s="1440" t="s">
        <v>1212</v>
      </c>
      <c r="D67" s="1440" t="s">
        <v>1213</v>
      </c>
      <c r="E67" s="1440" t="s">
        <v>1214</v>
      </c>
      <c r="F67" s="1440" t="s">
        <v>1215</v>
      </c>
      <c r="G67" s="1440" t="s">
        <v>1216</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4.4">
      <c r="A69" s="1418"/>
      <c r="B69" s="1421" t="s">
        <v>1186</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ht="14.4">
      <c r="A77" s="1416" t="s">
        <v>1187</v>
      </c>
      <c r="B77" s="1417" t="s">
        <v>1192</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4.4">
      <c r="A79" s="1418"/>
      <c r="B79" s="1421" t="s">
        <v>1743</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ht="14.4">
      <c r="A82" s="1452"/>
      <c r="B82" s="1425" t="s">
        <v>1744</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ht="14.4">
      <c r="A84" s="1452"/>
      <c r="B84" s="1421" t="s">
        <v>1753</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ht="14.4">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ht="14.4">
      <c r="A89" s="1449"/>
      <c r="B89" s="1421" t="s">
        <v>1754</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176" customWidth="1"/>
    <col min="2" max="2" width="15.77734375" style="1176" customWidth="1"/>
    <col min="3" max="3" width="14.33203125" style="1176" customWidth="1"/>
    <col min="4" max="4" width="14.1093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30" s="1169" customFormat="1" ht="28.5" customHeight="1">
      <c r="A1" s="1179" t="s">
        <v>1756</v>
      </c>
      <c r="B1" s="1180"/>
      <c r="C1" s="1181" t="s">
        <v>1757</v>
      </c>
      <c r="D1" s="1182"/>
      <c r="E1" s="1182"/>
      <c r="F1" s="1183" t="s">
        <v>1147</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997</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999</v>
      </c>
      <c r="B3" s="1187" t="e">
        <f>ROUND(IF(D3="",B2*10000/'数据-汇总表'!E3,B2*10000/D3),0)</f>
        <v>#DIV/0!</v>
      </c>
      <c r="C3" s="471" t="s">
        <v>1148</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42" t="s">
        <v>1152</v>
      </c>
      <c r="AC4" s="3841" t="s">
        <v>1153</v>
      </c>
    </row>
    <row r="5" spans="1:30">
      <c r="A5" s="1191"/>
      <c r="B5" s="1192"/>
      <c r="C5" s="3814" t="s">
        <v>1156</v>
      </c>
      <c r="D5" s="3815"/>
      <c r="E5" s="3816" t="s">
        <v>1697</v>
      </c>
      <c r="F5" s="3817"/>
      <c r="G5" s="3814" t="s">
        <v>1698</v>
      </c>
      <c r="H5" s="3815"/>
      <c r="I5" s="3814" t="s">
        <v>1699</v>
      </c>
      <c r="J5" s="3815"/>
      <c r="K5" s="1336"/>
      <c r="L5" s="1337"/>
      <c r="M5" s="1338"/>
      <c r="N5" s="1338"/>
      <c r="O5" s="1338"/>
      <c r="P5" s="3846"/>
      <c r="Q5" s="3847"/>
      <c r="R5" s="3852"/>
      <c r="S5" s="3853"/>
      <c r="T5" s="3852"/>
      <c r="U5" s="3853"/>
      <c r="V5" s="3826"/>
      <c r="W5" s="3826"/>
      <c r="X5" s="1380"/>
      <c r="Y5" s="3852"/>
      <c r="Z5" s="3853"/>
      <c r="AA5" s="3842"/>
      <c r="AB5" s="3842"/>
      <c r="AC5" s="3842"/>
    </row>
    <row r="6" spans="1:30" ht="14.4">
      <c r="A6" s="1193"/>
      <c r="B6" s="1194"/>
      <c r="C6" s="3818" t="s">
        <v>1157</v>
      </c>
      <c r="D6" s="3819"/>
      <c r="E6" s="3820" t="s">
        <v>1157</v>
      </c>
      <c r="F6" s="3821"/>
      <c r="G6" s="3818" t="s">
        <v>1157</v>
      </c>
      <c r="H6" s="3819"/>
      <c r="I6" s="3818" t="s">
        <v>1157</v>
      </c>
      <c r="J6" s="3819"/>
      <c r="K6" s="1336" t="s">
        <v>1158</v>
      </c>
      <c r="L6" s="1337"/>
      <c r="M6" s="1338"/>
      <c r="N6" s="1338"/>
      <c r="O6" s="1338"/>
      <c r="P6" s="3848"/>
      <c r="Q6" s="3849"/>
      <c r="R6" s="3852"/>
      <c r="S6" s="3853"/>
      <c r="T6" s="3854"/>
      <c r="U6" s="3855"/>
      <c r="V6" s="3826"/>
      <c r="W6" s="3826"/>
      <c r="X6" s="1380"/>
      <c r="Y6" s="3854"/>
      <c r="Z6" s="3855"/>
      <c r="AA6" s="3843"/>
      <c r="AB6" s="3843"/>
      <c r="AC6" s="3843"/>
    </row>
    <row r="7" spans="1:30" s="1170" customFormat="1" ht="14.4">
      <c r="A7" s="1195" t="s">
        <v>1159</v>
      </c>
      <c r="B7" s="1196"/>
      <c r="C7" s="1197">
        <f>'数据-取费表'!B2</f>
        <v>44196</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82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395" t="e">
        <f>D7/J7</f>
        <v>#DIV/0!</v>
      </c>
    </row>
    <row r="8" spans="1:30" s="1170" customFormat="1" ht="14.4">
      <c r="A8" s="1195" t="s">
        <v>1162</v>
      </c>
      <c r="B8" s="1196"/>
      <c r="C8" s="1202" t="s">
        <v>1209</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822" t="s">
        <v>1163</v>
      </c>
      <c r="Q8" s="3824"/>
      <c r="R8" s="1381" t="s">
        <v>1161</v>
      </c>
      <c r="S8" s="1382">
        <f t="shared" si="0"/>
        <v>0</v>
      </c>
      <c r="T8" s="1381" t="s">
        <v>1161</v>
      </c>
      <c r="U8" s="1382">
        <f t="shared" si="1"/>
        <v>0</v>
      </c>
      <c r="V8" s="1381" t="s">
        <v>1161</v>
      </c>
      <c r="W8" s="1382">
        <f t="shared" si="2"/>
        <v>0</v>
      </c>
      <c r="X8" s="1383"/>
      <c r="Y8" s="3822" t="s">
        <v>1163</v>
      </c>
      <c r="Z8" s="3824"/>
      <c r="AA8" s="1395" t="e">
        <f t="shared" ref="AA8:AA45" si="3">D8/F8</f>
        <v>#DIV/0!</v>
      </c>
      <c r="AB8" s="1395" t="e">
        <f t="shared" ref="AB8:AB45" si="4">D8/H8</f>
        <v>#DIV/0!</v>
      </c>
      <c r="AC8" s="1395" t="e">
        <f t="shared" ref="AC8:AC45" si="5">D8/J8</f>
        <v>#DIV/0!</v>
      </c>
    </row>
    <row r="9" spans="1:30" s="1170" customFormat="1" ht="14.4">
      <c r="A9" s="1203" t="s">
        <v>1164</v>
      </c>
      <c r="B9" s="1204" t="s">
        <v>1165</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825" t="s">
        <v>1167</v>
      </c>
      <c r="Q9" s="1385" t="str">
        <f t="shared" ref="Q9:Q15" si="6">B9</f>
        <v>用途</v>
      </c>
      <c r="R9" s="1381" t="s">
        <v>1161</v>
      </c>
      <c r="S9" s="1382">
        <f t="shared" si="0"/>
        <v>100</v>
      </c>
      <c r="T9" s="1381" t="s">
        <v>1161</v>
      </c>
      <c r="U9" s="1382">
        <f t="shared" si="1"/>
        <v>100</v>
      </c>
      <c r="V9" s="1381" t="s">
        <v>1161</v>
      </c>
      <c r="W9" s="1382">
        <f t="shared" si="2"/>
        <v>100</v>
      </c>
      <c r="X9" s="1383"/>
      <c r="Y9" s="3801" t="s">
        <v>1168</v>
      </c>
      <c r="Z9" s="1396" t="str">
        <f t="shared" ref="Z9:Z15" si="7">Q9</f>
        <v>用途</v>
      </c>
      <c r="AA9" s="1395">
        <f t="shared" si="3"/>
        <v>1</v>
      </c>
      <c r="AB9" s="1395">
        <f t="shared" si="4"/>
        <v>1</v>
      </c>
      <c r="AC9" s="1395">
        <f t="shared" si="5"/>
        <v>1</v>
      </c>
    </row>
    <row r="10" spans="1:30" s="1171" customFormat="1" ht="28.8">
      <c r="A10" s="1207"/>
      <c r="B10" s="1208" t="s">
        <v>1169</v>
      </c>
      <c r="C10" s="1209"/>
      <c r="D10" s="1210">
        <v>100</v>
      </c>
      <c r="E10" s="1516"/>
      <c r="F10" s="1210">
        <f>ROUND(100/'数据-取费表'!G16,0)</f>
        <v>131</v>
      </c>
      <c r="G10" s="1517"/>
      <c r="H10" s="1210">
        <f>ROUND(100/'数据-取费表'!G16,0)</f>
        <v>131</v>
      </c>
      <c r="I10" s="1517"/>
      <c r="J10" s="1210">
        <f>ROUND(100/'数据-取费表'!G16,0)</f>
        <v>131</v>
      </c>
      <c r="K10" s="1343"/>
      <c r="L10" s="1344"/>
      <c r="M10" s="1345"/>
      <c r="N10" s="1345"/>
      <c r="O10" s="1346"/>
      <c r="P10" s="3825"/>
      <c r="Q10" s="1385" t="str">
        <f t="shared" si="6"/>
        <v>土地使用年限（年）</v>
      </c>
      <c r="R10" s="1381" t="s">
        <v>1161</v>
      </c>
      <c r="S10" s="1382">
        <f t="shared" si="0"/>
        <v>131</v>
      </c>
      <c r="T10" s="1381" t="s">
        <v>1161</v>
      </c>
      <c r="U10" s="1382">
        <f t="shared" si="1"/>
        <v>131</v>
      </c>
      <c r="V10" s="1381" t="s">
        <v>1161</v>
      </c>
      <c r="W10" s="1382">
        <f t="shared" si="2"/>
        <v>131</v>
      </c>
      <c r="X10" s="1383"/>
      <c r="Y10" s="3801"/>
      <c r="Z10" s="1396" t="str">
        <f t="shared" si="7"/>
        <v>土地使用年限（年）</v>
      </c>
      <c r="AA10" s="1395">
        <f t="shared" si="3"/>
        <v>0.76335877862595425</v>
      </c>
      <c r="AB10" s="1395">
        <f t="shared" si="4"/>
        <v>0.76335877862595425</v>
      </c>
      <c r="AC10" s="1395">
        <f t="shared" si="5"/>
        <v>0.76335877862595425</v>
      </c>
    </row>
    <row r="11" spans="1:30" ht="15">
      <c r="A11" s="1211"/>
      <c r="B11" s="1208" t="s">
        <v>1170</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825"/>
      <c r="Q11" s="1385" t="str">
        <f t="shared" si="6"/>
        <v>容积率</v>
      </c>
      <c r="R11" s="1381" t="s">
        <v>1161</v>
      </c>
      <c r="S11" s="1382" t="e">
        <f t="shared" si="0"/>
        <v>#N/A</v>
      </c>
      <c r="T11" s="1381" t="s">
        <v>1161</v>
      </c>
      <c r="U11" s="1382" t="e">
        <f t="shared" si="1"/>
        <v>#N/A</v>
      </c>
      <c r="V11" s="1381" t="s">
        <v>1161</v>
      </c>
      <c r="W11" s="1382" t="e">
        <f t="shared" si="2"/>
        <v>#N/A</v>
      </c>
      <c r="X11" s="1383"/>
      <c r="Y11" s="3801"/>
      <c r="Z11" s="1396" t="str">
        <f t="shared" si="7"/>
        <v>容积率</v>
      </c>
      <c r="AA11" s="1395" t="e">
        <f t="shared" si="3"/>
        <v>#N/A</v>
      </c>
      <c r="AB11" s="1395" t="e">
        <f t="shared" si="4"/>
        <v>#N/A</v>
      </c>
      <c r="AC11" s="1395" t="e">
        <f t="shared" si="5"/>
        <v>#N/A</v>
      </c>
    </row>
    <row r="12" spans="1:30" s="1170" customFormat="1" ht="15">
      <c r="A12" s="1214"/>
      <c r="B12" s="1215" t="s">
        <v>1758</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825"/>
      <c r="Q12" s="1385" t="str">
        <f t="shared" si="6"/>
        <v>配建</v>
      </c>
      <c r="R12" s="1381" t="s">
        <v>1161</v>
      </c>
      <c r="S12" s="1382">
        <f t="shared" si="0"/>
        <v>100</v>
      </c>
      <c r="T12" s="1381" t="s">
        <v>1161</v>
      </c>
      <c r="U12" s="1382">
        <f t="shared" si="1"/>
        <v>100</v>
      </c>
      <c r="V12" s="1381" t="s">
        <v>1161</v>
      </c>
      <c r="W12" s="1382">
        <f t="shared" si="2"/>
        <v>100</v>
      </c>
      <c r="X12" s="1383"/>
      <c r="Y12" s="3801"/>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825"/>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825"/>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30" ht="96.6">
      <c r="A15" s="1225" t="s">
        <v>1171</v>
      </c>
      <c r="B15" s="1518" t="s">
        <v>1211</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833" t="s">
        <v>1173</v>
      </c>
      <c r="Q15" s="754" t="str">
        <f t="shared" si="6"/>
        <v>居住社区成熟度</v>
      </c>
      <c r="R15" s="1386" t="s">
        <v>1161</v>
      </c>
      <c r="S15" s="1387">
        <f t="shared" si="0"/>
        <v>100</v>
      </c>
      <c r="T15" s="1386" t="s">
        <v>1161</v>
      </c>
      <c r="U15" s="1387">
        <f t="shared" si="1"/>
        <v>100</v>
      </c>
      <c r="V15" s="1386" t="s">
        <v>1161</v>
      </c>
      <c r="W15" s="1387">
        <f t="shared" si="2"/>
        <v>100</v>
      </c>
      <c r="X15" s="1380"/>
      <c r="Y15" s="3833" t="s">
        <v>1173</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834"/>
      <c r="Q16" s="754"/>
      <c r="R16" s="1386"/>
      <c r="S16" s="1387"/>
      <c r="T16" s="1386"/>
      <c r="U16" s="1387"/>
      <c r="V16" s="1386"/>
      <c r="W16" s="1387"/>
      <c r="X16" s="1380"/>
      <c r="Y16" s="3834"/>
      <c r="Z16" s="1370"/>
      <c r="AA16" s="1397">
        <v>1</v>
      </c>
      <c r="AB16" s="1397">
        <v>1</v>
      </c>
      <c r="AC16" s="1397">
        <v>1</v>
      </c>
    </row>
    <row r="17" spans="1:29" ht="82.8">
      <c r="A17" s="1211"/>
      <c r="B17" s="1521" t="s">
        <v>1172</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834"/>
      <c r="Q17" s="754" t="str">
        <f>B17</f>
        <v>商业繁华度</v>
      </c>
      <c r="R17" s="1386" t="s">
        <v>1161</v>
      </c>
      <c r="S17" s="1387">
        <f>F17</f>
        <v>100</v>
      </c>
      <c r="T17" s="1386" t="s">
        <v>1161</v>
      </c>
      <c r="U17" s="1387">
        <f>H17</f>
        <v>100</v>
      </c>
      <c r="V17" s="1386" t="s">
        <v>1161</v>
      </c>
      <c r="W17" s="1387">
        <f>J17</f>
        <v>100</v>
      </c>
      <c r="X17" s="1380"/>
      <c r="Y17" s="3834"/>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834"/>
      <c r="Q18" s="754"/>
      <c r="R18" s="1386"/>
      <c r="S18" s="1387"/>
      <c r="T18" s="1386"/>
      <c r="U18" s="1387"/>
      <c r="V18" s="1386"/>
      <c r="W18" s="1387"/>
      <c r="X18" s="1380"/>
      <c r="Y18" s="3834"/>
      <c r="Z18" s="1370"/>
      <c r="AA18" s="1397">
        <v>1</v>
      </c>
      <c r="AB18" s="1397">
        <v>1</v>
      </c>
      <c r="AC18" s="1397">
        <v>1</v>
      </c>
    </row>
    <row r="19" spans="1:29" ht="82.8">
      <c r="A19" s="1211"/>
      <c r="B19" s="1521" t="s">
        <v>1728</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834"/>
      <c r="Q19" s="754" t="str">
        <f>B19</f>
        <v>办公集聚程度</v>
      </c>
      <c r="R19" s="1386" t="s">
        <v>1161</v>
      </c>
      <c r="S19" s="1387">
        <f>F19</f>
        <v>100</v>
      </c>
      <c r="T19" s="1386" t="s">
        <v>1161</v>
      </c>
      <c r="U19" s="1387">
        <f>H19</f>
        <v>100</v>
      </c>
      <c r="V19" s="1386" t="s">
        <v>1161</v>
      </c>
      <c r="W19" s="1387">
        <f>J19</f>
        <v>100</v>
      </c>
      <c r="X19" s="1380"/>
      <c r="Y19" s="3834"/>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834"/>
      <c r="Q20" s="754"/>
      <c r="R20" s="1386"/>
      <c r="S20" s="1387"/>
      <c r="T20" s="1386"/>
      <c r="U20" s="1387"/>
      <c r="V20" s="1386"/>
      <c r="W20" s="1387"/>
      <c r="X20" s="1380"/>
      <c r="Y20" s="3834"/>
      <c r="Z20" s="1370"/>
      <c r="AA20" s="1397">
        <v>1</v>
      </c>
      <c r="AB20" s="1397">
        <v>1</v>
      </c>
      <c r="AC20" s="1397">
        <v>1</v>
      </c>
    </row>
    <row r="21" spans="1:29" ht="96.6">
      <c r="A21" s="1211"/>
      <c r="B21" s="1521" t="s">
        <v>1176</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834"/>
      <c r="Q21" s="754" t="str">
        <f>B21</f>
        <v>交通便捷度</v>
      </c>
      <c r="R21" s="1386" t="s">
        <v>1161</v>
      </c>
      <c r="S21" s="1387">
        <f>F21</f>
        <v>100</v>
      </c>
      <c r="T21" s="1386" t="s">
        <v>1161</v>
      </c>
      <c r="U21" s="1387">
        <f>H21</f>
        <v>100</v>
      </c>
      <c r="V21" s="1386" t="s">
        <v>1161</v>
      </c>
      <c r="W21" s="1387">
        <f>J21</f>
        <v>100</v>
      </c>
      <c r="X21" s="1380"/>
      <c r="Y21" s="3834"/>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834"/>
      <c r="Q22" s="754"/>
      <c r="R22" s="1386"/>
      <c r="S22" s="1387"/>
      <c r="T22" s="1386"/>
      <c r="U22" s="1387"/>
      <c r="V22" s="1386"/>
      <c r="W22" s="1387"/>
      <c r="X22" s="1380"/>
      <c r="Y22" s="3834"/>
      <c r="Z22" s="1370"/>
      <c r="AA22" s="1397">
        <v>1</v>
      </c>
      <c r="AB22" s="1397">
        <v>1</v>
      </c>
      <c r="AC22" s="1397">
        <v>1</v>
      </c>
    </row>
    <row r="23" spans="1:29" ht="28.8">
      <c r="A23" s="1191"/>
      <c r="B23" s="1521" t="s">
        <v>1759</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834"/>
      <c r="Q23" s="754" t="str">
        <f t="shared" ref="Q23:Q38" si="8">B23</f>
        <v>区域土地利用方向</v>
      </c>
      <c r="R23" s="1386" t="s">
        <v>1161</v>
      </c>
      <c r="S23" s="1387">
        <f>F23</f>
        <v>100</v>
      </c>
      <c r="T23" s="1386" t="s">
        <v>1161</v>
      </c>
      <c r="U23" s="1387">
        <f>H23</f>
        <v>100</v>
      </c>
      <c r="V23" s="1386" t="s">
        <v>1161</v>
      </c>
      <c r="W23" s="1387">
        <f>J23</f>
        <v>100</v>
      </c>
      <c r="X23" s="1380"/>
      <c r="Y23" s="3834"/>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834"/>
      <c r="Q24" s="754"/>
      <c r="R24" s="1386"/>
      <c r="S24" s="1387"/>
      <c r="T24" s="1386"/>
      <c r="U24" s="1387"/>
      <c r="V24" s="1386"/>
      <c r="W24" s="1387"/>
      <c r="X24" s="1380"/>
      <c r="Y24" s="3834"/>
      <c r="Z24" s="1370"/>
      <c r="AA24" s="1397"/>
      <c r="AB24" s="1397"/>
      <c r="AC24" s="1397"/>
    </row>
    <row r="25" spans="1:29" ht="55.2">
      <c r="A25" s="1191"/>
      <c r="B25" s="1525" t="s">
        <v>1760</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834"/>
      <c r="Q25" s="754" t="str">
        <f t="shared" si="8"/>
        <v>自然及人文环境状况</v>
      </c>
      <c r="R25" s="1386" t="s">
        <v>1161</v>
      </c>
      <c r="S25" s="1387">
        <f>F25</f>
        <v>100</v>
      </c>
      <c r="T25" s="1386" t="s">
        <v>1161</v>
      </c>
      <c r="U25" s="1387">
        <f>H25</f>
        <v>100</v>
      </c>
      <c r="V25" s="1386" t="s">
        <v>1161</v>
      </c>
      <c r="W25" s="1387">
        <f>J25</f>
        <v>100</v>
      </c>
      <c r="X25" s="1380"/>
      <c r="Y25" s="3834"/>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834"/>
      <c r="Q26" s="754"/>
      <c r="R26" s="1386"/>
      <c r="S26" s="1387"/>
      <c r="T26" s="1386"/>
      <c r="U26" s="1387"/>
      <c r="V26" s="1386"/>
      <c r="W26" s="1387"/>
      <c r="X26" s="1380"/>
      <c r="Y26" s="3834"/>
      <c r="Z26" s="1370"/>
      <c r="AA26" s="1397">
        <v>1</v>
      </c>
      <c r="AB26" s="1397">
        <v>1</v>
      </c>
      <c r="AC26" s="1397">
        <v>1</v>
      </c>
    </row>
    <row r="27" spans="1:29" s="1170" customFormat="1" ht="41.4">
      <c r="A27" s="1241"/>
      <c r="B27" s="1525" t="s">
        <v>1177</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834"/>
      <c r="Q27" s="1385" t="str">
        <f t="shared" si="8"/>
        <v>公共配套设施</v>
      </c>
      <c r="R27" s="1381" t="s">
        <v>1161</v>
      </c>
      <c r="S27" s="1382">
        <f>F27</f>
        <v>100</v>
      </c>
      <c r="T27" s="1381" t="s">
        <v>1161</v>
      </c>
      <c r="U27" s="1382">
        <f>H27</f>
        <v>100</v>
      </c>
      <c r="V27" s="1381" t="s">
        <v>1161</v>
      </c>
      <c r="W27" s="1382">
        <f>J27</f>
        <v>100</v>
      </c>
      <c r="X27" s="1383"/>
      <c r="Y27" s="3834"/>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834"/>
      <c r="Q28" s="1385"/>
      <c r="R28" s="1381"/>
      <c r="S28" s="1382"/>
      <c r="T28" s="1381"/>
      <c r="U28" s="1382"/>
      <c r="V28" s="1381"/>
      <c r="W28" s="1382"/>
      <c r="X28" s="1383"/>
      <c r="Y28" s="3834"/>
      <c r="Z28" s="1396"/>
      <c r="AA28" s="1397">
        <v>1</v>
      </c>
      <c r="AB28" s="1397">
        <v>1</v>
      </c>
      <c r="AC28" s="1397">
        <v>1</v>
      </c>
    </row>
    <row r="29" spans="1:29" s="1170" customFormat="1" ht="41.4">
      <c r="A29" s="1241"/>
      <c r="B29" s="1525" t="s">
        <v>1178</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834"/>
      <c r="Q29" s="1385" t="str">
        <f t="shared" ref="Q29" si="9">B29</f>
        <v>基础设施水平</v>
      </c>
      <c r="R29" s="1381" t="s">
        <v>1161</v>
      </c>
      <c r="S29" s="1382">
        <f>F29</f>
        <v>100</v>
      </c>
      <c r="T29" s="1381" t="s">
        <v>1161</v>
      </c>
      <c r="U29" s="1382">
        <f>H29</f>
        <v>100</v>
      </c>
      <c r="V29" s="1381" t="s">
        <v>1161</v>
      </c>
      <c r="W29" s="1382">
        <f>J29</f>
        <v>100</v>
      </c>
      <c r="X29" s="1383"/>
      <c r="Y29" s="3834"/>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834"/>
      <c r="Q30" s="1385"/>
      <c r="R30" s="1381"/>
      <c r="S30" s="1382"/>
      <c r="T30" s="1381"/>
      <c r="U30" s="1382"/>
      <c r="V30" s="1381"/>
      <c r="W30" s="1382"/>
      <c r="X30" s="1383"/>
      <c r="Y30" s="3834"/>
      <c r="Z30" s="1396"/>
      <c r="AA30" s="1397">
        <v>1</v>
      </c>
      <c r="AB30" s="1397">
        <v>1</v>
      </c>
      <c r="AC30" s="1397">
        <v>1</v>
      </c>
    </row>
    <row r="31" spans="1:29" ht="15">
      <c r="A31" s="1211"/>
      <c r="B31" s="1259" t="s">
        <v>1180</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834"/>
      <c r="Q31" s="754" t="str">
        <f t="shared" si="8"/>
        <v>临街状况</v>
      </c>
      <c r="R31" s="1386" t="s">
        <v>1161</v>
      </c>
      <c r="S31" s="1387">
        <f t="shared" ref="S31:S45" si="10">F31</f>
        <v>100</v>
      </c>
      <c r="T31" s="1386" t="s">
        <v>1161</v>
      </c>
      <c r="U31" s="1387">
        <f t="shared" ref="U31:U45" si="11">H31</f>
        <v>100</v>
      </c>
      <c r="V31" s="1386" t="s">
        <v>1161</v>
      </c>
      <c r="W31" s="1387">
        <f t="shared" ref="W31:W45" si="12">J31</f>
        <v>100</v>
      </c>
      <c r="X31" s="1380"/>
      <c r="Y31" s="3834"/>
      <c r="Z31" s="1370" t="str">
        <f t="shared" ref="Z31:Z45" si="13">Q31</f>
        <v>临街状况</v>
      </c>
      <c r="AA31" s="1397">
        <f t="shared" si="3"/>
        <v>1</v>
      </c>
      <c r="AB31" s="1397">
        <f t="shared" si="4"/>
        <v>1</v>
      </c>
      <c r="AC31" s="1397">
        <f t="shared" si="5"/>
        <v>1</v>
      </c>
    </row>
    <row r="32" spans="1:29" ht="28.8">
      <c r="A32" s="1211"/>
      <c r="B32" s="1525" t="s">
        <v>1730</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834"/>
      <c r="Q32" s="754" t="str">
        <f t="shared" si="8"/>
        <v>毗邻道路的类型与等级</v>
      </c>
      <c r="R32" s="1386" t="s">
        <v>1161</v>
      </c>
      <c r="S32" s="1387">
        <f t="shared" si="10"/>
        <v>100</v>
      </c>
      <c r="T32" s="1386" t="s">
        <v>1161</v>
      </c>
      <c r="U32" s="1387">
        <f t="shared" si="11"/>
        <v>100</v>
      </c>
      <c r="V32" s="1386" t="s">
        <v>1161</v>
      </c>
      <c r="W32" s="1387">
        <f t="shared" si="12"/>
        <v>100</v>
      </c>
      <c r="X32" s="1380"/>
      <c r="Y32" s="3834"/>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834"/>
      <c r="Q33" s="754"/>
      <c r="R33" s="1386"/>
      <c r="S33" s="1387"/>
      <c r="T33" s="1386"/>
      <c r="U33" s="1387"/>
      <c r="V33" s="1386"/>
      <c r="W33" s="1387"/>
      <c r="X33" s="1380"/>
      <c r="Y33" s="3834"/>
      <c r="Z33" s="1370"/>
      <c r="AA33" s="1397">
        <v>1</v>
      </c>
      <c r="AB33" s="1397">
        <v>1</v>
      </c>
      <c r="AC33" s="1397">
        <v>1</v>
      </c>
    </row>
    <row r="34" spans="1:29" ht="15">
      <c r="A34" s="1211"/>
      <c r="B34" s="1208" t="s">
        <v>1761</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834"/>
      <c r="Q34" s="754" t="str">
        <f t="shared" si="8"/>
        <v>土地级别</v>
      </c>
      <c r="R34" s="1386" t="s">
        <v>1161</v>
      </c>
      <c r="S34" s="1387">
        <f t="shared" si="10"/>
        <v>100</v>
      </c>
      <c r="T34" s="1386" t="s">
        <v>1161</v>
      </c>
      <c r="U34" s="1387">
        <f t="shared" si="11"/>
        <v>100</v>
      </c>
      <c r="V34" s="1386" t="s">
        <v>1161</v>
      </c>
      <c r="W34" s="1387">
        <f t="shared" si="12"/>
        <v>100</v>
      </c>
      <c r="X34" s="1380"/>
      <c r="Y34" s="3834"/>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834"/>
      <c r="Q35" s="754">
        <f t="shared" si="8"/>
        <v>111</v>
      </c>
      <c r="R35" s="1386" t="s">
        <v>1161</v>
      </c>
      <c r="S35" s="1387">
        <f t="shared" si="10"/>
        <v>100</v>
      </c>
      <c r="T35" s="1386" t="s">
        <v>1161</v>
      </c>
      <c r="U35" s="1387">
        <f t="shared" si="11"/>
        <v>100</v>
      </c>
      <c r="V35" s="1386" t="s">
        <v>1161</v>
      </c>
      <c r="W35" s="1387">
        <f t="shared" si="12"/>
        <v>100</v>
      </c>
      <c r="X35" s="1380"/>
      <c r="Y35" s="3834"/>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97" t="s">
        <v>1189</v>
      </c>
      <c r="Q36" s="754">
        <f t="shared" si="8"/>
        <v>111</v>
      </c>
      <c r="R36" s="1386" t="s">
        <v>1161</v>
      </c>
      <c r="S36" s="1387">
        <f t="shared" si="10"/>
        <v>100</v>
      </c>
      <c r="T36" s="1386" t="s">
        <v>1161</v>
      </c>
      <c r="U36" s="1387">
        <f t="shared" si="11"/>
        <v>100</v>
      </c>
      <c r="V36" s="1386" t="s">
        <v>1161</v>
      </c>
      <c r="W36" s="1387">
        <f t="shared" si="12"/>
        <v>100</v>
      </c>
      <c r="X36" s="1380"/>
      <c r="Y36" s="3835" t="s">
        <v>1189</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835"/>
      <c r="Q37" s="754">
        <f t="shared" si="8"/>
        <v>111</v>
      </c>
      <c r="R37" s="1388" t="s">
        <v>1161</v>
      </c>
      <c r="S37" s="1389">
        <f t="shared" si="10"/>
        <v>100</v>
      </c>
      <c r="T37" s="1388" t="s">
        <v>1161</v>
      </c>
      <c r="U37" s="1389">
        <f t="shared" si="11"/>
        <v>100</v>
      </c>
      <c r="V37" s="1388" t="s">
        <v>1161</v>
      </c>
      <c r="W37" s="1389">
        <f t="shared" si="12"/>
        <v>100</v>
      </c>
      <c r="X37" s="1390"/>
      <c r="Y37" s="3835"/>
      <c r="Z37" s="1398">
        <f t="shared" si="13"/>
        <v>111</v>
      </c>
      <c r="AA37" s="1397">
        <f t="shared" si="3"/>
        <v>1</v>
      </c>
      <c r="AB37" s="1397">
        <f t="shared" si="4"/>
        <v>1</v>
      </c>
      <c r="AC37" s="1397">
        <f t="shared" si="5"/>
        <v>1</v>
      </c>
    </row>
    <row r="38" spans="1:29" ht="15.6">
      <c r="A38" s="1262" t="s">
        <v>1187</v>
      </c>
      <c r="B38" s="1259" t="s">
        <v>1762</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835"/>
      <c r="Q38" s="754" t="str">
        <f t="shared" si="8"/>
        <v>宗地面积</v>
      </c>
      <c r="R38" s="1386" t="s">
        <v>1161</v>
      </c>
      <c r="S38" s="1387" t="e">
        <f t="shared" si="10"/>
        <v>#N/A</v>
      </c>
      <c r="T38" s="1386" t="s">
        <v>1161</v>
      </c>
      <c r="U38" s="1387" t="e">
        <f t="shared" si="11"/>
        <v>#N/A</v>
      </c>
      <c r="V38" s="1386" t="s">
        <v>1161</v>
      </c>
      <c r="W38" s="1387" t="e">
        <f t="shared" si="12"/>
        <v>#N/A</v>
      </c>
      <c r="X38" s="1380"/>
      <c r="Y38" s="3835"/>
      <c r="Z38" s="1370" t="str">
        <f t="shared" si="13"/>
        <v>宗地面积</v>
      </c>
      <c r="AA38" s="1397" t="e">
        <f t="shared" si="3"/>
        <v>#N/A</v>
      </c>
      <c r="AB38" s="1397" t="e">
        <f t="shared" si="4"/>
        <v>#N/A</v>
      </c>
      <c r="AC38" s="1397" t="e">
        <f t="shared" si="5"/>
        <v>#N/A</v>
      </c>
    </row>
    <row r="39" spans="1:29" ht="15">
      <c r="A39" s="1262"/>
      <c r="B39" s="1208" t="s">
        <v>1763</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835"/>
      <c r="Q39" s="754" t="str">
        <f t="shared" ref="Q39:Q45" si="14">B39</f>
        <v>宗地形状</v>
      </c>
      <c r="R39" s="1386" t="s">
        <v>1161</v>
      </c>
      <c r="S39" s="1387">
        <f t="shared" si="10"/>
        <v>100</v>
      </c>
      <c r="T39" s="1386" t="s">
        <v>1161</v>
      </c>
      <c r="U39" s="1387">
        <f t="shared" si="11"/>
        <v>100</v>
      </c>
      <c r="V39" s="1386" t="s">
        <v>1161</v>
      </c>
      <c r="W39" s="1387">
        <f t="shared" si="12"/>
        <v>100</v>
      </c>
      <c r="X39" s="1380"/>
      <c r="Y39" s="3835"/>
      <c r="Z39" s="1370" t="str">
        <f t="shared" si="13"/>
        <v>宗地形状</v>
      </c>
      <c r="AA39" s="1397">
        <f t="shared" si="3"/>
        <v>1</v>
      </c>
      <c r="AB39" s="1397">
        <f t="shared" si="4"/>
        <v>1</v>
      </c>
      <c r="AC39" s="1397">
        <f t="shared" si="5"/>
        <v>1</v>
      </c>
    </row>
    <row r="40" spans="1:29" ht="15">
      <c r="A40" s="1262"/>
      <c r="B40" s="1208" t="s">
        <v>1764</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835"/>
      <c r="Q40" s="754" t="str">
        <f t="shared" si="14"/>
        <v>临街宽度及深度</v>
      </c>
      <c r="R40" s="1386" t="s">
        <v>1161</v>
      </c>
      <c r="S40" s="1387">
        <f t="shared" si="10"/>
        <v>100</v>
      </c>
      <c r="T40" s="1386" t="s">
        <v>1161</v>
      </c>
      <c r="U40" s="1387">
        <f t="shared" si="11"/>
        <v>100</v>
      </c>
      <c r="V40" s="1386" t="s">
        <v>1161</v>
      </c>
      <c r="W40" s="1387">
        <f t="shared" si="12"/>
        <v>100</v>
      </c>
      <c r="X40" s="1380"/>
      <c r="Y40" s="3835"/>
      <c r="Z40" s="1370" t="str">
        <f t="shared" si="13"/>
        <v>临街宽度及深度</v>
      </c>
      <c r="AA40" s="1397">
        <f t="shared" si="3"/>
        <v>1</v>
      </c>
      <c r="AB40" s="1397">
        <f t="shared" si="4"/>
        <v>1</v>
      </c>
      <c r="AC40" s="1397">
        <f t="shared" si="5"/>
        <v>1</v>
      </c>
    </row>
    <row r="41" spans="1:29" s="1170" customFormat="1" ht="15">
      <c r="A41" s="1264"/>
      <c r="B41" s="1208" t="s">
        <v>1765</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835"/>
      <c r="Q41" s="754" t="str">
        <f t="shared" si="14"/>
        <v>宗地开发程度</v>
      </c>
      <c r="R41" s="1381" t="s">
        <v>1161</v>
      </c>
      <c r="S41" s="1382">
        <f t="shared" si="10"/>
        <v>100</v>
      </c>
      <c r="T41" s="1381" t="s">
        <v>1161</v>
      </c>
      <c r="U41" s="1382">
        <f t="shared" si="11"/>
        <v>100</v>
      </c>
      <c r="V41" s="1381" t="s">
        <v>1161</v>
      </c>
      <c r="W41" s="1382">
        <f t="shared" si="12"/>
        <v>100</v>
      </c>
      <c r="X41" s="1383"/>
      <c r="Y41" s="3835"/>
      <c r="Z41" s="1396" t="str">
        <f t="shared" si="13"/>
        <v>宗地开发程度</v>
      </c>
      <c r="AA41" s="1395">
        <f t="shared" si="3"/>
        <v>1</v>
      </c>
      <c r="AB41" s="1395">
        <f t="shared" si="4"/>
        <v>1</v>
      </c>
      <c r="AC41" s="1395">
        <f t="shared" si="5"/>
        <v>1</v>
      </c>
    </row>
    <row r="42" spans="1:29" ht="15">
      <c r="A42" s="1262"/>
      <c r="B42" s="1208" t="s">
        <v>1766</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835" t="s">
        <v>1189</v>
      </c>
      <c r="Q42" s="754" t="str">
        <f t="shared" si="14"/>
        <v>工程地质条件</v>
      </c>
      <c r="R42" s="1386" t="s">
        <v>1161</v>
      </c>
      <c r="S42" s="1387">
        <f t="shared" si="10"/>
        <v>100</v>
      </c>
      <c r="T42" s="1386" t="s">
        <v>1161</v>
      </c>
      <c r="U42" s="1387">
        <f t="shared" si="11"/>
        <v>100</v>
      </c>
      <c r="V42" s="1386" t="s">
        <v>1161</v>
      </c>
      <c r="W42" s="1387">
        <f t="shared" si="12"/>
        <v>100</v>
      </c>
      <c r="X42" s="1380"/>
      <c r="Y42" s="3835" t="s">
        <v>1189</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835"/>
      <c r="Q43" s="754">
        <f t="shared" si="14"/>
        <v>111</v>
      </c>
      <c r="R43" s="1386" t="s">
        <v>1161</v>
      </c>
      <c r="S43" s="1387">
        <f t="shared" si="10"/>
        <v>100</v>
      </c>
      <c r="T43" s="1386" t="s">
        <v>1161</v>
      </c>
      <c r="U43" s="1387">
        <f t="shared" si="11"/>
        <v>100</v>
      </c>
      <c r="V43" s="1386" t="s">
        <v>1161</v>
      </c>
      <c r="W43" s="1387">
        <f t="shared" si="12"/>
        <v>100</v>
      </c>
      <c r="X43" s="1380"/>
      <c r="Y43" s="3835"/>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835"/>
      <c r="Q44" s="754">
        <f t="shared" si="14"/>
        <v>111</v>
      </c>
      <c r="R44" s="1386" t="s">
        <v>1161</v>
      </c>
      <c r="S44" s="1387">
        <f t="shared" si="10"/>
        <v>100</v>
      </c>
      <c r="T44" s="1386" t="s">
        <v>1161</v>
      </c>
      <c r="U44" s="1387">
        <f t="shared" si="11"/>
        <v>100</v>
      </c>
      <c r="V44" s="1386" t="s">
        <v>1161</v>
      </c>
      <c r="W44" s="1387">
        <f t="shared" si="12"/>
        <v>100</v>
      </c>
      <c r="X44" s="1380"/>
      <c r="Y44" s="3835"/>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835"/>
      <c r="Q45" s="754">
        <f t="shared" si="14"/>
        <v>111</v>
      </c>
      <c r="R45" s="1388" t="s">
        <v>1161</v>
      </c>
      <c r="S45" s="1389">
        <f t="shared" si="10"/>
        <v>100</v>
      </c>
      <c r="T45" s="1388" t="s">
        <v>1161</v>
      </c>
      <c r="U45" s="1389">
        <f t="shared" si="11"/>
        <v>100</v>
      </c>
      <c r="V45" s="1388" t="s">
        <v>1161</v>
      </c>
      <c r="W45" s="1389">
        <f t="shared" si="12"/>
        <v>100</v>
      </c>
      <c r="X45" s="1390"/>
      <c r="Y45" s="3835"/>
      <c r="Z45" s="1398">
        <f t="shared" si="13"/>
        <v>111</v>
      </c>
      <c r="AA45" s="1397">
        <f t="shared" si="3"/>
        <v>1</v>
      </c>
      <c r="AB45" s="1397">
        <f t="shared" si="4"/>
        <v>1</v>
      </c>
      <c r="AC45" s="1397">
        <f t="shared" si="5"/>
        <v>1</v>
      </c>
    </row>
    <row r="46" spans="1:29" ht="14.4">
      <c r="A46" s="1269" t="s">
        <v>1748</v>
      </c>
      <c r="B46" s="1270" t="s">
        <v>1767</v>
      </c>
      <c r="C46" s="1271" t="s">
        <v>124</v>
      </c>
      <c r="D46" s="1272"/>
      <c r="E46" s="1273"/>
      <c r="F46" s="1274"/>
      <c r="G46" s="1275"/>
      <c r="H46" s="1276"/>
      <c r="I46" s="1273"/>
      <c r="J46" s="1276"/>
      <c r="K46" s="1361"/>
      <c r="L46" s="1362"/>
      <c r="M46" s="1286"/>
      <c r="N46" s="1338"/>
      <c r="O46" s="1286"/>
      <c r="P46" s="3825" t="str">
        <f>A46</f>
        <v>成交单价</v>
      </c>
      <c r="Q46" s="3825"/>
      <c r="R46" s="3826">
        <f>E46</f>
        <v>0</v>
      </c>
      <c r="S46" s="3826"/>
      <c r="T46" s="3826">
        <f>G46</f>
        <v>0</v>
      </c>
      <c r="U46" s="3826"/>
      <c r="V46" s="3826">
        <f>I46</f>
        <v>0</v>
      </c>
      <c r="W46" s="3826"/>
      <c r="X46" s="1326"/>
      <c r="Y46" s="1399"/>
      <c r="Z46" s="1326"/>
      <c r="AA46" s="1326"/>
      <c r="AB46" s="1326"/>
      <c r="AC46" s="1326"/>
    </row>
    <row r="47" spans="1:29" ht="14.4">
      <c r="A47" s="1277" t="s">
        <v>1201</v>
      </c>
      <c r="B47" s="1278"/>
      <c r="C47" s="1279" t="e">
        <f>R48</f>
        <v>#DIV/0!</v>
      </c>
      <c r="D47" s="1280" t="s">
        <v>1202</v>
      </c>
      <c r="E47" s="1279" t="e">
        <f>R47</f>
        <v>#DIV/0!</v>
      </c>
      <c r="F47" s="1281"/>
      <c r="G47" s="1282" t="e">
        <f>T47</f>
        <v>#DIV/0!</v>
      </c>
      <c r="H47" s="1281"/>
      <c r="I47" s="1279" t="e">
        <f>V47</f>
        <v>#DIV/0!</v>
      </c>
      <c r="J47" s="1281"/>
      <c r="K47" s="1363">
        <f>F47+H47+J47</f>
        <v>0</v>
      </c>
      <c r="L47" s="1362"/>
      <c r="M47" s="1286"/>
      <c r="N47" s="1286"/>
      <c r="O47" s="1286"/>
      <c r="P47" s="3825" t="str">
        <f>A47</f>
        <v>比较价值（元/平方米）</v>
      </c>
      <c r="Q47" s="3825"/>
      <c r="R47" s="3900" t="e">
        <f>ROUND(PRODUCT(R46,AA7:AA45),0)</f>
        <v>#DIV/0!</v>
      </c>
      <c r="S47" s="3900"/>
      <c r="T47" s="3900" t="e">
        <f>ROUND(PRODUCT(T46,AB7:AB45),0)</f>
        <v>#DIV/0!</v>
      </c>
      <c r="U47" s="3900"/>
      <c r="V47" s="3900" t="e">
        <f>ROUND(PRODUCT(V46,AC7:AC45),0)</f>
        <v>#DIV/0!</v>
      </c>
      <c r="W47" s="3900"/>
      <c r="X47" s="1326"/>
      <c r="Y47" s="1326"/>
      <c r="Z47" s="1326"/>
      <c r="AA47" s="1326"/>
      <c r="AB47" s="1326"/>
      <c r="AC47" s="1326"/>
    </row>
    <row r="48" spans="1:29" ht="14.4">
      <c r="A48" s="1283" t="s">
        <v>1768</v>
      </c>
      <c r="B48" s="1284"/>
      <c r="C48" s="1285" t="e">
        <f>R48</f>
        <v>#DIV/0!</v>
      </c>
      <c r="D48" s="1285"/>
      <c r="E48" s="1285"/>
      <c r="F48" s="1285"/>
      <c r="G48" s="1285"/>
      <c r="H48" s="1285"/>
      <c r="I48" s="1285"/>
      <c r="J48" s="1285"/>
      <c r="K48" s="1364"/>
      <c r="L48" s="1362"/>
      <c r="M48" s="1286"/>
      <c r="N48" s="1286"/>
      <c r="O48" s="1286"/>
      <c r="P48" s="3838" t="str">
        <f>A48</f>
        <v>估价对象XX用房的比较价值（楼面单价，元/平方米）</v>
      </c>
      <c r="Q48" s="3839"/>
      <c r="R48" s="3901" t="e">
        <f>ROUND(IF(D47="简单平均",AVERAGE(R47:W47),R47*F47+T47*H47+V47*J47),0)</f>
        <v>#DIV/0!</v>
      </c>
      <c r="S48" s="3901"/>
      <c r="T48" s="3901"/>
      <c r="U48" s="3901"/>
      <c r="V48" s="3901"/>
      <c r="W48" s="3901"/>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1204</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1205</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1206</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1769</v>
      </c>
      <c r="B55" s="1296" t="s">
        <v>1770</v>
      </c>
      <c r="C55" s="1297" t="s">
        <v>1771</v>
      </c>
      <c r="D55" s="1298" t="s">
        <v>1772</v>
      </c>
      <c r="E55" s="1299" t="s">
        <v>1773</v>
      </c>
      <c r="F55" s="1529" t="s">
        <v>1774</v>
      </c>
      <c r="G55" s="3810" t="s">
        <v>1775</v>
      </c>
      <c r="H55" s="3899"/>
      <c r="I55" s="1533" t="s">
        <v>1776</v>
      </c>
      <c r="J55" s="1534">
        <f>项目基本情况!F35</f>
        <v>0</v>
      </c>
      <c r="K55" s="1371" t="s">
        <v>1777</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1778</v>
      </c>
      <c r="B56" s="1302" t="e">
        <f>C48</f>
        <v>#DIV/0!</v>
      </c>
      <c r="C56" s="1303">
        <v>1</v>
      </c>
      <c r="D56" s="1304">
        <v>1</v>
      </c>
      <c r="E56" s="1303">
        <f>'数据-汇总表'!E8+'数据-汇总表'!E9</f>
        <v>14866.55</v>
      </c>
      <c r="F56" s="1530" t="e">
        <f t="shared" ref="F56:F64" si="15">ROUND(B56*E56/10000,0)</f>
        <v>#DIV/0!</v>
      </c>
      <c r="G56" s="3827"/>
      <c r="H56" s="3825"/>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1779</v>
      </c>
      <c r="B57" s="485" t="e">
        <f>ROUND($C$48*C57*D57,0)</f>
        <v>#DIV/0!</v>
      </c>
      <c r="C57" s="672">
        <f t="shared" ref="C57:C64" si="16">IF($C$55="北京市系数",I57,J57)</f>
        <v>0.7</v>
      </c>
      <c r="D57" s="1307">
        <v>0.25</v>
      </c>
      <c r="E57" s="1308"/>
      <c r="F57" s="1530" t="e">
        <f t="shared" si="15"/>
        <v>#DIV/0!</v>
      </c>
      <c r="G57" s="1309" t="s">
        <v>1780</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1781</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1782</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1783</v>
      </c>
      <c r="B60" s="485" t="e">
        <f t="shared" si="17"/>
        <v>#DIV/0!</v>
      </c>
      <c r="C60" s="672">
        <f t="shared" si="16"/>
        <v>0</v>
      </c>
      <c r="D60" s="1307">
        <v>0.25</v>
      </c>
      <c r="E60" s="484">
        <f>'数据-汇总表'!E11</f>
        <v>0</v>
      </c>
      <c r="F60" s="1530" t="e">
        <f t="shared" si="15"/>
        <v>#DIV/0!</v>
      </c>
      <c r="G60" s="1313" t="s">
        <v>1784</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1785</v>
      </c>
      <c r="B61" s="485" t="e">
        <f t="shared" si="17"/>
        <v>#DIV/0!</v>
      </c>
      <c r="C61" s="672">
        <f t="shared" si="16"/>
        <v>0</v>
      </c>
      <c r="D61" s="1307">
        <v>0.25</v>
      </c>
      <c r="E61" s="484">
        <f>'数据-汇总表'!E12</f>
        <v>0</v>
      </c>
      <c r="F61" s="1530" t="e">
        <f t="shared" si="15"/>
        <v>#DIV/0!</v>
      </c>
      <c r="G61" s="1314" t="s">
        <v>1786</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1787</v>
      </c>
      <c r="B62" s="485" t="e">
        <f t="shared" si="17"/>
        <v>#DIV/0!</v>
      </c>
      <c r="C62" s="672">
        <f t="shared" si="16"/>
        <v>0</v>
      </c>
      <c r="D62" s="1307">
        <v>0.25</v>
      </c>
      <c r="E62" s="484">
        <f>'数据-汇总表'!E13</f>
        <v>0</v>
      </c>
      <c r="F62" s="1530" t="e">
        <f t="shared" si="15"/>
        <v>#DIV/0!</v>
      </c>
      <c r="G62" s="1314" t="s">
        <v>1788</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1789</v>
      </c>
      <c r="B63" s="485" t="e">
        <f t="shared" si="17"/>
        <v>#DIV/0!</v>
      </c>
      <c r="C63" s="672">
        <f t="shared" si="16"/>
        <v>0.2</v>
      </c>
      <c r="D63" s="1307">
        <v>0.25</v>
      </c>
      <c r="E63" s="484">
        <f>'数据-汇总表'!E14</f>
        <v>8609.76</v>
      </c>
      <c r="F63" s="1530" t="e">
        <f t="shared" si="15"/>
        <v>#DIV/0!</v>
      </c>
      <c r="G63" s="1313" t="s">
        <v>1780</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1790</v>
      </c>
      <c r="B64" s="485" t="e">
        <f t="shared" si="17"/>
        <v>#DIV/0!</v>
      </c>
      <c r="C64" s="672">
        <f t="shared" si="16"/>
        <v>0</v>
      </c>
      <c r="D64" s="1307">
        <v>0.25</v>
      </c>
      <c r="E64" s="484">
        <f>'数据-汇总表'!E15</f>
        <v>0</v>
      </c>
      <c r="F64" s="1530" t="e">
        <f t="shared" si="15"/>
        <v>#DIV/0!</v>
      </c>
      <c r="G64" s="1315" t="s">
        <v>1784</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3.2">
      <c r="A65" s="1317" t="s">
        <v>1791</v>
      </c>
      <c r="B65" s="1318" t="s">
        <v>1792</v>
      </c>
      <c r="C65" s="1318" t="s">
        <v>1792</v>
      </c>
      <c r="D65" s="1318" t="s">
        <v>1792</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2020-12-1</v>
      </c>
      <c r="D67" s="1324">
        <f>EDATE(C67,-3)</f>
        <v>44075</v>
      </c>
      <c r="E67" s="1324">
        <f>EDATE(D67,-3)</f>
        <v>43983</v>
      </c>
      <c r="F67" s="1324">
        <f t="shared" ref="F67:O67" si="18">EDATE(E67,-3)</f>
        <v>43891</v>
      </c>
      <c r="G67" s="1324">
        <f t="shared" si="18"/>
        <v>43800</v>
      </c>
      <c r="H67" s="1324">
        <f t="shared" si="18"/>
        <v>43709</v>
      </c>
      <c r="I67" s="1324">
        <f t="shared" si="18"/>
        <v>43617</v>
      </c>
      <c r="J67" s="1324">
        <f t="shared" si="18"/>
        <v>43525</v>
      </c>
      <c r="K67" s="1324">
        <f t="shared" si="18"/>
        <v>43435</v>
      </c>
      <c r="L67" s="1324">
        <f t="shared" si="18"/>
        <v>43344</v>
      </c>
      <c r="M67" s="1324">
        <f t="shared" si="18"/>
        <v>43252</v>
      </c>
      <c r="N67" s="1324">
        <f t="shared" si="18"/>
        <v>43160</v>
      </c>
      <c r="O67" s="1324">
        <f t="shared" si="18"/>
        <v>43070</v>
      </c>
      <c r="P67" s="1286"/>
      <c r="Q67" s="1286"/>
      <c r="R67" s="1286"/>
      <c r="S67" s="1286"/>
      <c r="T67" s="1286"/>
      <c r="U67" s="1286"/>
      <c r="V67" s="1286"/>
      <c r="W67" s="1286"/>
      <c r="X67" s="1286"/>
      <c r="Y67" s="1286"/>
      <c r="Z67" s="1286"/>
      <c r="AA67" s="1286"/>
      <c r="AB67" s="1286"/>
      <c r="AC67" s="1286"/>
    </row>
    <row r="68" spans="1:29" ht="21.6">
      <c r="A68" s="1325" t="s">
        <v>1207</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4.4">
      <c r="A69" s="1400" t="s">
        <v>1793</v>
      </c>
      <c r="B69" s="1401"/>
      <c r="C69" s="1402" t="str">
        <f>YEAR(C67)&amp;"-"&amp;ROUNDUP(MONTH(C67)/3,0)</f>
        <v>2020-4</v>
      </c>
      <c r="D69" s="1402" t="str">
        <f>YEAR(D67)&amp;"-"&amp;ROUNDUP(MONTH(D67)/3,0)</f>
        <v>2020-3</v>
      </c>
      <c r="E69" s="1402" t="str">
        <f t="shared" ref="E69:O69" si="19">YEAR(E67)&amp;"-"&amp;ROUNDUP(MONTH(E67)/3,0)</f>
        <v>2020-2</v>
      </c>
      <c r="F69" s="1402" t="str">
        <f t="shared" si="19"/>
        <v>2020-1</v>
      </c>
      <c r="G69" s="1402" t="str">
        <f t="shared" si="19"/>
        <v>2019-4</v>
      </c>
      <c r="H69" s="1402" t="str">
        <f t="shared" si="19"/>
        <v>2019-3</v>
      </c>
      <c r="I69" s="1402" t="str">
        <f t="shared" si="19"/>
        <v>2019-2</v>
      </c>
      <c r="J69" s="1402" t="str">
        <f t="shared" si="19"/>
        <v>2019-1</v>
      </c>
      <c r="K69" s="1402" t="str">
        <f t="shared" si="19"/>
        <v>2018-4</v>
      </c>
      <c r="L69" s="1402" t="str">
        <f t="shared" si="19"/>
        <v>2018-3</v>
      </c>
      <c r="M69" s="1402" t="str">
        <f t="shared" si="19"/>
        <v>2018-2</v>
      </c>
      <c r="N69" s="1402" t="str">
        <f t="shared" si="19"/>
        <v>2018-1</v>
      </c>
      <c r="O69" s="1402" t="str">
        <f t="shared" si="19"/>
        <v>2017-4</v>
      </c>
      <c r="P69" s="1454"/>
      <c r="Q69" s="1510"/>
      <c r="R69" s="1510"/>
      <c r="S69" s="1510"/>
      <c r="T69" s="1510"/>
      <c r="U69" s="1510"/>
      <c r="V69" s="1510"/>
      <c r="W69" s="1510"/>
      <c r="X69" s="1510"/>
      <c r="Y69" s="1510"/>
      <c r="Z69" s="1510"/>
      <c r="AA69" s="1510"/>
      <c r="AB69" s="1510"/>
      <c r="AC69" s="1510"/>
    </row>
    <row r="70" spans="1:29" s="1170" customFormat="1" ht="30" customHeight="1">
      <c r="A70" s="1542" t="s">
        <v>1794</v>
      </c>
      <c r="B70" s="1404" t="str">
        <f>"北京市平均增长率"&amp;TEXT(SUMIF(基准地价修正!N25:N29,A70,基准地价修正!P25:P29),"0.00%")</f>
        <v>北京市平均增长率2.00%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4.4">
      <c r="A71" s="1406" t="s">
        <v>1208</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4.4">
      <c r="A72" s="1410" t="s">
        <v>1162</v>
      </c>
      <c r="B72" s="1411"/>
      <c r="C72" s="1412" t="s">
        <v>1209</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ht="14.4">
      <c r="A74" s="1416" t="s">
        <v>1210</v>
      </c>
      <c r="B74" s="1417" t="s">
        <v>1165</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8.8">
      <c r="A76" s="1418"/>
      <c r="B76" s="1421" t="s">
        <v>1169</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4.4">
      <c r="A78" s="1418"/>
      <c r="B78" s="1425" t="s">
        <v>1170</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ht="14.4">
      <c r="A87" s="1416" t="s">
        <v>1171</v>
      </c>
      <c r="B87" s="1417" t="s">
        <v>1211</v>
      </c>
      <c r="C87" s="1438" t="s">
        <v>1212</v>
      </c>
      <c r="D87" s="1438" t="s">
        <v>1213</v>
      </c>
      <c r="E87" s="1438" t="s">
        <v>1214</v>
      </c>
      <c r="F87" s="1438" t="s">
        <v>1215</v>
      </c>
      <c r="G87" s="1438" t="s">
        <v>1216</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4.4">
      <c r="A89" s="1418"/>
      <c r="B89" s="1421" t="s">
        <v>1172</v>
      </c>
      <c r="C89" s="1440" t="s">
        <v>1212</v>
      </c>
      <c r="D89" s="1440" t="s">
        <v>1213</v>
      </c>
      <c r="E89" s="1440" t="s">
        <v>1214</v>
      </c>
      <c r="F89" s="1440" t="s">
        <v>1215</v>
      </c>
      <c r="G89" s="1440" t="s">
        <v>1216</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4.4">
      <c r="A91" s="1418"/>
      <c r="B91" s="1421" t="s">
        <v>1728</v>
      </c>
      <c r="C91" s="1440" t="s">
        <v>1212</v>
      </c>
      <c r="D91" s="1440" t="s">
        <v>1213</v>
      </c>
      <c r="E91" s="1440" t="s">
        <v>1214</v>
      </c>
      <c r="F91" s="1440" t="s">
        <v>1215</v>
      </c>
      <c r="G91" s="1440" t="s">
        <v>1216</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4.4">
      <c r="A93" s="1418"/>
      <c r="B93" s="1421" t="s">
        <v>1176</v>
      </c>
      <c r="C93" s="1440" t="s">
        <v>1212</v>
      </c>
      <c r="D93" s="1440" t="s">
        <v>1213</v>
      </c>
      <c r="E93" s="1440" t="s">
        <v>1214</v>
      </c>
      <c r="F93" s="1440" t="s">
        <v>1215</v>
      </c>
      <c r="G93" s="1440" t="s">
        <v>1216</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28.8">
      <c r="A95" s="1441"/>
      <c r="B95" s="1421" t="s">
        <v>1759</v>
      </c>
      <c r="C95" s="1440" t="s">
        <v>1212</v>
      </c>
      <c r="D95" s="1440" t="s">
        <v>1213</v>
      </c>
      <c r="E95" s="1440" t="s">
        <v>1214</v>
      </c>
      <c r="F95" s="1440" t="s">
        <v>1215</v>
      </c>
      <c r="G95" s="1440" t="s">
        <v>1216</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8.8">
      <c r="A97" s="1441"/>
      <c r="B97" s="1421" t="s">
        <v>1760</v>
      </c>
      <c r="C97" s="1438" t="s">
        <v>1212</v>
      </c>
      <c r="D97" s="1438" t="s">
        <v>1213</v>
      </c>
      <c r="E97" s="1438" t="s">
        <v>1214</v>
      </c>
      <c r="F97" s="1438" t="s">
        <v>1215</v>
      </c>
      <c r="G97" s="1438" t="s">
        <v>1216</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4.4">
      <c r="A99" s="1428"/>
      <c r="B99" s="1421" t="s">
        <v>1177</v>
      </c>
      <c r="C99" s="1438" t="s">
        <v>1212</v>
      </c>
      <c r="D99" s="1438" t="s">
        <v>1213</v>
      </c>
      <c r="E99" s="1438" t="s">
        <v>1214</v>
      </c>
      <c r="F99" s="1438" t="s">
        <v>1215</v>
      </c>
      <c r="G99" s="1438" t="s">
        <v>1216</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4.4">
      <c r="A101" s="1428"/>
      <c r="B101" s="1425" t="s">
        <v>1178</v>
      </c>
      <c r="C101" s="1445" t="s">
        <v>1217</v>
      </c>
      <c r="D101" s="1445" t="s">
        <v>1218</v>
      </c>
      <c r="E101" s="1445" t="s">
        <v>1219</v>
      </c>
      <c r="F101" s="1445" t="s">
        <v>1220</v>
      </c>
      <c r="G101" s="1445" t="s">
        <v>1221</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4.4">
      <c r="A103" s="1418"/>
      <c r="B103" s="1421" t="str">
        <f>B31</f>
        <v>临街状况</v>
      </c>
      <c r="C103" s="1422" t="s">
        <v>1795</v>
      </c>
      <c r="D103" s="1422" t="s">
        <v>1796</v>
      </c>
      <c r="E103" s="1422" t="s">
        <v>1797</v>
      </c>
      <c r="F103" s="1422" t="s">
        <v>1798</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8.8">
      <c r="A105" s="1418"/>
      <c r="B105" s="1421" t="s">
        <v>1730</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4.4">
      <c r="A107" s="1418"/>
      <c r="B107" s="1421" t="s">
        <v>1761</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ht="14.4">
      <c r="A115" s="1416" t="s">
        <v>1187</v>
      </c>
      <c r="B115" s="1417" t="s">
        <v>1762</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ht="14.4">
      <c r="A118" s="1452"/>
      <c r="B118" s="1421" t="s">
        <v>1763</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ht="14.4">
      <c r="A120" s="1452"/>
      <c r="B120" s="1421" t="s">
        <v>1764</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ht="14.4">
      <c r="A122" s="1449"/>
      <c r="B122" s="1421" t="s">
        <v>1765</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ht="14.4">
      <c r="A124" s="1452"/>
      <c r="B124" s="1421" t="s">
        <v>1766</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169" customFormat="1" ht="28.5" customHeight="1">
      <c r="A1" s="1179" t="s">
        <v>1756</v>
      </c>
      <c r="B1" s="1180"/>
      <c r="C1" s="1181" t="s">
        <v>1734</v>
      </c>
      <c r="D1" s="1182"/>
      <c r="E1" s="1182"/>
      <c r="F1" s="1183" t="s">
        <v>1147</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997</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t="e">
        <f>ROUND(IF(D3="",B2*10000/'数据-汇总表'!E3,B2*10000/D3),0)</f>
        <v>#DIV/0!</v>
      </c>
      <c r="C3" s="471" t="s">
        <v>1148</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1149</v>
      </c>
      <c r="B4" s="1190"/>
      <c r="C4" s="3810" t="s">
        <v>1150</v>
      </c>
      <c r="D4" s="3811"/>
      <c r="E4" s="3812" t="s">
        <v>1151</v>
      </c>
      <c r="F4" s="3813"/>
      <c r="G4" s="3810" t="s">
        <v>1152</v>
      </c>
      <c r="H4" s="3811"/>
      <c r="I4" s="3810" t="s">
        <v>1153</v>
      </c>
      <c r="J4" s="3811"/>
      <c r="K4" s="1336" t="s">
        <v>1154</v>
      </c>
      <c r="L4" s="1337"/>
      <c r="M4" s="1338"/>
      <c r="N4" s="1338"/>
      <c r="O4" s="1338"/>
      <c r="P4" s="3844" t="s">
        <v>1155</v>
      </c>
      <c r="Q4" s="3845"/>
      <c r="R4" s="3850" t="s">
        <v>1151</v>
      </c>
      <c r="S4" s="3851"/>
      <c r="T4" s="3850" t="s">
        <v>1152</v>
      </c>
      <c r="U4" s="3851"/>
      <c r="V4" s="3826" t="s">
        <v>1153</v>
      </c>
      <c r="W4" s="3826"/>
      <c r="X4" s="1380"/>
      <c r="Y4" s="3850" t="s">
        <v>1155</v>
      </c>
      <c r="Z4" s="3851"/>
      <c r="AA4" s="3841" t="s">
        <v>1151</v>
      </c>
      <c r="AB4" s="3842" t="s">
        <v>1152</v>
      </c>
      <c r="AC4" s="3841" t="s">
        <v>1153</v>
      </c>
    </row>
    <row r="5" spans="1:29">
      <c r="A5" s="1191"/>
      <c r="B5" s="1192"/>
      <c r="C5" s="3814" t="s">
        <v>1156</v>
      </c>
      <c r="D5" s="3815"/>
      <c r="E5" s="3816" t="s">
        <v>1697</v>
      </c>
      <c r="F5" s="3817"/>
      <c r="G5" s="3814" t="s">
        <v>1698</v>
      </c>
      <c r="H5" s="3815"/>
      <c r="I5" s="3814" t="s">
        <v>1699</v>
      </c>
      <c r="J5" s="3815"/>
      <c r="K5" s="1336"/>
      <c r="L5" s="1337"/>
      <c r="M5" s="1338"/>
      <c r="N5" s="1338"/>
      <c r="O5" s="1338"/>
      <c r="P5" s="3846"/>
      <c r="Q5" s="3847"/>
      <c r="R5" s="3852"/>
      <c r="S5" s="3853"/>
      <c r="T5" s="3852"/>
      <c r="U5" s="3853"/>
      <c r="V5" s="3826"/>
      <c r="W5" s="3826"/>
      <c r="X5" s="1380"/>
      <c r="Y5" s="3852"/>
      <c r="Z5" s="3853"/>
      <c r="AA5" s="3842"/>
      <c r="AB5" s="3842"/>
      <c r="AC5" s="3842"/>
    </row>
    <row r="6" spans="1:29" ht="14.4">
      <c r="A6" s="1193"/>
      <c r="B6" s="1194"/>
      <c r="C6" s="3902" t="s">
        <v>1799</v>
      </c>
      <c r="D6" s="3903"/>
      <c r="E6" s="3904" t="s">
        <v>1799</v>
      </c>
      <c r="F6" s="3905"/>
      <c r="G6" s="3902" t="s">
        <v>1799</v>
      </c>
      <c r="H6" s="3903"/>
      <c r="I6" s="3902" t="s">
        <v>1799</v>
      </c>
      <c r="J6" s="3903"/>
      <c r="K6" s="1336" t="s">
        <v>1158</v>
      </c>
      <c r="L6" s="1337"/>
      <c r="M6" s="1338"/>
      <c r="N6" s="1338"/>
      <c r="O6" s="1338"/>
      <c r="P6" s="3848"/>
      <c r="Q6" s="3849"/>
      <c r="R6" s="3852"/>
      <c r="S6" s="3853"/>
      <c r="T6" s="3854"/>
      <c r="U6" s="3855"/>
      <c r="V6" s="3826"/>
      <c r="W6" s="3826"/>
      <c r="X6" s="1380"/>
      <c r="Y6" s="3854"/>
      <c r="Z6" s="3855"/>
      <c r="AA6" s="3843"/>
      <c r="AB6" s="3843"/>
      <c r="AC6" s="3843"/>
    </row>
    <row r="7" spans="1:29" s="1170" customFormat="1" ht="14.4">
      <c r="A7" s="1195" t="s">
        <v>1159</v>
      </c>
      <c r="B7" s="1196"/>
      <c r="C7" s="1197">
        <f>'数据-取费表'!B2</f>
        <v>44196</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822" t="s">
        <v>1160</v>
      </c>
      <c r="Q7" s="3823"/>
      <c r="R7" s="1381" t="s">
        <v>1161</v>
      </c>
      <c r="S7" s="1382">
        <f t="shared" ref="S7:S15" si="0">F7</f>
        <v>0</v>
      </c>
      <c r="T7" s="1381" t="s">
        <v>1161</v>
      </c>
      <c r="U7" s="1382">
        <f t="shared" ref="U7:U15" si="1">H7</f>
        <v>0</v>
      </c>
      <c r="V7" s="1381" t="s">
        <v>1161</v>
      </c>
      <c r="W7" s="1382">
        <f t="shared" ref="W7:W15" si="2">J7</f>
        <v>0</v>
      </c>
      <c r="X7" s="1383"/>
      <c r="Y7" s="3822" t="s">
        <v>1160</v>
      </c>
      <c r="Z7" s="3824"/>
      <c r="AA7" s="1395" t="e">
        <f>D7/F7</f>
        <v>#DIV/0!</v>
      </c>
      <c r="AB7" s="1395" t="e">
        <f>D7/H7</f>
        <v>#DIV/0!</v>
      </c>
      <c r="AC7" s="1395" t="e">
        <f>D7/J7</f>
        <v>#DIV/0!</v>
      </c>
    </row>
    <row r="8" spans="1:29" s="1170" customFormat="1" ht="14.4">
      <c r="A8" s="1195" t="s">
        <v>1162</v>
      </c>
      <c r="B8" s="1196"/>
      <c r="C8" s="1202" t="s">
        <v>1209</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822" t="s">
        <v>1163</v>
      </c>
      <c r="Q8" s="3824"/>
      <c r="R8" s="1381" t="s">
        <v>1161</v>
      </c>
      <c r="S8" s="1382">
        <f t="shared" si="0"/>
        <v>0</v>
      </c>
      <c r="T8" s="1381" t="s">
        <v>1161</v>
      </c>
      <c r="U8" s="1382">
        <f t="shared" si="1"/>
        <v>0</v>
      </c>
      <c r="V8" s="1381" t="s">
        <v>1161</v>
      </c>
      <c r="W8" s="1382">
        <f t="shared" si="2"/>
        <v>0</v>
      </c>
      <c r="X8" s="1383"/>
      <c r="Y8" s="3822" t="s">
        <v>1163</v>
      </c>
      <c r="Z8" s="3824"/>
      <c r="AA8" s="1395" t="e">
        <f t="shared" ref="AA8:AA40" si="3">D8/F8</f>
        <v>#DIV/0!</v>
      </c>
      <c r="AB8" s="1395" t="e">
        <f t="shared" ref="AB8:AB40" si="4">D8/H8</f>
        <v>#DIV/0!</v>
      </c>
      <c r="AC8" s="1395" t="e">
        <f t="shared" ref="AC8:AC40" si="5">D8/J8</f>
        <v>#DIV/0!</v>
      </c>
    </row>
    <row r="9" spans="1:29" s="1170" customFormat="1" ht="14.4">
      <c r="A9" s="1203" t="s">
        <v>1164</v>
      </c>
      <c r="B9" s="1204" t="s">
        <v>1165</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825" t="s">
        <v>1167</v>
      </c>
      <c r="Q9" s="1385" t="str">
        <f t="shared" ref="Q9:Q15" si="6">B9</f>
        <v>用途</v>
      </c>
      <c r="R9" s="1381" t="s">
        <v>1161</v>
      </c>
      <c r="S9" s="1382">
        <f t="shared" si="0"/>
        <v>100</v>
      </c>
      <c r="T9" s="1381" t="s">
        <v>1161</v>
      </c>
      <c r="U9" s="1382">
        <f t="shared" si="1"/>
        <v>100</v>
      </c>
      <c r="V9" s="1381" t="s">
        <v>1161</v>
      </c>
      <c r="W9" s="1382">
        <f t="shared" si="2"/>
        <v>100</v>
      </c>
      <c r="X9" s="1383"/>
      <c r="Y9" s="3801" t="s">
        <v>1168</v>
      </c>
      <c r="Z9" s="1396" t="str">
        <f t="shared" ref="Z9:Z15" si="7">Q9</f>
        <v>用途</v>
      </c>
      <c r="AA9" s="1395">
        <f t="shared" si="3"/>
        <v>1</v>
      </c>
      <c r="AB9" s="1395">
        <f t="shared" si="4"/>
        <v>1</v>
      </c>
      <c r="AC9" s="1395">
        <f t="shared" si="5"/>
        <v>1</v>
      </c>
    </row>
    <row r="10" spans="1:29" s="1171" customFormat="1" ht="28.8">
      <c r="A10" s="1207"/>
      <c r="B10" s="1208" t="s">
        <v>1169</v>
      </c>
      <c r="C10" s="1209"/>
      <c r="D10" s="1210">
        <v>100</v>
      </c>
      <c r="E10" s="1209"/>
      <c r="F10" s="1210">
        <f>ROUND(100/'数据-取费表'!G16,0)</f>
        <v>131</v>
      </c>
      <c r="G10" s="1209"/>
      <c r="H10" s="1210">
        <f>ROUND(100/'数据-取费表'!G16,0)</f>
        <v>131</v>
      </c>
      <c r="I10" s="1209"/>
      <c r="J10" s="1210">
        <f>ROUND(100/'数据-取费表'!G16,0)</f>
        <v>131</v>
      </c>
      <c r="K10" s="1343"/>
      <c r="L10" s="1344"/>
      <c r="M10" s="1345"/>
      <c r="N10" s="1345"/>
      <c r="O10" s="1346"/>
      <c r="P10" s="3825"/>
      <c r="Q10" s="1385" t="str">
        <f t="shared" si="6"/>
        <v>土地使用年限（年）</v>
      </c>
      <c r="R10" s="1381" t="s">
        <v>1161</v>
      </c>
      <c r="S10" s="1382">
        <f t="shared" si="0"/>
        <v>131</v>
      </c>
      <c r="T10" s="1381" t="s">
        <v>1161</v>
      </c>
      <c r="U10" s="1382">
        <f t="shared" si="1"/>
        <v>131</v>
      </c>
      <c r="V10" s="1381" t="s">
        <v>1161</v>
      </c>
      <c r="W10" s="1382">
        <f t="shared" si="2"/>
        <v>131</v>
      </c>
      <c r="X10" s="1383"/>
      <c r="Y10" s="3801"/>
      <c r="Z10" s="1396" t="str">
        <f t="shared" si="7"/>
        <v>土地使用年限（年）</v>
      </c>
      <c r="AA10" s="1395">
        <f t="shared" si="3"/>
        <v>0.76335877862595425</v>
      </c>
      <c r="AB10" s="1395">
        <f t="shared" si="4"/>
        <v>0.76335877862595425</v>
      </c>
      <c r="AC10" s="1395">
        <f t="shared" si="5"/>
        <v>0.76335877862595425</v>
      </c>
    </row>
    <row r="11" spans="1:29" ht="15">
      <c r="A11" s="1211"/>
      <c r="B11" s="1208" t="s">
        <v>1170</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825"/>
      <c r="Q11" s="1385" t="str">
        <f t="shared" si="6"/>
        <v>容积率</v>
      </c>
      <c r="R11" s="1381" t="s">
        <v>1161</v>
      </c>
      <c r="S11" s="1382" t="e">
        <f t="shared" si="0"/>
        <v>#N/A</v>
      </c>
      <c r="T11" s="1381" t="s">
        <v>1161</v>
      </c>
      <c r="U11" s="1382" t="e">
        <f t="shared" si="1"/>
        <v>#N/A</v>
      </c>
      <c r="V11" s="1381" t="s">
        <v>1161</v>
      </c>
      <c r="W11" s="1382" t="e">
        <f t="shared" si="2"/>
        <v>#N/A</v>
      </c>
      <c r="X11" s="1383"/>
      <c r="Y11" s="3801"/>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825"/>
      <c r="Q12" s="1385">
        <f t="shared" si="6"/>
        <v>111</v>
      </c>
      <c r="R12" s="1381" t="s">
        <v>1161</v>
      </c>
      <c r="S12" s="1382">
        <f t="shared" si="0"/>
        <v>100</v>
      </c>
      <c r="T12" s="1381" t="s">
        <v>1161</v>
      </c>
      <c r="U12" s="1382">
        <f t="shared" si="1"/>
        <v>100</v>
      </c>
      <c r="V12" s="1381" t="s">
        <v>1161</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825"/>
      <c r="Q13" s="1385">
        <f t="shared" si="6"/>
        <v>111</v>
      </c>
      <c r="R13" s="1381" t="s">
        <v>1161</v>
      </c>
      <c r="S13" s="1382">
        <f t="shared" si="0"/>
        <v>100</v>
      </c>
      <c r="T13" s="1381" t="s">
        <v>1161</v>
      </c>
      <c r="U13" s="1382">
        <f t="shared" si="1"/>
        <v>100</v>
      </c>
      <c r="V13" s="1381" t="s">
        <v>1161</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825"/>
      <c r="Q14" s="1385">
        <f t="shared" si="6"/>
        <v>111</v>
      </c>
      <c r="R14" s="1381" t="s">
        <v>1161</v>
      </c>
      <c r="S14" s="1382">
        <f t="shared" si="0"/>
        <v>100</v>
      </c>
      <c r="T14" s="1381" t="s">
        <v>1161</v>
      </c>
      <c r="U14" s="1382">
        <f t="shared" si="1"/>
        <v>100</v>
      </c>
      <c r="V14" s="1381" t="s">
        <v>1161</v>
      </c>
      <c r="W14" s="1382">
        <f t="shared" si="2"/>
        <v>100</v>
      </c>
      <c r="X14" s="1383"/>
      <c r="Y14" s="3801"/>
      <c r="Z14" s="1396">
        <f t="shared" si="7"/>
        <v>111</v>
      </c>
      <c r="AA14" s="1395">
        <f t="shared" si="3"/>
        <v>1</v>
      </c>
      <c r="AB14" s="1395">
        <f t="shared" si="4"/>
        <v>1</v>
      </c>
      <c r="AC14" s="1395">
        <f t="shared" si="5"/>
        <v>1</v>
      </c>
    </row>
    <row r="15" spans="1:29" ht="69">
      <c r="A15" s="1225" t="s">
        <v>1171</v>
      </c>
      <c r="B15" s="1226" t="s">
        <v>1735</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833" t="s">
        <v>1173</v>
      </c>
      <c r="Q15" s="754" t="str">
        <f t="shared" si="6"/>
        <v>产业集聚程度</v>
      </c>
      <c r="R15" s="1386" t="s">
        <v>1161</v>
      </c>
      <c r="S15" s="1387">
        <f t="shared" si="0"/>
        <v>100</v>
      </c>
      <c r="T15" s="1386" t="s">
        <v>1161</v>
      </c>
      <c r="U15" s="1387">
        <f t="shared" si="1"/>
        <v>100</v>
      </c>
      <c r="V15" s="1386" t="s">
        <v>1161</v>
      </c>
      <c r="W15" s="1387">
        <f t="shared" si="2"/>
        <v>100</v>
      </c>
      <c r="X15" s="1380"/>
      <c r="Y15" s="3833" t="s">
        <v>1173</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834"/>
      <c r="Q16" s="754"/>
      <c r="R16" s="1386"/>
      <c r="S16" s="1387"/>
      <c r="T16" s="1386"/>
      <c r="U16" s="1387"/>
      <c r="V16" s="1386"/>
      <c r="W16" s="1387"/>
      <c r="X16" s="1380"/>
      <c r="Y16" s="3834"/>
      <c r="Z16" s="1370"/>
      <c r="AA16" s="1397">
        <v>1</v>
      </c>
      <c r="AB16" s="1397">
        <v>1</v>
      </c>
      <c r="AC16" s="1397">
        <v>1</v>
      </c>
    </row>
    <row r="17" spans="1:29" ht="96.6">
      <c r="A17" s="1211"/>
      <c r="B17" s="1235" t="s">
        <v>1176</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834"/>
      <c r="Q17" s="754" t="str">
        <f>B17</f>
        <v>交通便捷度</v>
      </c>
      <c r="R17" s="1386" t="s">
        <v>1161</v>
      </c>
      <c r="S17" s="1387">
        <f>F17</f>
        <v>100</v>
      </c>
      <c r="T17" s="1386" t="s">
        <v>1161</v>
      </c>
      <c r="U17" s="1387">
        <f>H17</f>
        <v>100</v>
      </c>
      <c r="V17" s="1386" t="s">
        <v>1161</v>
      </c>
      <c r="W17" s="1387">
        <f>J17</f>
        <v>100</v>
      </c>
      <c r="X17" s="1380"/>
      <c r="Y17" s="3834"/>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834"/>
      <c r="Q18" s="754"/>
      <c r="R18" s="1386"/>
      <c r="S18" s="1387"/>
      <c r="T18" s="1386"/>
      <c r="U18" s="1387"/>
      <c r="V18" s="1386"/>
      <c r="W18" s="1387"/>
      <c r="X18" s="1380"/>
      <c r="Y18" s="3834"/>
      <c r="Z18" s="1370"/>
      <c r="AA18" s="1397">
        <v>1</v>
      </c>
      <c r="AB18" s="1397">
        <v>1</v>
      </c>
      <c r="AC18" s="1397">
        <v>1</v>
      </c>
    </row>
    <row r="19" spans="1:29" ht="28.8">
      <c r="A19" s="1211"/>
      <c r="B19" s="1235" t="s">
        <v>1759</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834"/>
      <c r="Q19" s="754" t="str">
        <f t="shared" ref="Q19:Q34" si="8">B19</f>
        <v>区域土地利用方向</v>
      </c>
      <c r="R19" s="1386" t="s">
        <v>1161</v>
      </c>
      <c r="S19" s="1387">
        <f>F19</f>
        <v>100</v>
      </c>
      <c r="T19" s="1386" t="s">
        <v>1161</v>
      </c>
      <c r="U19" s="1387">
        <f>H19</f>
        <v>100</v>
      </c>
      <c r="V19" s="1386" t="s">
        <v>1161</v>
      </c>
      <c r="W19" s="1387">
        <f>J19</f>
        <v>100</v>
      </c>
      <c r="X19" s="1380"/>
      <c r="Y19" s="3834"/>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834"/>
      <c r="Q20" s="754"/>
      <c r="R20" s="1386"/>
      <c r="S20" s="1387"/>
      <c r="T20" s="1386"/>
      <c r="U20" s="1387"/>
      <c r="V20" s="1386"/>
      <c r="W20" s="1387"/>
      <c r="X20" s="1380"/>
      <c r="Y20" s="3834"/>
      <c r="Z20" s="1370"/>
      <c r="AA20" s="1397"/>
      <c r="AB20" s="1397"/>
      <c r="AC20" s="1397"/>
    </row>
    <row r="21" spans="1:29" ht="82.8">
      <c r="A21" s="1191"/>
      <c r="B21" s="1235" t="s">
        <v>1800</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834"/>
      <c r="Q21" s="754" t="str">
        <f t="shared" si="8"/>
        <v>环境状况</v>
      </c>
      <c r="R21" s="1386" t="s">
        <v>1161</v>
      </c>
      <c r="S21" s="1387">
        <f>F21</f>
        <v>100</v>
      </c>
      <c r="T21" s="1386" t="s">
        <v>1161</v>
      </c>
      <c r="U21" s="1387">
        <f>H21</f>
        <v>100</v>
      </c>
      <c r="V21" s="1386" t="s">
        <v>1161</v>
      </c>
      <c r="W21" s="1387">
        <f>J21</f>
        <v>100</v>
      </c>
      <c r="X21" s="1380"/>
      <c r="Y21" s="3834"/>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834"/>
      <c r="Q22" s="754"/>
      <c r="R22" s="1386"/>
      <c r="S22" s="1387"/>
      <c r="T22" s="1386"/>
      <c r="U22" s="1387"/>
      <c r="V22" s="1386"/>
      <c r="W22" s="1387"/>
      <c r="X22" s="1380"/>
      <c r="Y22" s="3834"/>
      <c r="Z22" s="1370"/>
      <c r="AA22" s="1397">
        <v>1</v>
      </c>
      <c r="AB22" s="1397">
        <v>1</v>
      </c>
      <c r="AC22" s="1397">
        <v>1</v>
      </c>
    </row>
    <row r="23" spans="1:29" s="1170" customFormat="1" ht="41.4">
      <c r="A23" s="1241"/>
      <c r="B23" s="1242" t="s">
        <v>1177</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834"/>
      <c r="Q23" s="1385" t="str">
        <f t="shared" si="8"/>
        <v>公共配套设施</v>
      </c>
      <c r="R23" s="1381" t="s">
        <v>1161</v>
      </c>
      <c r="S23" s="1382">
        <f>F23</f>
        <v>100</v>
      </c>
      <c r="T23" s="1381" t="s">
        <v>1161</v>
      </c>
      <c r="U23" s="1382">
        <f>H23</f>
        <v>100</v>
      </c>
      <c r="V23" s="1381" t="s">
        <v>1161</v>
      </c>
      <c r="W23" s="1382">
        <f>J23</f>
        <v>100</v>
      </c>
      <c r="X23" s="1383"/>
      <c r="Y23" s="3834"/>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834"/>
      <c r="Q24" s="1385"/>
      <c r="R24" s="1381"/>
      <c r="S24" s="1382"/>
      <c r="T24" s="1381"/>
      <c r="U24" s="1382"/>
      <c r="V24" s="1381"/>
      <c r="W24" s="1382"/>
      <c r="X24" s="1383"/>
      <c r="Y24" s="3834"/>
      <c r="Z24" s="1396"/>
      <c r="AA24" s="1395">
        <v>1</v>
      </c>
      <c r="AB24" s="1395">
        <v>1</v>
      </c>
      <c r="AC24" s="1395">
        <v>1</v>
      </c>
    </row>
    <row r="25" spans="1:29" s="1170" customFormat="1" ht="41.4">
      <c r="A25" s="1241"/>
      <c r="B25" s="1242" t="s">
        <v>1178</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834"/>
      <c r="Q25" s="1385" t="str">
        <f t="shared" ref="Q25" si="9">B25</f>
        <v>基础设施水平</v>
      </c>
      <c r="R25" s="1381" t="s">
        <v>1161</v>
      </c>
      <c r="S25" s="1382">
        <f>F25</f>
        <v>100</v>
      </c>
      <c r="T25" s="1381" t="s">
        <v>1161</v>
      </c>
      <c r="U25" s="1382">
        <f>H25</f>
        <v>100</v>
      </c>
      <c r="V25" s="1381" t="s">
        <v>1161</v>
      </c>
      <c r="W25" s="1382">
        <f>J25</f>
        <v>100</v>
      </c>
      <c r="X25" s="1383"/>
      <c r="Y25" s="3834"/>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834"/>
      <c r="Q26" s="1385"/>
      <c r="R26" s="1381"/>
      <c r="S26" s="1382"/>
      <c r="T26" s="1381"/>
      <c r="U26" s="1382"/>
      <c r="V26" s="1381"/>
      <c r="W26" s="1382"/>
      <c r="X26" s="1383"/>
      <c r="Y26" s="3834"/>
      <c r="Z26" s="1396"/>
      <c r="AA26" s="1395">
        <v>1</v>
      </c>
      <c r="AB26" s="1395">
        <v>1</v>
      </c>
      <c r="AC26" s="1395">
        <v>1</v>
      </c>
    </row>
    <row r="27" spans="1:29" ht="15">
      <c r="A27" s="1211"/>
      <c r="B27" s="1239" t="s">
        <v>1180</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834"/>
      <c r="Q27" s="754" t="str">
        <f t="shared" si="8"/>
        <v>临街状况</v>
      </c>
      <c r="R27" s="1386" t="s">
        <v>1161</v>
      </c>
      <c r="S27" s="1387">
        <f t="shared" ref="S27:S40" si="10">F27</f>
        <v>100</v>
      </c>
      <c r="T27" s="1386" t="s">
        <v>1161</v>
      </c>
      <c r="U27" s="1387">
        <f t="shared" ref="U27:U40" si="11">H27</f>
        <v>100</v>
      </c>
      <c r="V27" s="1386" t="s">
        <v>1161</v>
      </c>
      <c r="W27" s="1387">
        <f t="shared" ref="W27:W40" si="12">J27</f>
        <v>100</v>
      </c>
      <c r="X27" s="1380"/>
      <c r="Y27" s="3834"/>
      <c r="Z27" s="1370" t="str">
        <f t="shared" ref="Z27:Z40" si="13">Q27</f>
        <v>临街状况</v>
      </c>
      <c r="AA27" s="1397">
        <f t="shared" si="3"/>
        <v>1</v>
      </c>
      <c r="AB27" s="1397">
        <f t="shared" si="4"/>
        <v>1</v>
      </c>
      <c r="AC27" s="1397">
        <f t="shared" si="5"/>
        <v>1</v>
      </c>
    </row>
    <row r="28" spans="1:29" ht="28.8">
      <c r="A28" s="1211"/>
      <c r="B28" s="1242" t="s">
        <v>1730</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834"/>
      <c r="Q28" s="754" t="str">
        <f t="shared" si="8"/>
        <v>毗邻道路的类型与等级</v>
      </c>
      <c r="R28" s="1386" t="s">
        <v>1161</v>
      </c>
      <c r="S28" s="1387">
        <f t="shared" si="10"/>
        <v>100</v>
      </c>
      <c r="T28" s="1386" t="s">
        <v>1161</v>
      </c>
      <c r="U28" s="1387">
        <f t="shared" si="11"/>
        <v>100</v>
      </c>
      <c r="V28" s="1386" t="s">
        <v>1161</v>
      </c>
      <c r="W28" s="1387">
        <f t="shared" si="12"/>
        <v>100</v>
      </c>
      <c r="X28" s="1380"/>
      <c r="Y28" s="3834"/>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834"/>
      <c r="Q29" s="754"/>
      <c r="R29" s="1386"/>
      <c r="S29" s="1387"/>
      <c r="T29" s="1386"/>
      <c r="U29" s="1387"/>
      <c r="V29" s="1386"/>
      <c r="W29" s="1387"/>
      <c r="X29" s="1380"/>
      <c r="Y29" s="3834"/>
      <c r="Z29" s="1370"/>
      <c r="AA29" s="1397">
        <v>1</v>
      </c>
      <c r="AB29" s="1397">
        <v>1</v>
      </c>
      <c r="AC29" s="1397">
        <v>1</v>
      </c>
    </row>
    <row r="30" spans="1:29" ht="15">
      <c r="A30" s="1211"/>
      <c r="B30" s="1248" t="s">
        <v>1761</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834"/>
      <c r="Q30" s="754" t="str">
        <f t="shared" si="8"/>
        <v>土地级别</v>
      </c>
      <c r="R30" s="1386" t="s">
        <v>1161</v>
      </c>
      <c r="S30" s="1387">
        <f t="shared" si="10"/>
        <v>100</v>
      </c>
      <c r="T30" s="1386" t="s">
        <v>1161</v>
      </c>
      <c r="U30" s="1387">
        <f t="shared" si="11"/>
        <v>100</v>
      </c>
      <c r="V30" s="1386" t="s">
        <v>1161</v>
      </c>
      <c r="W30" s="1387">
        <f t="shared" si="12"/>
        <v>100</v>
      </c>
      <c r="X30" s="1380"/>
      <c r="Y30" s="3834"/>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834"/>
      <c r="Q31" s="754">
        <f t="shared" si="8"/>
        <v>111</v>
      </c>
      <c r="R31" s="1386" t="s">
        <v>1161</v>
      </c>
      <c r="S31" s="1387">
        <f t="shared" si="10"/>
        <v>100</v>
      </c>
      <c r="T31" s="1386" t="s">
        <v>1161</v>
      </c>
      <c r="U31" s="1387">
        <f t="shared" si="11"/>
        <v>100</v>
      </c>
      <c r="V31" s="1386" t="s">
        <v>1161</v>
      </c>
      <c r="W31" s="1387">
        <f t="shared" si="12"/>
        <v>100</v>
      </c>
      <c r="X31" s="1380"/>
      <c r="Y31" s="3834"/>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97" t="s">
        <v>1189</v>
      </c>
      <c r="Q32" s="754">
        <f t="shared" si="8"/>
        <v>111</v>
      </c>
      <c r="R32" s="1386" t="s">
        <v>1161</v>
      </c>
      <c r="S32" s="1387">
        <f t="shared" si="10"/>
        <v>100</v>
      </c>
      <c r="T32" s="1386" t="s">
        <v>1161</v>
      </c>
      <c r="U32" s="1387">
        <f t="shared" si="11"/>
        <v>100</v>
      </c>
      <c r="V32" s="1386" t="s">
        <v>1161</v>
      </c>
      <c r="W32" s="1387">
        <f t="shared" si="12"/>
        <v>100</v>
      </c>
      <c r="X32" s="1380"/>
      <c r="Y32" s="3835" t="s">
        <v>1189</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835"/>
      <c r="Q33" s="754">
        <f t="shared" si="8"/>
        <v>111</v>
      </c>
      <c r="R33" s="1388" t="s">
        <v>1161</v>
      </c>
      <c r="S33" s="1389">
        <f t="shared" si="10"/>
        <v>100</v>
      </c>
      <c r="T33" s="1388" t="s">
        <v>1161</v>
      </c>
      <c r="U33" s="1389">
        <f t="shared" si="11"/>
        <v>100</v>
      </c>
      <c r="V33" s="1388" t="s">
        <v>1161</v>
      </c>
      <c r="W33" s="1389">
        <f t="shared" si="12"/>
        <v>100</v>
      </c>
      <c r="X33" s="1390"/>
      <c r="Y33" s="3835"/>
      <c r="Z33" s="1398">
        <f t="shared" si="13"/>
        <v>111</v>
      </c>
      <c r="AA33" s="1397">
        <f t="shared" si="3"/>
        <v>1</v>
      </c>
      <c r="AB33" s="1397">
        <f t="shared" si="4"/>
        <v>1</v>
      </c>
      <c r="AC33" s="1397">
        <f t="shared" si="5"/>
        <v>1</v>
      </c>
    </row>
    <row r="34" spans="1:31" ht="15">
      <c r="A34" s="1225" t="s">
        <v>1187</v>
      </c>
      <c r="B34" s="1259" t="s">
        <v>1762</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835"/>
      <c r="Q34" s="754" t="str">
        <f t="shared" si="8"/>
        <v>宗地面积</v>
      </c>
      <c r="R34" s="1386" t="s">
        <v>1161</v>
      </c>
      <c r="S34" s="1387" t="e">
        <f t="shared" si="10"/>
        <v>#N/A</v>
      </c>
      <c r="T34" s="1386" t="s">
        <v>1161</v>
      </c>
      <c r="U34" s="1387" t="e">
        <f t="shared" si="11"/>
        <v>#N/A</v>
      </c>
      <c r="V34" s="1386" t="s">
        <v>1161</v>
      </c>
      <c r="W34" s="1387" t="e">
        <f t="shared" si="12"/>
        <v>#N/A</v>
      </c>
      <c r="X34" s="1380"/>
      <c r="Y34" s="3835"/>
      <c r="Z34" s="1370" t="str">
        <f t="shared" si="13"/>
        <v>宗地面积</v>
      </c>
      <c r="AA34" s="1397" t="e">
        <f t="shared" si="3"/>
        <v>#N/A</v>
      </c>
      <c r="AB34" s="1397" t="e">
        <f t="shared" si="4"/>
        <v>#N/A</v>
      </c>
      <c r="AC34" s="1397" t="e">
        <f t="shared" si="5"/>
        <v>#N/A</v>
      </c>
    </row>
    <row r="35" spans="1:31" ht="15">
      <c r="A35" s="1262"/>
      <c r="B35" s="1208" t="s">
        <v>1763</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835"/>
      <c r="Q35" s="754" t="str">
        <f t="shared" ref="Q35:Q40" si="14">B35</f>
        <v>宗地形状</v>
      </c>
      <c r="R35" s="1386" t="s">
        <v>1161</v>
      </c>
      <c r="S35" s="1387">
        <f t="shared" si="10"/>
        <v>100</v>
      </c>
      <c r="T35" s="1386" t="s">
        <v>1161</v>
      </c>
      <c r="U35" s="1387">
        <f t="shared" si="11"/>
        <v>100</v>
      </c>
      <c r="V35" s="1386" t="s">
        <v>1161</v>
      </c>
      <c r="W35" s="1387">
        <f t="shared" si="12"/>
        <v>100</v>
      </c>
      <c r="X35" s="1380"/>
      <c r="Y35" s="3835"/>
      <c r="Z35" s="1370" t="str">
        <f t="shared" si="13"/>
        <v>宗地形状</v>
      </c>
      <c r="AA35" s="1397">
        <f t="shared" si="3"/>
        <v>1</v>
      </c>
      <c r="AB35" s="1397">
        <f t="shared" si="4"/>
        <v>1</v>
      </c>
      <c r="AC35" s="1397">
        <f t="shared" si="5"/>
        <v>1</v>
      </c>
    </row>
    <row r="36" spans="1:31" s="1170" customFormat="1" ht="15">
      <c r="A36" s="1264"/>
      <c r="B36" s="1208" t="s">
        <v>1765</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835"/>
      <c r="Q36" s="754" t="str">
        <f t="shared" si="14"/>
        <v>宗地开发程度</v>
      </c>
      <c r="R36" s="1381" t="s">
        <v>1161</v>
      </c>
      <c r="S36" s="1382">
        <f t="shared" si="10"/>
        <v>100</v>
      </c>
      <c r="T36" s="1381" t="s">
        <v>1161</v>
      </c>
      <c r="U36" s="1382">
        <f t="shared" si="11"/>
        <v>100</v>
      </c>
      <c r="V36" s="1381" t="s">
        <v>1161</v>
      </c>
      <c r="W36" s="1382">
        <f t="shared" si="12"/>
        <v>100</v>
      </c>
      <c r="X36" s="1383"/>
      <c r="Y36" s="3835"/>
      <c r="Z36" s="1396" t="str">
        <f t="shared" si="13"/>
        <v>宗地开发程度</v>
      </c>
      <c r="AA36" s="1395">
        <f t="shared" si="3"/>
        <v>1</v>
      </c>
      <c r="AB36" s="1395">
        <f t="shared" si="4"/>
        <v>1</v>
      </c>
      <c r="AC36" s="1395">
        <f t="shared" si="5"/>
        <v>1</v>
      </c>
    </row>
    <row r="37" spans="1:31" ht="15">
      <c r="A37" s="1262"/>
      <c r="B37" s="1208" t="s">
        <v>1766</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835" t="s">
        <v>1189</v>
      </c>
      <c r="Q37" s="754" t="str">
        <f t="shared" si="14"/>
        <v>工程地质条件</v>
      </c>
      <c r="R37" s="1386" t="s">
        <v>1161</v>
      </c>
      <c r="S37" s="1387">
        <f t="shared" si="10"/>
        <v>100</v>
      </c>
      <c r="T37" s="1386" t="s">
        <v>1161</v>
      </c>
      <c r="U37" s="1387">
        <f t="shared" si="11"/>
        <v>100</v>
      </c>
      <c r="V37" s="1386" t="s">
        <v>1161</v>
      </c>
      <c r="W37" s="1387">
        <f t="shared" si="12"/>
        <v>100</v>
      </c>
      <c r="X37" s="1380"/>
      <c r="Y37" s="3835" t="s">
        <v>1189</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835"/>
      <c r="Q38" s="754">
        <f t="shared" si="14"/>
        <v>111</v>
      </c>
      <c r="R38" s="1386" t="s">
        <v>1161</v>
      </c>
      <c r="S38" s="1387">
        <f t="shared" si="10"/>
        <v>100</v>
      </c>
      <c r="T38" s="1386" t="s">
        <v>1161</v>
      </c>
      <c r="U38" s="1387">
        <f t="shared" si="11"/>
        <v>100</v>
      </c>
      <c r="V38" s="1386" t="s">
        <v>1161</v>
      </c>
      <c r="W38" s="1387">
        <f t="shared" si="12"/>
        <v>100</v>
      </c>
      <c r="X38" s="1380"/>
      <c r="Y38" s="3835"/>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835"/>
      <c r="Q39" s="754">
        <f t="shared" si="14"/>
        <v>111</v>
      </c>
      <c r="R39" s="1386" t="s">
        <v>1161</v>
      </c>
      <c r="S39" s="1387">
        <f t="shared" si="10"/>
        <v>100</v>
      </c>
      <c r="T39" s="1386" t="s">
        <v>1161</v>
      </c>
      <c r="U39" s="1387">
        <f t="shared" si="11"/>
        <v>100</v>
      </c>
      <c r="V39" s="1386" t="s">
        <v>1161</v>
      </c>
      <c r="W39" s="1387">
        <f t="shared" si="12"/>
        <v>100</v>
      </c>
      <c r="X39" s="1380"/>
      <c r="Y39" s="3835"/>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835"/>
      <c r="Q40" s="754">
        <f t="shared" si="14"/>
        <v>111</v>
      </c>
      <c r="R40" s="1388" t="s">
        <v>1161</v>
      </c>
      <c r="S40" s="1389">
        <f t="shared" si="10"/>
        <v>100</v>
      </c>
      <c r="T40" s="1388" t="s">
        <v>1161</v>
      </c>
      <c r="U40" s="1389">
        <f t="shared" si="11"/>
        <v>100</v>
      </c>
      <c r="V40" s="1388" t="s">
        <v>1161</v>
      </c>
      <c r="W40" s="1389">
        <f t="shared" si="12"/>
        <v>100</v>
      </c>
      <c r="X40" s="1390"/>
      <c r="Y40" s="3835"/>
      <c r="Z40" s="1398">
        <f t="shared" si="13"/>
        <v>111</v>
      </c>
      <c r="AA40" s="1397">
        <f t="shared" si="3"/>
        <v>1</v>
      </c>
      <c r="AB40" s="1397">
        <f t="shared" si="4"/>
        <v>1</v>
      </c>
      <c r="AC40" s="1397">
        <f t="shared" si="5"/>
        <v>1</v>
      </c>
    </row>
    <row r="41" spans="1:31" ht="14.4">
      <c r="A41" s="1269" t="s">
        <v>1748</v>
      </c>
      <c r="B41" s="1270" t="s">
        <v>1801</v>
      </c>
      <c r="C41" s="1271" t="s">
        <v>124</v>
      </c>
      <c r="D41" s="1272"/>
      <c r="E41" s="1273"/>
      <c r="F41" s="1274"/>
      <c r="G41" s="1275"/>
      <c r="H41" s="1276"/>
      <c r="I41" s="1273"/>
      <c r="J41" s="1276"/>
      <c r="K41" s="1361"/>
      <c r="L41" s="1362"/>
      <c r="M41" s="1338"/>
      <c r="N41" s="1338"/>
      <c r="O41" s="1286"/>
      <c r="P41" s="3825" t="str">
        <f>A41</f>
        <v>成交单价</v>
      </c>
      <c r="Q41" s="3825"/>
      <c r="R41" s="3826">
        <f>E41</f>
        <v>0</v>
      </c>
      <c r="S41" s="3826"/>
      <c r="T41" s="3826">
        <f>G41</f>
        <v>0</v>
      </c>
      <c r="U41" s="3826"/>
      <c r="V41" s="3826">
        <f>I41</f>
        <v>0</v>
      </c>
      <c r="W41" s="3826"/>
      <c r="X41" s="1326"/>
      <c r="Y41" s="1399"/>
      <c r="Z41" s="1326"/>
      <c r="AA41" s="1326"/>
      <c r="AB41" s="1326"/>
      <c r="AC41" s="1326"/>
    </row>
    <row r="42" spans="1:31" ht="14.4">
      <c r="A42" s="1277" t="s">
        <v>1201</v>
      </c>
      <c r="B42" s="1278"/>
      <c r="C42" s="1279" t="e">
        <f>R43</f>
        <v>#DIV/0!</v>
      </c>
      <c r="D42" s="1280" t="s">
        <v>1202</v>
      </c>
      <c r="E42" s="1279" t="e">
        <f>R42</f>
        <v>#DIV/0!</v>
      </c>
      <c r="F42" s="1281"/>
      <c r="G42" s="1282" t="e">
        <f>T42</f>
        <v>#DIV/0!</v>
      </c>
      <c r="H42" s="1281"/>
      <c r="I42" s="1279" t="e">
        <f>V42</f>
        <v>#DIV/0!</v>
      </c>
      <c r="J42" s="1281"/>
      <c r="K42" s="1363">
        <f>F42+H42+J42</f>
        <v>0</v>
      </c>
      <c r="L42" s="1362"/>
      <c r="M42" s="1338"/>
      <c r="N42" s="1338"/>
      <c r="O42" s="1286"/>
      <c r="P42" s="3825" t="str">
        <f>A42</f>
        <v>比较价值（元/平方米）</v>
      </c>
      <c r="Q42" s="3825"/>
      <c r="R42" s="3900" t="e">
        <f>ROUND(PRODUCT(R41,AA7:AA40),0)</f>
        <v>#DIV/0!</v>
      </c>
      <c r="S42" s="3900"/>
      <c r="T42" s="3900" t="e">
        <f>ROUND(PRODUCT(T41,AB7:AB40),0)</f>
        <v>#DIV/0!</v>
      </c>
      <c r="U42" s="3900"/>
      <c r="V42" s="3900" t="e">
        <f>ROUND(PRODUCT(V41,AC7:AC40),0)</f>
        <v>#DIV/0!</v>
      </c>
      <c r="W42" s="3900"/>
      <c r="X42" s="1326"/>
      <c r="Y42" s="1326"/>
      <c r="Z42" s="1326"/>
      <c r="AA42" s="1326"/>
      <c r="AB42" s="1326"/>
      <c r="AC42" s="1326"/>
    </row>
    <row r="43" spans="1:31" ht="14.4">
      <c r="A43" s="1283" t="s">
        <v>1203</v>
      </c>
      <c r="B43" s="1284"/>
      <c r="C43" s="1285" t="e">
        <f>R43</f>
        <v>#DIV/0!</v>
      </c>
      <c r="D43" s="1285"/>
      <c r="E43" s="1285"/>
      <c r="F43" s="1285"/>
      <c r="G43" s="1285"/>
      <c r="H43" s="1285"/>
      <c r="I43" s="1285"/>
      <c r="J43" s="1285"/>
      <c r="K43" s="1364"/>
      <c r="L43" s="1362"/>
      <c r="M43" s="1338"/>
      <c r="N43" s="1338"/>
      <c r="O43" s="1286"/>
      <c r="P43" s="3838" t="str">
        <f>A43</f>
        <v>估价对象XX用房的比较价值（楼面单价，元/平方米）</v>
      </c>
      <c r="Q43" s="3839"/>
      <c r="R43" s="3901" t="e">
        <f>ROUND(IF(D42="简单平均",AVERAGE(R42:W42),R42*F42+T42*H42+V42*J42),0)</f>
        <v>#DIV/0!</v>
      </c>
      <c r="S43" s="3901"/>
      <c r="T43" s="3901"/>
      <c r="U43" s="3901"/>
      <c r="V43" s="3901"/>
      <c r="W43" s="3901"/>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1204</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1205</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1206</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8.8">
      <c r="A50" s="1295" t="s">
        <v>1769</v>
      </c>
      <c r="B50" s="1296" t="s">
        <v>1770</v>
      </c>
      <c r="C50" s="1297" t="s">
        <v>1771</v>
      </c>
      <c r="D50" s="1298" t="s">
        <v>1772</v>
      </c>
      <c r="E50" s="1299" t="s">
        <v>1773</v>
      </c>
      <c r="F50" s="1300" t="s">
        <v>1774</v>
      </c>
      <c r="G50" s="3810" t="s">
        <v>1775</v>
      </c>
      <c r="H50" s="3899"/>
      <c r="I50" s="1370" t="s">
        <v>1802</v>
      </c>
      <c r="J50" s="1370">
        <f>项目基本情况!F35</f>
        <v>0</v>
      </c>
      <c r="K50" s="1371" t="s">
        <v>1777</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1778</v>
      </c>
      <c r="B51" s="1302" t="e">
        <f>C43</f>
        <v>#DIV/0!</v>
      </c>
      <c r="C51" s="1303">
        <v>1</v>
      </c>
      <c r="D51" s="1304">
        <v>1</v>
      </c>
      <c r="E51" s="1303">
        <f>'数据-汇总表'!E8+'数据-汇总表'!E9</f>
        <v>14866.55</v>
      </c>
      <c r="F51" s="1305" t="e">
        <f t="shared" ref="F51:F60" si="15">ROUND(B51*E51/10000,0)</f>
        <v>#DIV/0!</v>
      </c>
      <c r="G51" s="3827"/>
      <c r="H51" s="3825"/>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1779</v>
      </c>
      <c r="B52" s="485" t="e">
        <f>ROUND($C$43*C52*D52,0)</f>
        <v>#DIV/0!</v>
      </c>
      <c r="C52" s="672">
        <f t="shared" ref="C52:C60" si="16">IF($C$50="北京市系数",I52,J52)</f>
        <v>0.7</v>
      </c>
      <c r="D52" s="1307">
        <v>0.25</v>
      </c>
      <c r="E52" s="1308"/>
      <c r="F52" s="1305" t="e">
        <f t="shared" si="15"/>
        <v>#DIV/0!</v>
      </c>
      <c r="G52" s="1309" t="s">
        <v>1780</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1781</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1782</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1783</v>
      </c>
      <c r="B56" s="485" t="e">
        <f t="shared" si="17"/>
        <v>#DIV/0!</v>
      </c>
      <c r="C56" s="672">
        <f t="shared" si="16"/>
        <v>0</v>
      </c>
      <c r="D56" s="1307">
        <v>0.25</v>
      </c>
      <c r="E56" s="484">
        <f>'数据-汇总表'!E11</f>
        <v>0</v>
      </c>
      <c r="F56" s="1305" t="e">
        <f t="shared" si="15"/>
        <v>#DIV/0!</v>
      </c>
      <c r="G56" s="1313" t="s">
        <v>1784</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1785</v>
      </c>
      <c r="B57" s="485" t="e">
        <f t="shared" si="17"/>
        <v>#DIV/0!</v>
      </c>
      <c r="C57" s="672">
        <f t="shared" si="16"/>
        <v>0</v>
      </c>
      <c r="D57" s="1307">
        <v>0.25</v>
      </c>
      <c r="E57" s="484">
        <f>'数据-汇总表'!E12</f>
        <v>0</v>
      </c>
      <c r="F57" s="1305" t="e">
        <f t="shared" si="15"/>
        <v>#DIV/0!</v>
      </c>
      <c r="G57" s="1314" t="s">
        <v>1786</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1787</v>
      </c>
      <c r="B58" s="485" t="e">
        <f t="shared" si="17"/>
        <v>#DIV/0!</v>
      </c>
      <c r="C58" s="672">
        <f t="shared" si="16"/>
        <v>0</v>
      </c>
      <c r="D58" s="1307">
        <v>0.25</v>
      </c>
      <c r="E58" s="484">
        <f>'数据-汇总表'!E13</f>
        <v>0</v>
      </c>
      <c r="F58" s="1305" t="e">
        <f t="shared" si="15"/>
        <v>#DIV/0!</v>
      </c>
      <c r="G58" s="1314" t="s">
        <v>1788</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1789</v>
      </c>
      <c r="B59" s="485" t="e">
        <f t="shared" si="17"/>
        <v>#DIV/0!</v>
      </c>
      <c r="C59" s="672">
        <f t="shared" si="16"/>
        <v>0.2</v>
      </c>
      <c r="D59" s="1307">
        <v>0.25</v>
      </c>
      <c r="E59" s="484">
        <f>'数据-汇总表'!E14</f>
        <v>8609.76</v>
      </c>
      <c r="F59" s="1305" t="e">
        <f t="shared" si="15"/>
        <v>#DIV/0!</v>
      </c>
      <c r="G59" s="1313" t="s">
        <v>1780</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1790</v>
      </c>
      <c r="B60" s="485" t="e">
        <f t="shared" si="17"/>
        <v>#DIV/0!</v>
      </c>
      <c r="C60" s="672">
        <f t="shared" si="16"/>
        <v>0</v>
      </c>
      <c r="D60" s="1307">
        <v>0.25</v>
      </c>
      <c r="E60" s="484">
        <f>'数据-汇总表'!E15</f>
        <v>0</v>
      </c>
      <c r="F60" s="1305" t="e">
        <f t="shared" si="15"/>
        <v>#DIV/0!</v>
      </c>
      <c r="G60" s="1315" t="s">
        <v>1784</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1791</v>
      </c>
      <c r="B61" s="1318" t="s">
        <v>1792</v>
      </c>
      <c r="C61" s="1318" t="s">
        <v>1792</v>
      </c>
      <c r="D61" s="1318" t="s">
        <v>1792</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2020-12-1</v>
      </c>
      <c r="D63" s="1324">
        <f>EDATE(C63,-3)</f>
        <v>44075</v>
      </c>
      <c r="E63" s="1324">
        <f>EDATE(D63,-3)</f>
        <v>43983</v>
      </c>
      <c r="F63" s="1324">
        <f t="shared" ref="F63:O63" si="18">EDATE(E63,-3)</f>
        <v>43891</v>
      </c>
      <c r="G63" s="1324">
        <f t="shared" si="18"/>
        <v>43800</v>
      </c>
      <c r="H63" s="1324">
        <f t="shared" si="18"/>
        <v>43709</v>
      </c>
      <c r="I63" s="1324">
        <f t="shared" si="18"/>
        <v>43617</v>
      </c>
      <c r="J63" s="1324">
        <f t="shared" si="18"/>
        <v>43525</v>
      </c>
      <c r="K63" s="1324">
        <f t="shared" si="18"/>
        <v>43435</v>
      </c>
      <c r="L63" s="1324">
        <f t="shared" si="18"/>
        <v>43344</v>
      </c>
      <c r="M63" s="1324">
        <f t="shared" si="18"/>
        <v>43252</v>
      </c>
      <c r="N63" s="1324">
        <f t="shared" si="18"/>
        <v>43160</v>
      </c>
      <c r="O63" s="1324">
        <f t="shared" si="18"/>
        <v>43070</v>
      </c>
      <c r="P63" s="1286"/>
      <c r="Q63" s="1286"/>
      <c r="R63" s="1286"/>
      <c r="S63" s="1286"/>
      <c r="T63" s="1286"/>
      <c r="U63" s="1286"/>
      <c r="V63" s="1286"/>
      <c r="W63" s="1286"/>
      <c r="X63" s="1286"/>
      <c r="Y63" s="1286"/>
      <c r="Z63" s="1286"/>
      <c r="AA63" s="1286"/>
      <c r="AB63" s="1286"/>
      <c r="AC63" s="1286"/>
      <c r="AD63" s="1286"/>
      <c r="AE63" s="1286"/>
    </row>
    <row r="64" spans="1:31" ht="21.6">
      <c r="A64" s="1325" t="s">
        <v>1207</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4.4">
      <c r="A65" s="1400" t="s">
        <v>1793</v>
      </c>
      <c r="B65" s="1401"/>
      <c r="C65" s="1402" t="str">
        <f>YEAR(C63)&amp;"-"&amp;ROUNDUP(MONTH(C63)/3,0)</f>
        <v>2020-4</v>
      </c>
      <c r="D65" s="1402" t="str">
        <f t="shared" ref="D65:O65" si="19">YEAR(D63)&amp;"-"&amp;ROUNDUP(MONTH(D63)/3,0)</f>
        <v>2020-3</v>
      </c>
      <c r="E65" s="1402" t="str">
        <f t="shared" si="19"/>
        <v>2020-2</v>
      </c>
      <c r="F65" s="1402" t="str">
        <f t="shared" si="19"/>
        <v>2020-1</v>
      </c>
      <c r="G65" s="1402" t="str">
        <f t="shared" si="19"/>
        <v>2019-4</v>
      </c>
      <c r="H65" s="1402" t="str">
        <f t="shared" si="19"/>
        <v>2019-3</v>
      </c>
      <c r="I65" s="1402" t="str">
        <f t="shared" si="19"/>
        <v>2019-2</v>
      </c>
      <c r="J65" s="1402" t="str">
        <f t="shared" si="19"/>
        <v>2019-1</v>
      </c>
      <c r="K65" s="1402" t="str">
        <f t="shared" si="19"/>
        <v>2018-4</v>
      </c>
      <c r="L65" s="1402" t="str">
        <f t="shared" si="19"/>
        <v>2018-3</v>
      </c>
      <c r="M65" s="1402" t="str">
        <f t="shared" si="19"/>
        <v>2018-2</v>
      </c>
      <c r="N65" s="1402" t="str">
        <f t="shared" si="19"/>
        <v>2018-1</v>
      </c>
      <c r="O65" s="1402" t="str">
        <f t="shared" si="19"/>
        <v>2017-4</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1803</v>
      </c>
      <c r="B66" s="1404" t="str">
        <f>"北京市平均增长率"&amp;TEXT(基准地价修正!P28,"0.00%")</f>
        <v>北京市平均增长率1.33%</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4.4">
      <c r="A67" s="1406" t="s">
        <v>1208</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4.4">
      <c r="A68" s="1410" t="s">
        <v>1162</v>
      </c>
      <c r="B68" s="1411"/>
      <c r="C68" s="1412" t="s">
        <v>1209</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ht="14.4">
      <c r="A70" s="1416" t="s">
        <v>1210</v>
      </c>
      <c r="B70" s="1417" t="s">
        <v>1165</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8.8">
      <c r="A72" s="1418"/>
      <c r="B72" s="1421" t="s">
        <v>1169</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4.4">
      <c r="A74" s="1418"/>
      <c r="B74" s="1425" t="s">
        <v>1170</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ht="14.4">
      <c r="A83" s="1416" t="s">
        <v>1171</v>
      </c>
      <c r="B83" s="1417" t="s">
        <v>1735</v>
      </c>
      <c r="C83" s="1438" t="s">
        <v>1212</v>
      </c>
      <c r="D83" s="1438" t="s">
        <v>1213</v>
      </c>
      <c r="E83" s="1438" t="s">
        <v>1214</v>
      </c>
      <c r="F83" s="1438" t="s">
        <v>1215</v>
      </c>
      <c r="G83" s="1438" t="s">
        <v>1216</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4.4">
      <c r="A85" s="1418"/>
      <c r="B85" s="1421" t="s">
        <v>1176</v>
      </c>
      <c r="C85" s="1440" t="s">
        <v>1212</v>
      </c>
      <c r="D85" s="1440" t="s">
        <v>1213</v>
      </c>
      <c r="E85" s="1440" t="s">
        <v>1214</v>
      </c>
      <c r="F85" s="1440" t="s">
        <v>1215</v>
      </c>
      <c r="G85" s="1440" t="s">
        <v>1216</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28.8">
      <c r="A87" s="1441"/>
      <c r="B87" s="1421" t="s">
        <v>1759</v>
      </c>
      <c r="C87" s="1438" t="s">
        <v>1212</v>
      </c>
      <c r="D87" s="1438" t="s">
        <v>1213</v>
      </c>
      <c r="E87" s="1438" t="s">
        <v>1214</v>
      </c>
      <c r="F87" s="1438" t="s">
        <v>1215</v>
      </c>
      <c r="G87" s="1438" t="s">
        <v>1216</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8.8">
      <c r="A89" s="1441"/>
      <c r="B89" s="1421" t="s">
        <v>1760</v>
      </c>
      <c r="C89" s="1438" t="s">
        <v>1212</v>
      </c>
      <c r="D89" s="1438" t="s">
        <v>1213</v>
      </c>
      <c r="E89" s="1438" t="s">
        <v>1214</v>
      </c>
      <c r="F89" s="1438" t="s">
        <v>1215</v>
      </c>
      <c r="G89" s="1438" t="s">
        <v>1216</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4.4">
      <c r="A91" s="1428"/>
      <c r="B91" s="1421" t="s">
        <v>1177</v>
      </c>
      <c r="C91" s="1438" t="s">
        <v>1212</v>
      </c>
      <c r="D91" s="1438" t="s">
        <v>1213</v>
      </c>
      <c r="E91" s="1438" t="s">
        <v>1214</v>
      </c>
      <c r="F91" s="1438" t="s">
        <v>1215</v>
      </c>
      <c r="G91" s="1438" t="s">
        <v>1216</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4.4">
      <c r="A93" s="1428"/>
      <c r="B93" s="1425" t="s">
        <v>1178</v>
      </c>
      <c r="C93" s="1445" t="s">
        <v>1217</v>
      </c>
      <c r="D93" s="1445" t="s">
        <v>1218</v>
      </c>
      <c r="E93" s="1445" t="s">
        <v>1219</v>
      </c>
      <c r="F93" s="1445" t="s">
        <v>1220</v>
      </c>
      <c r="G93" s="1445" t="s">
        <v>1221</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4.4">
      <c r="A95" s="1418"/>
      <c r="B95" s="1421" t="str">
        <f>B27</f>
        <v>临街状况</v>
      </c>
      <c r="C95" s="1422" t="s">
        <v>1795</v>
      </c>
      <c r="D95" s="1422" t="s">
        <v>1796</v>
      </c>
      <c r="E95" s="1422" t="s">
        <v>1797</v>
      </c>
      <c r="F95" s="1422" t="s">
        <v>1798</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8.8">
      <c r="A97" s="1418"/>
      <c r="B97" s="1421" t="s">
        <v>1730</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4.4">
      <c r="A99" s="1418"/>
      <c r="B99" s="1421" t="s">
        <v>1761</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ht="14.4">
      <c r="A107" s="1416" t="s">
        <v>1187</v>
      </c>
      <c r="B107" s="1417" t="s">
        <v>1762</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ht="14.4">
      <c r="A110" s="1452"/>
      <c r="B110" s="1421" t="s">
        <v>1763</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ht="14.4">
      <c r="A112" s="1449"/>
      <c r="B112" s="1421" t="s">
        <v>1765</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ht="14.4">
      <c r="A114" s="1452"/>
      <c r="B114" s="1421" t="s">
        <v>1766</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048" customWidth="1"/>
    <col min="2" max="2" width="9.2187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1804</v>
      </c>
      <c r="C1" s="3906" t="s">
        <v>1805</v>
      </c>
      <c r="D1" s="3907"/>
      <c r="E1" s="3907"/>
      <c r="F1" s="3907"/>
      <c r="G1" s="3907"/>
      <c r="H1" s="3907"/>
      <c r="I1" s="3907"/>
      <c r="J1" s="3907"/>
      <c r="K1" s="3907"/>
      <c r="L1" s="3907"/>
      <c r="M1" s="3907"/>
      <c r="N1" s="3907"/>
      <c r="O1" s="3907"/>
      <c r="P1" s="3907"/>
      <c r="Q1" s="3907"/>
      <c r="R1" s="3907"/>
      <c r="S1" s="3908"/>
      <c r="T1" s="1053" t="s">
        <v>1806</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1807</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1808</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1809</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1810</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1811</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1812</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1813</v>
      </c>
      <c r="B17" s="1086" t="s">
        <v>1814</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1815</v>
      </c>
      <c r="E19" s="1096"/>
      <c r="F19" s="1096"/>
      <c r="G19" s="1096"/>
      <c r="H19" s="1097"/>
      <c r="I19" s="1094"/>
      <c r="J19" s="1094"/>
      <c r="K19" s="1094"/>
      <c r="L19" s="1094"/>
      <c r="M19" s="1094"/>
      <c r="N19" s="1094"/>
      <c r="O19" s="1094"/>
      <c r="P19" s="1094"/>
      <c r="Q19" s="1094"/>
      <c r="R19" s="1161"/>
      <c r="S19" s="1093"/>
    </row>
    <row r="20" spans="1:45" ht="15.6">
      <c r="A20" s="1098" t="s">
        <v>1816</v>
      </c>
      <c r="B20" s="1099" t="e">
        <f ca="1">IF(D20="——",S22,S22-F20)</f>
        <v>#REF!</v>
      </c>
      <c r="C20" s="1094"/>
      <c r="D20" s="1100"/>
      <c r="E20" s="1101"/>
      <c r="F20" s="1053" t="e">
        <f ca="1">SUMIF(INDIRECT("'"&amp;H20&amp;"'"&amp;"!A:A"),"承租人权益价值",INDIRECT("'"&amp;H20&amp;"'"&amp;"!c:c"))</f>
        <v>#REF!</v>
      </c>
      <c r="G20" s="1053" t="s">
        <v>807</v>
      </c>
      <c r="H20" s="1102"/>
      <c r="I20" s="1094"/>
      <c r="J20" s="1094"/>
      <c r="K20" s="1094"/>
      <c r="L20" s="1094"/>
      <c r="M20" s="1094"/>
      <c r="N20" s="1094"/>
      <c r="O20" s="1094"/>
      <c r="P20" s="1094"/>
      <c r="Q20" s="1094"/>
      <c r="R20" s="1161"/>
      <c r="S20" s="1093"/>
    </row>
    <row r="21" spans="1:45" ht="15.6">
      <c r="A21" s="1098" t="s">
        <v>1817</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1818</v>
      </c>
      <c r="B22" s="1104">
        <f>SUM(B24:B10000)</f>
        <v>0</v>
      </c>
      <c r="C22" s="3909" t="s">
        <v>124</v>
      </c>
      <c r="D22" s="3910"/>
      <c r="E22" s="3910"/>
      <c r="F22" s="3910"/>
      <c r="G22" s="3910"/>
      <c r="H22" s="3910"/>
      <c r="I22" s="3910"/>
      <c r="J22" s="3910"/>
      <c r="K22" s="3910"/>
      <c r="L22" s="3910"/>
      <c r="M22" s="3910"/>
      <c r="N22" s="3910"/>
      <c r="O22" s="3910"/>
      <c r="P22" s="3910"/>
      <c r="Q22" s="3911"/>
      <c r="R22" s="1163" t="e">
        <f>ROUND(S22*10000/B22,0)</f>
        <v>#DIV/0!</v>
      </c>
      <c r="S22" s="1104">
        <f>SUM(S24:S10000)</f>
        <v>0</v>
      </c>
    </row>
    <row r="23" spans="1:45" s="1046" customFormat="1" ht="24">
      <c r="A23" s="1107" t="s">
        <v>1819</v>
      </c>
      <c r="B23" s="1107" t="s">
        <v>457</v>
      </c>
      <c r="C23" s="1107" t="s">
        <v>1806</v>
      </c>
      <c r="D23" s="1107" t="str">
        <f>B5</f>
        <v>修正项2</v>
      </c>
      <c r="E23" s="1107" t="s">
        <v>1806</v>
      </c>
      <c r="F23" s="1107" t="str">
        <f>B7</f>
        <v>修正项3</v>
      </c>
      <c r="G23" s="1107" t="s">
        <v>1806</v>
      </c>
      <c r="H23" s="1107" t="str">
        <f>B9</f>
        <v>修正项4</v>
      </c>
      <c r="I23" s="1107" t="s">
        <v>1806</v>
      </c>
      <c r="J23" s="1107" t="str">
        <f>B11</f>
        <v>修正项5</v>
      </c>
      <c r="K23" s="1107" t="s">
        <v>1806</v>
      </c>
      <c r="L23" s="1107" t="str">
        <f>B13</f>
        <v>修正项6</v>
      </c>
      <c r="M23" s="1107" t="s">
        <v>1806</v>
      </c>
      <c r="N23" s="1107" t="str">
        <f>B15</f>
        <v>修正项7</v>
      </c>
      <c r="O23" s="1107" t="s">
        <v>1806</v>
      </c>
      <c r="P23" s="1107" t="str">
        <f>B17</f>
        <v>楼层</v>
      </c>
      <c r="Q23" s="1107" t="s">
        <v>1806</v>
      </c>
      <c r="R23" s="1164" t="s">
        <v>1820</v>
      </c>
      <c r="S23" s="1107" t="s">
        <v>1821</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1822</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030" customWidth="1"/>
    <col min="2" max="2" width="12.44140625" style="1030" customWidth="1"/>
    <col min="3" max="3" width="12.109375" style="1030" customWidth="1"/>
    <col min="4" max="4" width="14.109375" style="1030" customWidth="1"/>
    <col min="5" max="5" width="12.44140625" style="1030" customWidth="1"/>
    <col min="6" max="16384" width="9" style="1030"/>
  </cols>
  <sheetData>
    <row r="1" spans="1:16" ht="21.6">
      <c r="A1" s="1031" t="s">
        <v>1823</v>
      </c>
      <c r="B1" s="1032"/>
      <c r="C1" s="1032"/>
      <c r="D1" s="1032"/>
      <c r="E1" s="1032"/>
      <c r="F1" s="1033"/>
      <c r="G1" s="1033"/>
      <c r="H1" s="1033"/>
      <c r="I1" s="1033"/>
      <c r="J1" s="1033"/>
      <c r="K1" s="1033"/>
      <c r="L1" s="1033"/>
      <c r="M1" s="1033"/>
      <c r="N1" s="1033"/>
      <c r="O1" s="1033"/>
      <c r="P1" s="1033"/>
    </row>
    <row r="2" spans="1:16" ht="15.6">
      <c r="A2" s="1034" t="s">
        <v>97</v>
      </c>
      <c r="B2" s="1035">
        <f ca="1">SUMIF(B6:B13,"&lt;&gt;#ref!",B6:B13)</f>
        <v>0</v>
      </c>
      <c r="C2" s="1034" t="s">
        <v>1824</v>
      </c>
      <c r="D2" s="1034" t="s">
        <v>1825</v>
      </c>
      <c r="E2" s="1036">
        <f ca="1">SUMIF(E6:E13,"&lt;&gt;#ref!",E6:E13)</f>
        <v>27298.22</v>
      </c>
      <c r="F2" s="1033"/>
      <c r="G2" s="1033"/>
      <c r="H2" s="1033"/>
      <c r="I2" s="1033"/>
      <c r="J2" s="1033"/>
      <c r="K2" s="1033"/>
      <c r="L2" s="1033"/>
      <c r="M2" s="1033"/>
      <c r="N2" s="1033"/>
      <c r="O2" s="1033"/>
      <c r="P2" s="1033"/>
    </row>
    <row r="3" spans="1:16" ht="15.6">
      <c r="A3" s="1034" t="s">
        <v>1826</v>
      </c>
      <c r="B3" s="1035">
        <f ca="1">ROUND(B2*10000/E2,0)</f>
        <v>0</v>
      </c>
      <c r="C3" s="1034" t="s">
        <v>1827</v>
      </c>
      <c r="D3" s="1033"/>
      <c r="E3" s="1033"/>
      <c r="F3" s="1033"/>
      <c r="G3" s="1033"/>
      <c r="H3" s="1033"/>
      <c r="I3" s="1033"/>
      <c r="J3" s="1033"/>
      <c r="K3" s="1033"/>
      <c r="L3" s="1033"/>
      <c r="M3" s="1033"/>
      <c r="N3" s="1033"/>
      <c r="O3" s="1033"/>
      <c r="P3" s="1033"/>
    </row>
    <row r="4" spans="1:16" ht="15.6">
      <c r="A4" s="1037"/>
      <c r="B4" s="1033"/>
      <c r="C4" s="1033"/>
      <c r="D4" s="1033"/>
      <c r="E4" s="1033"/>
      <c r="F4" s="1033"/>
      <c r="G4" s="1033"/>
      <c r="H4" s="1033"/>
      <c r="I4" s="1033"/>
      <c r="J4" s="1033"/>
      <c r="K4" s="1033"/>
      <c r="L4" s="1033"/>
      <c r="M4" s="1033"/>
      <c r="N4" s="1033"/>
      <c r="O4" s="1033"/>
      <c r="P4" s="1033"/>
    </row>
    <row r="5" spans="1:16" ht="31.2">
      <c r="A5" s="1038" t="s">
        <v>1828</v>
      </c>
      <c r="B5" s="1039" t="s">
        <v>1829</v>
      </c>
      <c r="C5" s="1040"/>
      <c r="D5" s="1033"/>
      <c r="E5" s="1041" t="s">
        <v>1830</v>
      </c>
      <c r="F5" s="1033"/>
      <c r="G5" s="1033"/>
      <c r="H5" s="1033"/>
      <c r="I5" s="1033"/>
      <c r="J5" s="1033"/>
      <c r="K5" s="1033"/>
      <c r="L5" s="1033"/>
      <c r="M5" s="1033"/>
      <c r="N5" s="1033"/>
      <c r="O5" s="1033"/>
      <c r="P5" s="1033"/>
    </row>
    <row r="6" spans="1:16" ht="15.6">
      <c r="A6" s="1042" t="s">
        <v>1831</v>
      </c>
      <c r="B6" s="1035">
        <f ca="1">SUMIF(INDIRECT("'"&amp;A6&amp;"'"&amp;"!A:A"),"总价",INDIRECT("'"&amp;A6&amp;"'"&amp;"!B:B"))</f>
        <v>0</v>
      </c>
      <c r="C6" s="1034" t="s">
        <v>1824</v>
      </c>
      <c r="D6" s="1033"/>
      <c r="E6" s="1036">
        <f ca="1">SUMIF(INDIRECT("'"&amp;A6&amp;"'"&amp;"!C:C"),"建筑面积",INDIRECT("'"&amp;A6&amp;"'"&amp;"!D:D"))</f>
        <v>27298.22</v>
      </c>
      <c r="F6" s="1033"/>
      <c r="G6" s="1033"/>
      <c r="H6" s="1033"/>
      <c r="I6" s="1033"/>
      <c r="J6" s="1033"/>
      <c r="K6" s="1033"/>
      <c r="L6" s="1033"/>
      <c r="M6" s="1033"/>
      <c r="N6" s="1033"/>
      <c r="O6" s="1033"/>
      <c r="P6" s="1033"/>
    </row>
    <row r="7" spans="1:16" ht="15.6">
      <c r="A7" s="1042"/>
      <c r="B7" s="1035" t="e">
        <f ca="1">SUMIF(INDIRECT("'"&amp;A7&amp;"'"&amp;"!A:A"),"总价",INDIRECT("'"&amp;A7&amp;"'"&amp;"!B:B"))</f>
        <v>#REF!</v>
      </c>
      <c r="C7" s="1034" t="s">
        <v>1824</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6">
      <c r="A8" s="1042"/>
      <c r="B8" s="1035" t="e">
        <f t="shared" ref="B8:B13" ca="1" si="1">SUMIF(INDIRECT("'"&amp;A8&amp;"'"&amp;"!A:A"),"总价",INDIRECT("'"&amp;A8&amp;"'"&amp;"!B:B"))</f>
        <v>#REF!</v>
      </c>
      <c r="C8" s="1034" t="s">
        <v>1824</v>
      </c>
      <c r="D8" s="1033"/>
      <c r="E8" s="1036" t="e">
        <f t="shared" ca="1" si="0"/>
        <v>#REF!</v>
      </c>
      <c r="F8" s="1033"/>
      <c r="G8" s="1033"/>
      <c r="H8" s="1033"/>
      <c r="I8" s="1033"/>
      <c r="J8" s="1033"/>
      <c r="K8" s="1033"/>
      <c r="L8" s="1033"/>
      <c r="M8" s="1033"/>
      <c r="N8" s="1033"/>
      <c r="O8" s="1033"/>
      <c r="P8" s="1033"/>
    </row>
    <row r="9" spans="1:16" ht="15.6">
      <c r="A9" s="1042"/>
      <c r="B9" s="1035" t="e">
        <f t="shared" ca="1" si="1"/>
        <v>#REF!</v>
      </c>
      <c r="C9" s="1034" t="s">
        <v>1824</v>
      </c>
      <c r="D9" s="1033"/>
      <c r="E9" s="1036" t="e">
        <f t="shared" ca="1" si="0"/>
        <v>#REF!</v>
      </c>
      <c r="F9" s="1033"/>
      <c r="G9" s="1033"/>
      <c r="H9" s="1033"/>
      <c r="I9" s="1033"/>
      <c r="J9" s="1033"/>
      <c r="K9" s="1033"/>
      <c r="L9" s="1033"/>
      <c r="M9" s="1033"/>
      <c r="N9" s="1033"/>
      <c r="O9" s="1033"/>
      <c r="P9" s="1033"/>
    </row>
    <row r="10" spans="1:16" ht="15.6">
      <c r="A10" s="1042"/>
      <c r="B10" s="1035" t="e">
        <f t="shared" ca="1" si="1"/>
        <v>#REF!</v>
      </c>
      <c r="C10" s="1034" t="s">
        <v>1824</v>
      </c>
      <c r="D10" s="1033"/>
      <c r="E10" s="1036" t="e">
        <f t="shared" ca="1" si="0"/>
        <v>#REF!</v>
      </c>
      <c r="F10" s="1033"/>
      <c r="G10" s="1033"/>
      <c r="H10" s="1033"/>
      <c r="I10" s="1033"/>
      <c r="J10" s="1033"/>
      <c r="K10" s="1033"/>
      <c r="L10" s="1033"/>
      <c r="M10" s="1033"/>
      <c r="N10" s="1033"/>
      <c r="O10" s="1033"/>
      <c r="P10" s="1033"/>
    </row>
    <row r="11" spans="1:16" ht="15.6">
      <c r="A11" s="1042"/>
      <c r="B11" s="1035" t="e">
        <f t="shared" ca="1" si="1"/>
        <v>#REF!</v>
      </c>
      <c r="C11" s="1034" t="s">
        <v>1824</v>
      </c>
      <c r="D11" s="1033"/>
      <c r="E11" s="1036" t="e">
        <f t="shared" ca="1" si="0"/>
        <v>#REF!</v>
      </c>
      <c r="F11" s="1033"/>
      <c r="G11" s="1033"/>
      <c r="H11" s="1033"/>
      <c r="I11" s="1033"/>
      <c r="J11" s="1033"/>
      <c r="K11" s="1033"/>
      <c r="L11" s="1033"/>
      <c r="M11" s="1033"/>
      <c r="N11" s="1033"/>
      <c r="O11" s="1033"/>
      <c r="P11" s="1033"/>
    </row>
    <row r="12" spans="1:16" ht="15.6">
      <c r="A12" s="1042"/>
      <c r="B12" s="1035" t="e">
        <f t="shared" ca="1" si="1"/>
        <v>#REF!</v>
      </c>
      <c r="C12" s="1034" t="s">
        <v>1824</v>
      </c>
      <c r="D12" s="1033"/>
      <c r="E12" s="1036" t="e">
        <f t="shared" ca="1" si="0"/>
        <v>#REF!</v>
      </c>
      <c r="F12" s="1033"/>
      <c r="G12" s="1033"/>
      <c r="H12" s="1033"/>
      <c r="I12" s="1033"/>
      <c r="J12" s="1033"/>
      <c r="K12" s="1033"/>
      <c r="L12" s="1033"/>
      <c r="M12" s="1033"/>
      <c r="N12" s="1033"/>
      <c r="O12" s="1033"/>
      <c r="P12" s="1033"/>
    </row>
    <row r="13" spans="1:16" ht="15.6">
      <c r="A13" s="1042"/>
      <c r="B13" s="1035" t="e">
        <f t="shared" ca="1" si="1"/>
        <v>#REF!</v>
      </c>
      <c r="C13" s="1034" t="s">
        <v>1824</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3203125" defaultRowHeight="13.2"/>
  <cols>
    <col min="1" max="1" width="10.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9" s="456" customFormat="1" ht="21">
      <c r="A1" s="464" t="s">
        <v>995</v>
      </c>
      <c r="B1" s="1019" t="s">
        <v>549</v>
      </c>
      <c r="C1" s="466"/>
      <c r="D1" s="466"/>
      <c r="E1" s="466"/>
      <c r="F1" s="466"/>
      <c r="G1" s="1020">
        <f>MATCH(B1,'数据-取费表'!A6:A16,0)+5</f>
        <v>6</v>
      </c>
    </row>
    <row r="2" spans="1:9" s="456" customFormat="1" ht="18" customHeight="1">
      <c r="A2" s="468" t="s">
        <v>997</v>
      </c>
      <c r="B2" s="469">
        <f ca="1">IF(D2="——",C52,C52-E2)</f>
        <v>17781</v>
      </c>
      <c r="C2" s="467" t="s">
        <v>998</v>
      </c>
      <c r="D2" s="1021" t="s">
        <v>124</v>
      </c>
      <c r="E2" s="1022" t="e">
        <f ca="1">SUMIF(INDIRECT("'"&amp;G2&amp;"'"&amp;"!A:A"),"承租人权益价值",INDIRECT("'"&amp;G2&amp;"'"&amp;"!c:c"))</f>
        <v>#REF!</v>
      </c>
      <c r="F2" s="1023" t="s">
        <v>998</v>
      </c>
      <c r="G2" s="1024"/>
    </row>
    <row r="3" spans="1:9" s="456" customFormat="1" ht="18" customHeight="1">
      <c r="A3" s="471" t="s">
        <v>999</v>
      </c>
      <c r="B3" s="472">
        <f ca="1">ROUND(B2*10000/(IF(B1="",'数据-汇总表'!E3,INDIRECT("'数据-取费表'!k"&amp;$G$1))),0)</f>
        <v>6514</v>
      </c>
      <c r="C3" s="467" t="s">
        <v>1000</v>
      </c>
      <c r="D3" s="467"/>
      <c r="E3" s="467"/>
      <c r="F3" s="467"/>
      <c r="G3" s="467"/>
    </row>
    <row r="4" spans="1:9" s="457" customFormat="1" ht="16.2">
      <c r="A4" s="473" t="s">
        <v>1001</v>
      </c>
      <c r="B4" s="474"/>
      <c r="C4" s="474"/>
      <c r="D4" s="474"/>
      <c r="E4" s="474"/>
      <c r="F4" s="474"/>
      <c r="G4" s="475"/>
    </row>
    <row r="5" spans="1:9" s="458" customFormat="1" ht="13.5" customHeight="1">
      <c r="A5" s="476" t="s">
        <v>1002</v>
      </c>
      <c r="B5" s="477" t="s">
        <v>1003</v>
      </c>
      <c r="C5" s="478">
        <f ca="1">C6+C7+C8</f>
        <v>546</v>
      </c>
      <c r="D5" s="478" t="s">
        <v>1004</v>
      </c>
      <c r="E5" s="479" t="s">
        <v>1005</v>
      </c>
      <c r="F5" s="479" t="s">
        <v>899</v>
      </c>
      <c r="G5" s="480"/>
    </row>
    <row r="6" spans="1:9" s="458" customFormat="1" ht="13.5" customHeight="1">
      <c r="A6" s="481" t="s">
        <v>1006</v>
      </c>
      <c r="B6" s="482" t="s">
        <v>1007</v>
      </c>
      <c r="C6" s="483">
        <f>基准地价修正!B2</f>
        <v>0</v>
      </c>
      <c r="D6" s="484"/>
      <c r="E6" s="485"/>
      <c r="F6" s="485"/>
      <c r="G6" s="486"/>
    </row>
    <row r="7" spans="1:9" s="458" customFormat="1" ht="13.5" customHeight="1">
      <c r="A7" s="481" t="s">
        <v>1008</v>
      </c>
      <c r="B7" s="482" t="s">
        <v>1009</v>
      </c>
      <c r="C7" s="487">
        <f>ROUND(C6*F7,0)</f>
        <v>0</v>
      </c>
      <c r="D7" s="487"/>
      <c r="E7" s="485"/>
      <c r="F7" s="488">
        <f>IF(项目基本情况!B8="出让",0,'数据-取费表'!B48+'数据-取费表'!B49)</f>
        <v>3.0499999999999999E-2</v>
      </c>
      <c r="G7" s="486"/>
    </row>
    <row r="8" spans="1:9" s="459" customFormat="1">
      <c r="A8" s="481" t="s">
        <v>1010</v>
      </c>
      <c r="B8" s="482" t="s">
        <v>1011</v>
      </c>
      <c r="C8" s="487">
        <f ca="1">IF(G8="已包含在土地购买价格中","0",IF(B1="",'数据-取费表'!B29,IF(G9="全部缴纳",C9+C10,H9)))</f>
        <v>546</v>
      </c>
      <c r="D8" s="489"/>
      <c r="E8" s="487"/>
      <c r="F8" s="488"/>
      <c r="G8" s="1025" t="s">
        <v>1832</v>
      </c>
    </row>
    <row r="9" spans="1:9" s="458" customFormat="1" ht="13.5" customHeight="1">
      <c r="A9" s="491" t="s">
        <v>1012</v>
      </c>
      <c r="B9" s="492" t="s">
        <v>1013</v>
      </c>
      <c r="C9" s="493">
        <f ca="1">ROUND(D9*E9/10000,0)</f>
        <v>0</v>
      </c>
      <c r="D9" s="494">
        <f ca="1">IF(B1="",'数据-汇总表'!E5,IF(INDIRECT("'数据-取费表'!c"&amp;$G$1)="住宅",INDIRECT("'数据-取费表'!k"&amp;$G$1),0))</f>
        <v>0</v>
      </c>
      <c r="E9" s="493">
        <f>'数据-取费表'!B27</f>
        <v>0</v>
      </c>
      <c r="F9" s="488"/>
      <c r="G9" s="1026" t="s">
        <v>1833</v>
      </c>
      <c r="H9" s="1027"/>
      <c r="I9" s="1029" t="s">
        <v>1834</v>
      </c>
    </row>
    <row r="10" spans="1:9" s="458" customFormat="1" ht="13.5" customHeight="1">
      <c r="A10" s="491" t="s">
        <v>1014</v>
      </c>
      <c r="B10" s="492" t="s">
        <v>1015</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1016</v>
      </c>
      <c r="B11" s="482" t="s">
        <v>1017</v>
      </c>
      <c r="C11" s="478"/>
      <c r="D11" s="497"/>
      <c r="E11" s="485"/>
      <c r="F11" s="485"/>
      <c r="G11" s="486"/>
    </row>
    <row r="12" spans="1:9" s="458" customFormat="1" ht="13.5" hidden="1" customHeight="1">
      <c r="A12" s="496" t="s">
        <v>1018</v>
      </c>
      <c r="B12" s="482" t="s">
        <v>935</v>
      </c>
      <c r="C12" s="478">
        <v>0</v>
      </c>
      <c r="D12" s="497"/>
      <c r="E12" s="498"/>
      <c r="F12" s="488">
        <v>3.0499999999999999E-2</v>
      </c>
      <c r="G12" s="486"/>
    </row>
    <row r="13" spans="1:9" s="458" customFormat="1" ht="13.5" hidden="1" customHeight="1">
      <c r="A13" s="496" t="s">
        <v>1019</v>
      </c>
      <c r="B13" s="482" t="s">
        <v>1020</v>
      </c>
      <c r="C13" s="478"/>
      <c r="D13" s="497"/>
      <c r="E13" s="485"/>
      <c r="F13" s="485"/>
      <c r="G13" s="486"/>
    </row>
    <row r="14" spans="1:9" s="458" customFormat="1" ht="13.5" hidden="1" customHeight="1">
      <c r="A14" s="496" t="s">
        <v>1021</v>
      </c>
      <c r="B14" s="482" t="s">
        <v>1011</v>
      </c>
      <c r="C14" s="478"/>
      <c r="D14" s="497"/>
      <c r="E14" s="485"/>
      <c r="F14" s="485"/>
      <c r="G14" s="486" t="s">
        <v>1022</v>
      </c>
    </row>
    <row r="15" spans="1:9" s="458" customFormat="1" ht="13.5" hidden="1" customHeight="1">
      <c r="A15" s="496" t="s">
        <v>1023</v>
      </c>
      <c r="B15" s="482" t="s">
        <v>1024</v>
      </c>
      <c r="C15" s="487"/>
      <c r="D15" s="497"/>
      <c r="E15" s="485"/>
      <c r="F15" s="485"/>
      <c r="G15" s="486" t="s">
        <v>1025</v>
      </c>
    </row>
    <row r="16" spans="1:9" s="458" customFormat="1" ht="13.5" hidden="1" customHeight="1">
      <c r="A16" s="496" t="s">
        <v>1026</v>
      </c>
      <c r="B16" s="482" t="s">
        <v>1011</v>
      </c>
      <c r="C16" s="487"/>
      <c r="D16" s="497"/>
      <c r="E16" s="485"/>
      <c r="F16" s="485"/>
      <c r="G16" s="486"/>
    </row>
    <row r="17" spans="1:7" s="458" customFormat="1" ht="13.5" hidden="1" customHeight="1">
      <c r="A17" s="496" t="s">
        <v>1027</v>
      </c>
      <c r="B17" s="482" t="s">
        <v>1028</v>
      </c>
      <c r="C17" s="499"/>
      <c r="D17" s="500"/>
      <c r="E17" s="499"/>
      <c r="F17" s="499"/>
      <c r="G17" s="486" t="s">
        <v>1025</v>
      </c>
    </row>
    <row r="18" spans="1:7" s="458" customFormat="1" ht="13.5" hidden="1" customHeight="1">
      <c r="A18" s="496" t="s">
        <v>1029</v>
      </c>
      <c r="B18" s="482" t="s">
        <v>1030</v>
      </c>
      <c r="C18" s="487">
        <v>0</v>
      </c>
      <c r="D18" s="497"/>
      <c r="E18" s="485"/>
      <c r="F18" s="488">
        <v>3.0499999999999999E-2</v>
      </c>
      <c r="G18" s="486" t="s">
        <v>1031</v>
      </c>
    </row>
    <row r="19" spans="1:7" s="459" customFormat="1" ht="13.5" customHeight="1">
      <c r="A19" s="476" t="s">
        <v>1032</v>
      </c>
      <c r="B19" s="477" t="s">
        <v>1033</v>
      </c>
      <c r="C19" s="478" t="str">
        <f>IF(G19="已包含在土地取得成本中","0",ROUND(D19*E19/10000,0))</f>
        <v>0</v>
      </c>
      <c r="D19" s="502">
        <f ca="1">D9+D10</f>
        <v>27298.22</v>
      </c>
      <c r="E19" s="478">
        <f>'数据-取费表'!B31</f>
        <v>200</v>
      </c>
      <c r="F19" s="503"/>
      <c r="G19" s="1025" t="s">
        <v>1835</v>
      </c>
    </row>
    <row r="20" spans="1:7" s="458" customFormat="1" ht="13.5" customHeight="1">
      <c r="A20" s="476" t="s">
        <v>1034</v>
      </c>
      <c r="B20" s="477" t="s">
        <v>1035</v>
      </c>
      <c r="C20" s="504">
        <f ca="1">ROUND((C5+C19)*F20,0)</f>
        <v>11</v>
      </c>
      <c r="D20" s="504"/>
      <c r="E20" s="504"/>
      <c r="F20" s="505">
        <f>'数据-取费表'!B37</f>
        <v>0.02</v>
      </c>
      <c r="G20" s="509" t="s">
        <v>1036</v>
      </c>
    </row>
    <row r="21" spans="1:7" s="458" customFormat="1" ht="13.5" customHeight="1">
      <c r="A21" s="476" t="s">
        <v>1037</v>
      </c>
      <c r="B21" s="477" t="s">
        <v>1038</v>
      </c>
      <c r="C21" s="507">
        <f>F21</f>
        <v>0.02</v>
      </c>
      <c r="D21" s="508" t="s">
        <v>1039</v>
      </c>
      <c r="E21" s="504"/>
      <c r="F21" s="505">
        <f>'数据-取费表'!B38</f>
        <v>0.02</v>
      </c>
      <c r="G21" s="509" t="s">
        <v>1040</v>
      </c>
    </row>
    <row r="22" spans="1:7" s="458" customFormat="1" ht="13.5" customHeight="1">
      <c r="A22" s="476" t="s">
        <v>1041</v>
      </c>
      <c r="B22" s="477" t="s">
        <v>1042</v>
      </c>
      <c r="C22" s="510">
        <f ca="1">ROUND(SUM(C23:C25),0)</f>
        <v>49</v>
      </c>
      <c r="D22" s="507">
        <f ca="1">C26</f>
        <v>8.9999999999999998E-4</v>
      </c>
      <c r="E22" s="508" t="s">
        <v>1039</v>
      </c>
      <c r="F22" s="511">
        <f ca="1">'数据-取费表'!B40</f>
        <v>4.3499999999999997E-2</v>
      </c>
      <c r="G22" s="509" t="str">
        <f>IF('数据-取费表'!B22&lt;=1,"单利计息","复利计息")</f>
        <v>复利计息</v>
      </c>
    </row>
    <row r="23" spans="1:7" s="458" customFormat="1" ht="13.5" customHeight="1">
      <c r="A23" s="512" t="s">
        <v>1006</v>
      </c>
      <c r="B23" s="482" t="s">
        <v>1043</v>
      </c>
      <c r="C23" s="513">
        <f ca="1">ROUND(IF('数据-取费表'!B22&lt;=1,C5*F22*'数据-取费表'!B23,C5*(POWER((1+F22),'数据-取费表'!B23)-1)),0)</f>
        <v>49</v>
      </c>
      <c r="D23" s="514"/>
      <c r="E23" s="514"/>
      <c r="F23" s="515"/>
      <c r="G23" s="516" t="s">
        <v>1044</v>
      </c>
    </row>
    <row r="24" spans="1:7" s="458" customFormat="1" ht="13.5" customHeight="1">
      <c r="A24" s="512" t="s">
        <v>1008</v>
      </c>
      <c r="B24" s="482" t="s">
        <v>1045</v>
      </c>
      <c r="C24" s="513">
        <f ca="1">ROUND(IF('数据-取费表'!B22&lt;=1,C19*F22*('数据-取费表'!B19/2+'数据-取费表'!B21),C19*(POWER((1+F22),('数据-取费表'!B19/2+'数据-取费表'!B21))-1)),0)</f>
        <v>0</v>
      </c>
      <c r="D24" s="514"/>
      <c r="E24" s="514"/>
      <c r="F24" s="515"/>
      <c r="G24" s="516" t="s">
        <v>1046</v>
      </c>
    </row>
    <row r="25" spans="1:7" s="458" customFormat="1" ht="24">
      <c r="A25" s="512" t="s">
        <v>1010</v>
      </c>
      <c r="B25" s="482" t="s">
        <v>1047</v>
      </c>
      <c r="C25" s="513">
        <f ca="1">ROUND(IF('数据-取费表'!B22&lt;=1,C20*F22*'数据-取费表'!B23/2,C20*(POWER((1+F22),'数据-取费表'!B23/2)-1)),0)</f>
        <v>0</v>
      </c>
      <c r="D25" s="514"/>
      <c r="E25" s="517"/>
      <c r="F25" s="515"/>
      <c r="G25" s="518" t="s">
        <v>1048</v>
      </c>
    </row>
    <row r="26" spans="1:7" s="458" customFormat="1">
      <c r="A26" s="512" t="s">
        <v>1049</v>
      </c>
      <c r="B26" s="482" t="s">
        <v>1050</v>
      </c>
      <c r="C26" s="514">
        <f ca="1">ROUND(IF('数据-取费表'!B22&lt;=1,F21*F22*'数据-取费表'!B23/2,F21*(POWER((1+F22),'数据-取费表'!B23/2)-1)),4)</f>
        <v>8.9999999999999998E-4</v>
      </c>
      <c r="D26" s="514"/>
      <c r="E26" s="517"/>
      <c r="F26" s="515"/>
      <c r="G26" s="519"/>
    </row>
    <row r="27" spans="1:7" s="458" customFormat="1" ht="26.4">
      <c r="A27" s="476" t="s">
        <v>1051</v>
      </c>
      <c r="B27" s="520" t="s">
        <v>1052</v>
      </c>
      <c r="C27" s="521">
        <f ca="1">C28</f>
        <v>111</v>
      </c>
      <c r="D27" s="507">
        <f ca="1">C29</f>
        <v>4.0000000000000001E-3</v>
      </c>
      <c r="E27" s="508" t="s">
        <v>1039</v>
      </c>
      <c r="F27" s="522">
        <f ca="1">IF(B1="",'数据-取费表'!Q16,INDIRECT("'数据-取费表'!q"&amp;$G$1))</f>
        <v>0.2</v>
      </c>
      <c r="G27" s="523" t="s">
        <v>1053</v>
      </c>
    </row>
    <row r="28" spans="1:7" s="458" customFormat="1" ht="13.5" customHeight="1">
      <c r="A28" s="512" t="s">
        <v>1006</v>
      </c>
      <c r="B28" s="524" t="s">
        <v>1054</v>
      </c>
      <c r="C28" s="525">
        <f ca="1">ROUND((C5+C19+C20)*F27*'数据-取费表'!B21/'数据-取费表'!B20,0)</f>
        <v>111</v>
      </c>
      <c r="D28" s="507"/>
      <c r="E28" s="508"/>
      <c r="F28" s="522"/>
      <c r="G28" s="523"/>
    </row>
    <row r="29" spans="1:7" s="458" customFormat="1" ht="13.5" customHeight="1">
      <c r="A29" s="512" t="s">
        <v>1008</v>
      </c>
      <c r="B29" s="524" t="s">
        <v>1055</v>
      </c>
      <c r="C29" s="514">
        <f ca="1">ROUND(C21*F27*'数据-取费表'!B21/'数据-取费表'!B20,4)</f>
        <v>4.0000000000000001E-3</v>
      </c>
      <c r="D29" s="507"/>
      <c r="E29" s="508"/>
      <c r="F29" s="522"/>
      <c r="G29" s="523"/>
    </row>
    <row r="30" spans="1:7" s="458" customFormat="1" ht="13.5" customHeight="1">
      <c r="A30" s="476" t="s">
        <v>1056</v>
      </c>
      <c r="B30" s="477" t="s">
        <v>1057</v>
      </c>
      <c r="C30" s="507">
        <f>ROUND(F30/(1+'数据-取费表'!C42),4)</f>
        <v>5.33E-2</v>
      </c>
      <c r="D30" s="508" t="s">
        <v>1039</v>
      </c>
      <c r="E30" s="517"/>
      <c r="F30" s="511">
        <f>'数据-取费表'!B41</f>
        <v>5.6000000000000001E-2</v>
      </c>
      <c r="G30" s="509" t="s">
        <v>1058</v>
      </c>
    </row>
    <row r="31" spans="1:7" ht="16.5" customHeight="1">
      <c r="A31" s="526">
        <v>1</v>
      </c>
      <c r="B31" s="477" t="s">
        <v>1059</v>
      </c>
      <c r="C31" s="478">
        <f ca="1">ROUND((C5+C19+C20+C22+C27)/(1-C21-D22-D27-C30),0)</f>
        <v>778</v>
      </c>
      <c r="D31" s="527"/>
      <c r="E31" s="478"/>
      <c r="F31" s="528"/>
      <c r="G31" s="509" t="s">
        <v>1060</v>
      </c>
    </row>
    <row r="32" spans="1:7" s="457" customFormat="1" ht="16.2">
      <c r="A32" s="529" t="s">
        <v>1836</v>
      </c>
      <c r="B32" s="530"/>
      <c r="C32" s="530"/>
      <c r="D32" s="530"/>
      <c r="E32" s="530"/>
      <c r="F32" s="530"/>
      <c r="G32" s="531"/>
    </row>
    <row r="33" spans="1:7" s="458" customFormat="1" ht="13.5" customHeight="1">
      <c r="A33" s="476" t="s">
        <v>1002</v>
      </c>
      <c r="B33" s="477" t="s">
        <v>1837</v>
      </c>
      <c r="C33" s="532">
        <f ca="1">SUM(C34:C38)</f>
        <v>14887</v>
      </c>
      <c r="D33" s="504"/>
      <c r="E33" s="479"/>
      <c r="F33" s="517"/>
      <c r="G33" s="509"/>
    </row>
    <row r="34" spans="1:7" s="460" customFormat="1" ht="13.5" customHeight="1">
      <c r="A34" s="512" t="s">
        <v>1006</v>
      </c>
      <c r="B34" s="482" t="s">
        <v>1063</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1838</v>
      </c>
    </row>
    <row r="35" spans="1:7" ht="13.5" customHeight="1">
      <c r="A35" s="512" t="s">
        <v>1008</v>
      </c>
      <c r="B35" s="482" t="s">
        <v>1064</v>
      </c>
      <c r="C35" s="487">
        <f ca="1">ROUND(C34*F35,0)</f>
        <v>412</v>
      </c>
      <c r="D35" s="487"/>
      <c r="E35" s="487"/>
      <c r="F35" s="534">
        <f>'数据-取费表'!B33</f>
        <v>0.03</v>
      </c>
      <c r="G35" s="486" t="s">
        <v>1065</v>
      </c>
    </row>
    <row r="36" spans="1:7" ht="24">
      <c r="A36" s="512" t="s">
        <v>1010</v>
      </c>
      <c r="B36" s="482" t="s">
        <v>1066</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1067</v>
      </c>
    </row>
    <row r="37" spans="1:7" s="460" customFormat="1" ht="13.5" customHeight="1">
      <c r="A37" s="512" t="s">
        <v>1049</v>
      </c>
      <c r="B37" s="482" t="s">
        <v>1068</v>
      </c>
      <c r="C37" s="525">
        <f ca="1">ROUND(E37*D37*F34/10000,0)</f>
        <v>546</v>
      </c>
      <c r="D37" s="484">
        <f ca="1">D19</f>
        <v>27298.22</v>
      </c>
      <c r="E37" s="525">
        <f>'数据-取费表'!B35</f>
        <v>200</v>
      </c>
      <c r="F37" s="534"/>
      <c r="G37" s="536" t="s">
        <v>1839</v>
      </c>
    </row>
    <row r="38" spans="1:7" ht="13.5" customHeight="1">
      <c r="A38" s="512" t="s">
        <v>1069</v>
      </c>
      <c r="B38" s="482" t="s">
        <v>935</v>
      </c>
      <c r="C38" s="487">
        <f ca="1">ROUND(C34*F38,0)</f>
        <v>206</v>
      </c>
      <c r="D38" s="487"/>
      <c r="E38" s="487"/>
      <c r="F38" s="534">
        <f>'数据-取费表'!B36</f>
        <v>1.4999999999999999E-2</v>
      </c>
      <c r="G38" s="486" t="s">
        <v>1065</v>
      </c>
    </row>
    <row r="39" spans="1:7" s="458" customFormat="1" ht="13.5" customHeight="1">
      <c r="A39" s="476" t="s">
        <v>1032</v>
      </c>
      <c r="B39" s="477" t="s">
        <v>1035</v>
      </c>
      <c r="C39" s="504">
        <f ca="1">ROUND(C33*F20,0)</f>
        <v>298</v>
      </c>
      <c r="D39" s="504"/>
      <c r="E39" s="504"/>
      <c r="F39" s="505">
        <f>F20</f>
        <v>0.02</v>
      </c>
      <c r="G39" s="509" t="s">
        <v>1070</v>
      </c>
    </row>
    <row r="40" spans="1:7" s="458" customFormat="1" ht="13.5" customHeight="1">
      <c r="A40" s="476" t="s">
        <v>1034</v>
      </c>
      <c r="B40" s="477" t="s">
        <v>1038</v>
      </c>
      <c r="C40" s="1028">
        <f>F21</f>
        <v>0.02</v>
      </c>
      <c r="D40" s="508" t="s">
        <v>1071</v>
      </c>
      <c r="E40" s="504"/>
      <c r="F40" s="505">
        <f>F21</f>
        <v>0.02</v>
      </c>
      <c r="G40" s="509" t="s">
        <v>1072</v>
      </c>
    </row>
    <row r="41" spans="1:7" s="458" customFormat="1" ht="13.5" customHeight="1">
      <c r="A41" s="476" t="s">
        <v>1037</v>
      </c>
      <c r="B41" s="477" t="s">
        <v>1042</v>
      </c>
      <c r="C41" s="504">
        <f ca="1">ROUND(SUM(C42:C43),0)</f>
        <v>661</v>
      </c>
      <c r="D41" s="507">
        <f ca="1">C44</f>
        <v>8.9999999999999998E-4</v>
      </c>
      <c r="E41" s="508" t="s">
        <v>1071</v>
      </c>
      <c r="F41" s="511">
        <f ca="1">F22</f>
        <v>4.3499999999999997E-2</v>
      </c>
      <c r="G41" s="509" t="str">
        <f>IF('数据-取费表'!B22&lt;=1,"单利计息","复利计息")</f>
        <v>复利计息</v>
      </c>
    </row>
    <row r="42" spans="1:7" ht="13.5" customHeight="1">
      <c r="A42" s="512" t="s">
        <v>1006</v>
      </c>
      <c r="B42" s="482" t="s">
        <v>1043</v>
      </c>
      <c r="C42" s="514">
        <f ca="1">ROUND(IF('数据-取费表'!B22&lt;=1,C33*F22*'数据-取费表'!B21/2,C33*(POWER((1+F22),'数据-取费表'!B21/2)-1)),0)</f>
        <v>648</v>
      </c>
      <c r="D42" s="514"/>
      <c r="E42" s="514"/>
      <c r="F42" s="515"/>
      <c r="G42" s="3807" t="s">
        <v>1840</v>
      </c>
    </row>
    <row r="43" spans="1:7" ht="13.5" customHeight="1">
      <c r="A43" s="512" t="s">
        <v>1008</v>
      </c>
      <c r="B43" s="482" t="s">
        <v>1045</v>
      </c>
      <c r="C43" s="514">
        <f ca="1">ROUND(IF('数据-取费表'!B22&lt;=1,C39*F22*'数据-取费表'!B21/2,C39*(POWER((1+F22),'数据-取费表'!B21/2)-1)),0)</f>
        <v>13</v>
      </c>
      <c r="D43" s="514"/>
      <c r="E43" s="514"/>
      <c r="F43" s="515"/>
      <c r="G43" s="3808"/>
    </row>
    <row r="44" spans="1:7" ht="13.5" customHeight="1">
      <c r="A44" s="512" t="s">
        <v>1010</v>
      </c>
      <c r="B44" s="482" t="s">
        <v>1047</v>
      </c>
      <c r="C44" s="514">
        <f ca="1">ROUND(IF('数据-取费表'!B22&lt;=1,C40*F22*'数据-取费表'!B21/2,C40*(POWER((1+F22),'数据-取费表'!B21/2)-1)),4)</f>
        <v>8.9999999999999998E-4</v>
      </c>
      <c r="D44" s="514"/>
      <c r="E44" s="514"/>
      <c r="F44" s="515"/>
      <c r="G44" s="3809"/>
    </row>
    <row r="45" spans="1:7" s="458" customFormat="1" ht="13.5" customHeight="1">
      <c r="A45" s="476" t="s">
        <v>1041</v>
      </c>
      <c r="B45" s="520" t="s">
        <v>1052</v>
      </c>
      <c r="C45" s="521">
        <f ca="1">C46</f>
        <v>3037</v>
      </c>
      <c r="D45" s="507">
        <f ca="1">C47</f>
        <v>4.0000000000000001E-3</v>
      </c>
      <c r="E45" s="508" t="s">
        <v>1071</v>
      </c>
      <c r="F45" s="522">
        <f ca="1">F27</f>
        <v>0.2</v>
      </c>
      <c r="G45" s="523" t="s">
        <v>1074</v>
      </c>
    </row>
    <row r="46" spans="1:7" s="458" customFormat="1" ht="13.5" customHeight="1">
      <c r="A46" s="512" t="s">
        <v>1006</v>
      </c>
      <c r="B46" s="524" t="s">
        <v>1075</v>
      </c>
      <c r="C46" s="525">
        <f ca="1">ROUND((C33+C39)*F27,0)</f>
        <v>3037</v>
      </c>
      <c r="D46" s="538"/>
      <c r="E46" s="508"/>
      <c r="F46" s="522"/>
      <c r="G46" s="523"/>
    </row>
    <row r="47" spans="1:7" s="458" customFormat="1" ht="13.5" customHeight="1">
      <c r="A47" s="512" t="s">
        <v>1008</v>
      </c>
      <c r="B47" s="524" t="s">
        <v>1076</v>
      </c>
      <c r="C47" s="514">
        <f ca="1">ROUND(C40*F27,4)</f>
        <v>4.0000000000000001E-3</v>
      </c>
      <c r="D47" s="538"/>
      <c r="E47" s="508"/>
      <c r="F47" s="522"/>
      <c r="G47" s="523"/>
    </row>
    <row r="48" spans="1:7" s="458" customFormat="1" ht="13.5" customHeight="1">
      <c r="A48" s="476" t="s">
        <v>1051</v>
      </c>
      <c r="B48" s="477" t="s">
        <v>1057</v>
      </c>
      <c r="C48" s="1028">
        <f>ROUND(F30/(1+'数据-取费表'!C42),4)</f>
        <v>5.33E-2</v>
      </c>
      <c r="D48" s="508" t="s">
        <v>1071</v>
      </c>
      <c r="E48" s="504"/>
      <c r="F48" s="511">
        <f>F30</f>
        <v>5.6000000000000001E-2</v>
      </c>
      <c r="G48" s="509" t="s">
        <v>1077</v>
      </c>
    </row>
    <row r="49" spans="1:7" ht="16.5" customHeight="1">
      <c r="A49" s="476" t="s">
        <v>1056</v>
      </c>
      <c r="B49" s="477" t="s">
        <v>1841</v>
      </c>
      <c r="C49" s="504">
        <f ca="1">ROUND((C33+C39+C41+C45)/(1-C40-D41-D45-C48),0)</f>
        <v>20485</v>
      </c>
      <c r="D49" s="504"/>
      <c r="E49" s="504"/>
      <c r="F49" s="539"/>
      <c r="G49" s="509" t="s">
        <v>1079</v>
      </c>
    </row>
    <row r="50" spans="1:7" s="460" customFormat="1" ht="24">
      <c r="A50" s="476" t="s">
        <v>1080</v>
      </c>
      <c r="B50" s="477" t="s">
        <v>1081</v>
      </c>
      <c r="C50" s="504"/>
      <c r="D50" s="504"/>
      <c r="E50" s="504"/>
      <c r="F50" s="539">
        <f>IF('数据-取费表'!B24=0,'数据-取费表'!N16,1)</f>
        <v>0.83</v>
      </c>
      <c r="G50" s="523" t="s">
        <v>1842</v>
      </c>
    </row>
    <row r="51" spans="1:7" ht="16.5" customHeight="1">
      <c r="A51" s="476" t="s">
        <v>1082</v>
      </c>
      <c r="B51" s="477" t="s">
        <v>1843</v>
      </c>
      <c r="C51" s="504">
        <f ca="1">ROUND(C49*F50,0)</f>
        <v>17003</v>
      </c>
      <c r="D51" s="504"/>
      <c r="E51" s="504"/>
      <c r="F51" s="539"/>
      <c r="G51" s="509" t="s">
        <v>1084</v>
      </c>
    </row>
    <row r="52" spans="1:7" s="457" customFormat="1" ht="16.2">
      <c r="A52" s="540" t="s">
        <v>1085</v>
      </c>
      <c r="B52" s="541"/>
      <c r="C52" s="542">
        <f ca="1">C31+C51</f>
        <v>17781</v>
      </c>
      <c r="D52" s="541"/>
      <c r="E52" s="541"/>
      <c r="F52" s="541"/>
      <c r="G52" s="543"/>
    </row>
    <row r="55" spans="1:7" ht="15">
      <c r="B55" s="544" t="s">
        <v>1086</v>
      </c>
      <c r="C55" s="545"/>
    </row>
    <row r="56" spans="1:7">
      <c r="B56" s="546" t="s">
        <v>1087</v>
      </c>
      <c r="C56" s="548">
        <f ca="1">1-C57</f>
        <v>4.4000000000000039E-2</v>
      </c>
    </row>
    <row r="57" spans="1:7">
      <c r="B57" s="546" t="s">
        <v>1088</v>
      </c>
      <c r="C57" s="547">
        <f ca="1">ROUND(C51/C52,3)</f>
        <v>0.95599999999999996</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3.2"/>
  <cols>
    <col min="1" max="1" width="9.77734375" style="631" customWidth="1"/>
    <col min="2" max="2" width="22.44140625" style="632" customWidth="1"/>
    <col min="3" max="3" width="12" style="633"/>
    <col min="4" max="4" width="14.88671875" style="633" customWidth="1"/>
    <col min="5" max="5" width="14.6640625" style="633" customWidth="1"/>
    <col min="6" max="8" width="12" style="633"/>
    <col min="9" max="9" width="12.21875" style="633" customWidth="1"/>
    <col min="10" max="10" width="12" style="633"/>
    <col min="11" max="11" width="8.109375" style="634" customWidth="1"/>
    <col min="12" max="12" width="19.44140625" style="633" customWidth="1"/>
    <col min="13" max="13" width="8.44140625" style="633" customWidth="1"/>
    <col min="14" max="14" width="9.77734375" style="633" customWidth="1"/>
    <col min="15" max="25" width="12" style="633"/>
    <col min="26" max="26" width="9.33203125" style="631" customWidth="1"/>
    <col min="27" max="32" width="9.33203125" style="635" customWidth="1"/>
    <col min="33" max="36" width="9.33203125" style="631" customWidth="1"/>
    <col min="37" max="38" width="9.33203125" style="633" customWidth="1"/>
    <col min="39" max="16384" width="12" style="633"/>
  </cols>
  <sheetData>
    <row r="1" spans="1:36" ht="31.2">
      <c r="A1" s="464" t="s">
        <v>1844</v>
      </c>
      <c r="B1" s="465"/>
      <c r="C1" s="468" t="s">
        <v>1148</v>
      </c>
      <c r="D1" s="636">
        <f>SUM(D33:D34,D37:D42)</f>
        <v>27298.22</v>
      </c>
      <c r="E1" s="637"/>
      <c r="F1" s="637"/>
      <c r="G1" s="637"/>
      <c r="H1" s="637"/>
      <c r="I1" s="637"/>
      <c r="J1" s="637"/>
      <c r="K1" s="629"/>
      <c r="L1" s="841" t="s">
        <v>1845</v>
      </c>
      <c r="M1" s="842">
        <f>SUMPRODUCT((区片价!B5:B9=I2)*(区片价!C3:G3=E2)*(区片价!C5:G9))</f>
        <v>0</v>
      </c>
      <c r="N1" s="843">
        <f>SUMPRODUCT((因素修正幅度!B5:B9=I2)*(因素修正幅度!C3:G3=E2)*(因素修正幅度!C5:G9))</f>
        <v>0</v>
      </c>
      <c r="O1" s="630"/>
      <c r="P1" s="630"/>
      <c r="Q1" s="629"/>
      <c r="R1" s="935" t="s">
        <v>1846</v>
      </c>
      <c r="S1" s="935" t="s">
        <v>1847</v>
      </c>
      <c r="T1" s="935" t="s">
        <v>1848</v>
      </c>
      <c r="U1" s="935" t="s">
        <v>1849</v>
      </c>
      <c r="V1" s="935" t="s">
        <v>1850</v>
      </c>
      <c r="W1" s="936"/>
      <c r="X1" s="936"/>
      <c r="Y1" s="936"/>
      <c r="Z1" s="936"/>
      <c r="AA1" s="936"/>
      <c r="AB1" s="936"/>
      <c r="AC1" s="947"/>
      <c r="AD1" s="948"/>
      <c r="AE1" s="948"/>
      <c r="AF1" s="948"/>
      <c r="AG1" s="948"/>
      <c r="AH1" s="948"/>
      <c r="AI1" s="948"/>
      <c r="AJ1" s="957"/>
    </row>
    <row r="2" spans="1:36" ht="15.6">
      <c r="A2" s="468" t="s">
        <v>997</v>
      </c>
      <c r="B2" s="472">
        <f>C30</f>
        <v>0</v>
      </c>
      <c r="C2" s="638" t="s">
        <v>998</v>
      </c>
      <c r="D2" s="639" t="s">
        <v>1851</v>
      </c>
      <c r="E2" s="640" t="s">
        <v>549</v>
      </c>
      <c r="F2" s="639" t="s">
        <v>1852</v>
      </c>
      <c r="G2" s="641" t="str">
        <f>IF(E2="商业",项目基本情况!B37,IF(E2="办公",项目基本情况!C37,IF(E2="住宅",项目基本情况!D37,IF(E2="工业",项目基本情况!E37,项目基本情况!F37))))</f>
        <v>二级</v>
      </c>
      <c r="H2" s="639" t="s">
        <v>1853</v>
      </c>
      <c r="I2" s="641" t="str">
        <f>IF(E2="商业",项目基本情况!B38,IF(E2="办公",项目基本情况!C38,IF(E2="住宅",项目基本情况!D38,IF(E2="工业",项目基本情况!E38,项目基本情况!F38))))</f>
        <v>Ⅱ—13</v>
      </c>
      <c r="J2" s="844"/>
      <c r="K2" s="629"/>
      <c r="L2" s="845" t="s">
        <v>1854</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0</v>
      </c>
      <c r="U2" s="938"/>
      <c r="V2" s="937">
        <f>ROUND(T2*U2/10000,0)</f>
        <v>0</v>
      </c>
      <c r="W2" s="936"/>
      <c r="X2" s="936"/>
      <c r="Y2" s="936"/>
      <c r="Z2" s="936"/>
      <c r="AA2" s="936"/>
      <c r="AB2" s="936"/>
      <c r="AC2" s="947"/>
      <c r="AD2" s="948"/>
      <c r="AE2" s="948"/>
      <c r="AF2" s="948"/>
      <c r="AG2" s="948"/>
      <c r="AH2" s="948"/>
      <c r="AI2" s="948"/>
      <c r="AJ2" s="957"/>
    </row>
    <row r="3" spans="1:36" ht="15.6">
      <c r="A3" s="471" t="s">
        <v>999</v>
      </c>
      <c r="B3" s="472">
        <f>ROUND(B2*10000/D1,0)</f>
        <v>0</v>
      </c>
      <c r="C3" s="638" t="s">
        <v>1000</v>
      </c>
      <c r="D3" s="639" t="s">
        <v>1855</v>
      </c>
      <c r="E3" s="642" t="s">
        <v>1856</v>
      </c>
      <c r="F3" s="643" t="s">
        <v>1857</v>
      </c>
      <c r="G3" s="644">
        <f>IF(F3="宗地容积率",'数据-汇总表'!I4,IF(F3="估价对象容积率",'数据-汇总表'!I6,'数据-汇总表'!I7))</f>
        <v>2.4300000000000002</v>
      </c>
      <c r="H3" s="645" t="s">
        <v>1858</v>
      </c>
      <c r="I3" s="847"/>
      <c r="J3" s="844" t="s">
        <v>1859</v>
      </c>
      <c r="K3" s="629"/>
      <c r="L3" s="845" t="s">
        <v>1860</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0</v>
      </c>
      <c r="U3" s="938"/>
      <c r="V3" s="937">
        <f t="shared" ref="V3:V16" si="1">ROUND(T3*U3/10000,0)</f>
        <v>0</v>
      </c>
      <c r="W3" s="936"/>
      <c r="X3" s="936"/>
      <c r="Y3" s="936"/>
      <c r="Z3" s="936"/>
      <c r="AA3" s="936"/>
      <c r="AB3" s="936"/>
      <c r="AC3" s="947"/>
      <c r="AD3" s="948"/>
      <c r="AE3" s="948"/>
      <c r="AF3" s="948"/>
      <c r="AG3" s="948"/>
      <c r="AH3" s="948"/>
      <c r="AI3" s="948"/>
      <c r="AJ3" s="957"/>
    </row>
    <row r="4" spans="1:36" ht="15.6">
      <c r="A4" s="3912"/>
      <c r="B4" s="3913"/>
      <c r="C4" s="3913"/>
      <c r="D4" s="3914"/>
      <c r="E4" s="3914"/>
      <c r="F4" s="3914"/>
      <c r="G4" s="3914"/>
      <c r="H4" s="3914"/>
      <c r="I4" s="3914"/>
      <c r="J4" s="3915"/>
      <c r="K4" s="629"/>
      <c r="L4" s="845" t="s">
        <v>1861</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0</v>
      </c>
      <c r="U4" s="938"/>
      <c r="V4" s="937">
        <f t="shared" si="1"/>
        <v>0</v>
      </c>
      <c r="W4" s="936"/>
      <c r="X4" s="936"/>
      <c r="Y4" s="936"/>
      <c r="Z4" s="936"/>
      <c r="AA4" s="936"/>
      <c r="AB4" s="936"/>
      <c r="AC4" s="947"/>
      <c r="AD4" s="948"/>
      <c r="AE4" s="948"/>
      <c r="AF4" s="948"/>
      <c r="AG4" s="948"/>
      <c r="AH4" s="948"/>
      <c r="AI4" s="948"/>
      <c r="AJ4" s="957"/>
    </row>
    <row r="5" spans="1:36" s="628" customFormat="1" ht="15">
      <c r="A5" s="646" t="s">
        <v>900</v>
      </c>
      <c r="B5" s="647" t="s">
        <v>1862</v>
      </c>
      <c r="C5" s="648">
        <f>ROUND(IF(E2="商业",C6*C7*C17+C20,(IF(E2="住宅",C6*C13*C17+C20,IF(E2="办公",C6*C12*C17+C20,C6+C20)))),0)</f>
        <v>31076</v>
      </c>
      <c r="D5" s="649">
        <f>ROUND(C6*C17+C20,0)</f>
        <v>29799</v>
      </c>
      <c r="E5" s="649"/>
      <c r="F5" s="650"/>
      <c r="G5" s="651"/>
      <c r="H5" s="651"/>
      <c r="I5" s="651"/>
      <c r="J5" s="848"/>
      <c r="K5" s="849"/>
      <c r="L5" s="845" t="s">
        <v>1863</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0</v>
      </c>
      <c r="U5" s="938"/>
      <c r="V5" s="937">
        <f t="shared" si="1"/>
        <v>0</v>
      </c>
      <c r="W5" s="936"/>
      <c r="X5" s="936"/>
      <c r="Y5" s="936"/>
      <c r="Z5" s="936"/>
      <c r="AA5" s="936"/>
      <c r="AB5" s="936"/>
      <c r="AC5" s="949"/>
      <c r="AD5" s="950"/>
      <c r="AE5" s="950"/>
      <c r="AF5" s="950"/>
      <c r="AG5" s="950"/>
      <c r="AH5" s="950"/>
      <c r="AI5" s="950"/>
      <c r="AJ5" s="958"/>
    </row>
    <row r="6" spans="1:36" ht="15">
      <c r="A6" s="652" t="s">
        <v>1002</v>
      </c>
      <c r="B6" s="653" t="s">
        <v>1864</v>
      </c>
      <c r="C6" s="654">
        <f>SUMIF(L1:L12,G2,M1:M12)</f>
        <v>29830</v>
      </c>
      <c r="D6" s="655"/>
      <c r="E6" s="656"/>
      <c r="F6" s="656"/>
      <c r="G6" s="657"/>
      <c r="H6" s="657"/>
      <c r="I6" s="657"/>
      <c r="J6" s="850"/>
      <c r="K6" s="851"/>
      <c r="L6" s="845" t="s">
        <v>1865</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0</v>
      </c>
      <c r="U6" s="938"/>
      <c r="V6" s="937">
        <f t="shared" si="1"/>
        <v>0</v>
      </c>
      <c r="W6" s="936"/>
      <c r="X6" s="936"/>
      <c r="Y6" s="936"/>
      <c r="Z6" s="936"/>
      <c r="AA6" s="936"/>
      <c r="AB6" s="936"/>
      <c r="AC6" s="949"/>
      <c r="AD6" s="950"/>
      <c r="AE6" s="950"/>
      <c r="AF6" s="950"/>
      <c r="AG6" s="950"/>
      <c r="AH6" s="950"/>
      <c r="AI6" s="950"/>
      <c r="AJ6" s="958"/>
    </row>
    <row r="7" spans="1:36" ht="24">
      <c r="A7" s="658" t="s">
        <v>1866</v>
      </c>
      <c r="B7" s="659" t="s">
        <v>1867</v>
      </c>
      <c r="C7" s="660">
        <f>IF(C8="不临65条商业街",1,ROUND(1+(1.6*E8+1.2*E9+0.8*E10+0.4*E11)*C9,4))</f>
        <v>1.0427999999999999</v>
      </c>
      <c r="D7" s="661" t="s">
        <v>1868</v>
      </c>
      <c r="E7" s="662">
        <v>70</v>
      </c>
      <c r="F7" s="663"/>
      <c r="G7" s="664"/>
      <c r="H7" s="664"/>
      <c r="I7" s="664"/>
      <c r="J7" s="852"/>
      <c r="K7" s="851"/>
      <c r="L7" s="845" t="s">
        <v>1869</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1870</v>
      </c>
      <c r="X7" s="941" t="str">
        <f>G2</f>
        <v>二级</v>
      </c>
      <c r="Y7" s="941" t="s">
        <v>1871</v>
      </c>
      <c r="Z7" s="951">
        <f>G3</f>
        <v>2.4300000000000002</v>
      </c>
      <c r="AA7" s="936"/>
      <c r="AB7" s="936"/>
      <c r="AC7" s="947"/>
      <c r="AD7" s="948"/>
      <c r="AE7" s="948"/>
      <c r="AF7" s="948"/>
      <c r="AG7" s="948"/>
      <c r="AH7" s="948"/>
      <c r="AI7" s="948"/>
      <c r="AJ7" s="957"/>
    </row>
    <row r="8" spans="1:36" ht="15">
      <c r="A8" s="665"/>
      <c r="B8" s="645" t="s">
        <v>1872</v>
      </c>
      <c r="C8" s="666" t="s">
        <v>1873</v>
      </c>
      <c r="D8" s="667" t="s">
        <v>1874</v>
      </c>
      <c r="E8" s="668">
        <f>ROUND(C11/E7,4)</f>
        <v>7.1400000000000005E-2</v>
      </c>
      <c r="F8" s="669" t="s">
        <v>1875</v>
      </c>
      <c r="G8" s="670"/>
      <c r="H8" s="670"/>
      <c r="I8" s="670"/>
      <c r="J8" s="853"/>
      <c r="K8" s="629"/>
      <c r="L8" s="845" t="s">
        <v>1876</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916" t="s">
        <v>1877</v>
      </c>
      <c r="X8" s="3917"/>
      <c r="Y8" s="952" t="s">
        <v>1878</v>
      </c>
      <c r="Z8" s="952" t="s">
        <v>1879</v>
      </c>
      <c r="AA8" s="952" t="s">
        <v>1880</v>
      </c>
      <c r="AB8" s="952" t="s">
        <v>1881</v>
      </c>
      <c r="AC8" s="952" t="s">
        <v>1882</v>
      </c>
      <c r="AD8" s="952" t="s">
        <v>1883</v>
      </c>
      <c r="AE8" s="952" t="s">
        <v>1884</v>
      </c>
      <c r="AF8" s="952" t="s">
        <v>1885</v>
      </c>
      <c r="AG8" s="952" t="s">
        <v>1886</v>
      </c>
      <c r="AH8" s="952" t="s">
        <v>1887</v>
      </c>
      <c r="AI8" s="952" t="s">
        <v>1888</v>
      </c>
      <c r="AJ8" s="952" t="s">
        <v>1889</v>
      </c>
    </row>
    <row r="9" spans="1:36" ht="15">
      <c r="A9" s="665"/>
      <c r="B9" s="645" t="s">
        <v>1890</v>
      </c>
      <c r="C9" s="671">
        <f>SUMIF(修正!C71:C138,C8,修正!E71:E138)</f>
        <v>0.15</v>
      </c>
      <c r="D9" s="672" t="s">
        <v>1891</v>
      </c>
      <c r="E9" s="672">
        <f>ROUND(C11/E7,4)</f>
        <v>7.1400000000000005E-2</v>
      </c>
      <c r="F9" s="669" t="s">
        <v>1892</v>
      </c>
      <c r="G9" s="670"/>
      <c r="H9" s="670"/>
      <c r="I9" s="670"/>
      <c r="J9" s="853"/>
      <c r="K9" s="629"/>
      <c r="L9" s="845" t="s">
        <v>1893</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930"/>
      <c r="X9" s="942" t="s">
        <v>1894</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1895</v>
      </c>
      <c r="C10" s="672">
        <f>SUMIF(修正!C71:C138,C8,修正!F71:F138)</f>
        <v>20</v>
      </c>
      <c r="D10" s="672" t="s">
        <v>1896</v>
      </c>
      <c r="E10" s="672">
        <f>ROUND(C11/E7,4)</f>
        <v>7.1400000000000005E-2</v>
      </c>
      <c r="F10" s="669" t="s">
        <v>1897</v>
      </c>
      <c r="G10" s="670"/>
      <c r="H10" s="670"/>
      <c r="I10" s="670"/>
      <c r="J10" s="853"/>
      <c r="K10" s="629"/>
      <c r="L10" s="845" t="s">
        <v>1898</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930"/>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1899</v>
      </c>
      <c r="C11" s="675">
        <f>C10/4</f>
        <v>5</v>
      </c>
      <c r="D11" s="675" t="s">
        <v>1900</v>
      </c>
      <c r="E11" s="675">
        <f>ROUND(C11/E7,4)</f>
        <v>7.1400000000000005E-2</v>
      </c>
      <c r="F11" s="676" t="s">
        <v>1901</v>
      </c>
      <c r="G11" s="677"/>
      <c r="H11" s="677"/>
      <c r="I11" s="677"/>
      <c r="J11" s="854"/>
      <c r="K11" s="629"/>
      <c r="L11" s="845" t="s">
        <v>1902</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5.2">
      <c r="A12" s="658" t="s">
        <v>1903</v>
      </c>
      <c r="B12" s="678" t="s">
        <v>1904</v>
      </c>
      <c r="C12" s="679"/>
      <c r="D12" s="680" t="s">
        <v>1905</v>
      </c>
      <c r="E12" s="681" t="s">
        <v>1906</v>
      </c>
      <c r="F12" s="682"/>
      <c r="G12" s="683"/>
      <c r="H12" s="683"/>
      <c r="I12" s="683"/>
      <c r="J12" s="855"/>
      <c r="K12" s="629"/>
      <c r="L12" s="856" t="s">
        <v>1907</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24">
      <c r="A13" s="658" t="s">
        <v>1908</v>
      </c>
      <c r="B13" s="684" t="s">
        <v>1909</v>
      </c>
      <c r="C13" s="660">
        <f>ROUND(C16*D16*E16*F16*G16*H16*I16*J16,4)</f>
        <v>0</v>
      </c>
      <c r="D13" s="685" t="s">
        <v>1910</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24">
      <c r="A14" s="688"/>
      <c r="B14" s="689" t="s">
        <v>1911</v>
      </c>
      <c r="C14" s="690" t="s">
        <v>1912</v>
      </c>
      <c r="D14" s="691" t="s">
        <v>1913</v>
      </c>
      <c r="E14" s="692" t="s">
        <v>1914</v>
      </c>
      <c r="F14" s="693" t="s">
        <v>1915</v>
      </c>
      <c r="G14" s="693" t="s">
        <v>1915</v>
      </c>
      <c r="H14" s="693" t="s">
        <v>1915</v>
      </c>
      <c r="I14" s="693" t="s">
        <v>1915</v>
      </c>
      <c r="J14" s="693" t="s">
        <v>1915</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1916</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1806</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ht="24">
      <c r="A17" s="703" t="s">
        <v>1917</v>
      </c>
      <c r="B17" s="704" t="s">
        <v>1918</v>
      </c>
      <c r="C17" s="705">
        <f>ROUND(IF(OR(E2="工业",E2="公共服务"),1,IF(AND(E18=0,E19=0),1,IF(AND(E18=J24,E19=G19),0.8,IF(E19=0,1+E17*(-0.2),1+E17*G17*(-0.2))))),4)</f>
        <v>1</v>
      </c>
      <c r="D17" s="706" t="s">
        <v>1919</v>
      </c>
      <c r="E17" s="705">
        <f>ROUND(G18/I18,2)</f>
        <v>0</v>
      </c>
      <c r="F17" s="706" t="s">
        <v>1920</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3.8">
      <c r="A18" s="707"/>
      <c r="B18" s="708"/>
      <c r="C18" s="709"/>
      <c r="D18" s="710" t="s">
        <v>1921</v>
      </c>
      <c r="E18" s="711"/>
      <c r="F18" s="712" t="s">
        <v>1922</v>
      </c>
      <c r="G18" s="709">
        <f>ROUND(1-(1/(POWER(1+G24,E18))),4)</f>
        <v>0</v>
      </c>
      <c r="H18" s="712" t="s">
        <v>1923</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3.8">
      <c r="A19" s="713"/>
      <c r="B19" s="714"/>
      <c r="C19" s="715"/>
      <c r="D19" s="715" t="s">
        <v>1924</v>
      </c>
      <c r="E19" s="716"/>
      <c r="F19" s="717" t="s">
        <v>1925</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3.8">
      <c r="A20" s="3922" t="s">
        <v>1926</v>
      </c>
      <c r="B20" s="718" t="s">
        <v>1927</v>
      </c>
      <c r="C20" s="719">
        <f>ROUND(IF(F21="与级别开发程度一致",0,(G21-E21)/C21),0)</f>
        <v>-31</v>
      </c>
      <c r="D20" s="720" t="s">
        <v>1928</v>
      </c>
      <c r="E20" s="721"/>
      <c r="F20" s="3918" t="s">
        <v>1929</v>
      </c>
      <c r="G20" s="3919"/>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6.4">
      <c r="A21" s="3923"/>
      <c r="B21" s="723" t="s">
        <v>1930</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1931</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4.4">
      <c r="A22" s="729" t="s">
        <v>911</v>
      </c>
      <c r="B22" s="730" t="s">
        <v>1932</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6.4">
      <c r="A23" s="734" t="s">
        <v>916</v>
      </c>
      <c r="B23" s="735" t="s">
        <v>1933</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7" t="s">
        <v>1934</v>
      </c>
      <c r="E23" s="738">
        <v>44197</v>
      </c>
      <c r="F23" s="737" t="s">
        <v>1935</v>
      </c>
      <c r="G23" s="739">
        <f>'数据-取费表'!B2</f>
        <v>44196</v>
      </c>
      <c r="H23" s="740" t="s">
        <v>1936</v>
      </c>
      <c r="I23" s="877" t="str">
        <f>IF(H23="季度增幅（自定义）",SUMIF(N25:N28,E2,O25:O28),"")</f>
        <v/>
      </c>
      <c r="J23" s="878" t="s">
        <v>1937</v>
      </c>
      <c r="K23" s="874"/>
      <c r="L23" s="879" t="s">
        <v>1938</v>
      </c>
      <c r="M23" s="880">
        <f>ROUND(SUMIF(地价!B2:G2,E2,地价!B16:G16),0)</f>
        <v>350</v>
      </c>
      <c r="N23" s="881" t="s">
        <v>1939</v>
      </c>
      <c r="O23" s="882" t="e">
        <f>ROUNDDOWN(DATEDIF(E23,G23,"M")/3,0)</f>
        <v>#NUM!</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919</v>
      </c>
      <c r="B24" s="742" t="s">
        <v>1940</v>
      </c>
      <c r="C24" s="743">
        <f>ROUND(POWER(1+G24,J24-I24)*(POWER(1+G24,I24)-1)/(POWER(1+G24,J24)-1),4)</f>
        <v>0.7782</v>
      </c>
      <c r="D24" s="744" t="s">
        <v>1941</v>
      </c>
      <c r="E24" s="745">
        <f>存贷款利率!E22/100</f>
        <v>4.3499999999999997E-2</v>
      </c>
      <c r="F24" s="744" t="s">
        <v>1942</v>
      </c>
      <c r="G24" s="746">
        <f>SUMIF(M30:Q30,E2,M33:Q33)</f>
        <v>5.5E-2</v>
      </c>
      <c r="H24" s="744" t="s">
        <v>1943</v>
      </c>
      <c r="I24" s="884">
        <f>SUMIF('数据-取费表'!C6:C15,E2,'数据-取费表'!F6:F15)/COUNTIF('数据-取费表'!C6:C15,E2)</f>
        <v>21.68</v>
      </c>
      <c r="J24" s="885">
        <f>IF(E2="住宅",70,IF(E2="商业",40,50))</f>
        <v>40</v>
      </c>
      <c r="K24" s="874"/>
      <c r="L24" s="886" t="s">
        <v>1944</v>
      </c>
      <c r="M24" s="887">
        <f>ROUND(SUMPRODUCT((地价!A4:A16=YEAR(G23)&amp;"-"&amp;ROUNDUP(MONTH(G23)/3,0))*(地价!B2:G2=E2)*(地价!B4:G16)),0)</f>
        <v>347</v>
      </c>
      <c r="N24" s="888" t="s">
        <v>1945</v>
      </c>
      <c r="O24" s="889" t="s">
        <v>1946</v>
      </c>
      <c r="P24" s="890" t="s">
        <v>1947</v>
      </c>
      <c r="Q24" s="630"/>
      <c r="R24" s="943"/>
      <c r="S24" s="943"/>
      <c r="T24" s="805"/>
      <c r="U24" s="805"/>
      <c r="V24" s="805"/>
      <c r="W24" s="629"/>
      <c r="X24" s="629"/>
      <c r="Y24" s="629"/>
      <c r="Z24" s="874"/>
      <c r="AA24" s="874"/>
      <c r="AB24" s="874"/>
      <c r="AC24" s="874"/>
      <c r="AD24" s="874"/>
      <c r="AE24" s="874"/>
      <c r="AF24" s="874"/>
      <c r="AG24" s="875"/>
      <c r="AH24" s="875"/>
      <c r="AI24" s="875"/>
      <c r="AJ24" s="875"/>
    </row>
    <row r="25" spans="1:37" ht="14.4">
      <c r="A25" s="747" t="s">
        <v>941</v>
      </c>
      <c r="B25" s="748" t="s">
        <v>1948</v>
      </c>
      <c r="C25" s="749">
        <f>IF(B25="容积率修正",IF(G3&lt;10,D26,J26),C27)</f>
        <v>1.0491999999999999</v>
      </c>
      <c r="D25" s="750"/>
      <c r="E25" s="750"/>
      <c r="F25" s="750"/>
      <c r="G25" s="750"/>
      <c r="H25" s="750"/>
      <c r="I25" s="750"/>
      <c r="J25" s="891"/>
      <c r="K25" s="874"/>
      <c r="L25" s="875"/>
      <c r="M25" s="875"/>
      <c r="N25" s="892" t="s">
        <v>1949</v>
      </c>
      <c r="O25" s="893"/>
      <c r="P25" s="894">
        <f>SUMPRODUCT((地价!A3:A40=YEAR(G23)&amp;"-"&amp;ROUNDUP(MONTH(G23)/3,0))*(地价!AD2:AH2=N25)*(地价!AD3:AH40))</f>
        <v>1.1599999999999999E-2</v>
      </c>
      <c r="Q25" s="875"/>
      <c r="R25" s="943"/>
      <c r="S25" s="943"/>
      <c r="T25" s="805"/>
      <c r="U25" s="805"/>
      <c r="V25" s="805"/>
      <c r="W25" s="629"/>
      <c r="X25" s="629"/>
      <c r="Y25" s="629"/>
      <c r="Z25" s="874"/>
      <c r="AA25" s="874"/>
      <c r="AB25" s="874"/>
      <c r="AC25" s="874"/>
      <c r="AD25" s="874"/>
      <c r="AE25" s="805"/>
      <c r="AF25" s="805"/>
      <c r="AG25" s="960"/>
      <c r="AH25" s="960"/>
      <c r="AI25" s="960"/>
      <c r="AJ25" s="960"/>
    </row>
    <row r="26" spans="1:37" ht="14.4">
      <c r="A26" s="751" t="s">
        <v>1950</v>
      </c>
      <c r="B26" s="752" t="s">
        <v>1951</v>
      </c>
      <c r="C26" s="753" t="s">
        <v>1952</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1953</v>
      </c>
      <c r="J26" s="895" t="str">
        <f>IF(G3&gt;=10,D115,"——")</f>
        <v>——</v>
      </c>
      <c r="K26" s="874"/>
      <c r="L26" s="875"/>
      <c r="M26" s="875"/>
      <c r="N26" s="892" t="s">
        <v>1954</v>
      </c>
      <c r="O26" s="893"/>
      <c r="P26" s="894">
        <f>SUMPRODUCT((地价!A3:A40=YEAR(G23)&amp;"-"&amp;ROUNDUP(MONTH(G23)/3,0))*(地价!AD2:AH2=N26)*(地价!AD3:AH40))</f>
        <v>1.1599999999999999E-2</v>
      </c>
      <c r="Q26" s="630"/>
      <c r="R26" s="943"/>
      <c r="S26" s="943"/>
      <c r="T26" s="805"/>
      <c r="U26" s="805"/>
      <c r="V26" s="805"/>
      <c r="W26" s="629"/>
      <c r="X26" s="629"/>
      <c r="Y26" s="629"/>
      <c r="Z26" s="874"/>
      <c r="AA26" s="874"/>
      <c r="AB26" s="874"/>
      <c r="AC26" s="874"/>
      <c r="AD26" s="874"/>
      <c r="AE26" s="805"/>
      <c r="AF26" s="805"/>
      <c r="AG26" s="960"/>
      <c r="AH26" s="960"/>
      <c r="AI26" s="960"/>
      <c r="AJ26" s="960"/>
    </row>
    <row r="27" spans="1:37" ht="14.4">
      <c r="A27" s="751" t="s">
        <v>1955</v>
      </c>
      <c r="B27" s="755" t="s">
        <v>1956</v>
      </c>
      <c r="C27" s="756">
        <f>ROUND(IF(I3&lt;6,SUMPRODUCT((B106:B110=I3)*(C105:N105=G2)*(C106:N110)),SUMIF(C105:N105,G2,C112:N112)),4)</f>
        <v>0</v>
      </c>
      <c r="D27" s="757"/>
      <c r="E27" s="757"/>
      <c r="F27" s="758"/>
      <c r="G27" s="759"/>
      <c r="H27" s="760"/>
      <c r="I27" s="896"/>
      <c r="J27" s="897"/>
      <c r="K27" s="629"/>
      <c r="L27" s="630"/>
      <c r="M27" s="630"/>
      <c r="N27" s="892" t="s">
        <v>1957</v>
      </c>
      <c r="O27" s="893"/>
      <c r="P27" s="894">
        <f>SUMPRODUCT((地价!A3:A40=YEAR(G23)&amp;"-"&amp;ROUNDUP(MONTH(G23)/3,0))*(地价!AD2:AH2=N27)*(地价!AD3:AH40))</f>
        <v>0.02</v>
      </c>
      <c r="Q27" s="630"/>
      <c r="R27" s="943"/>
      <c r="S27" s="943"/>
      <c r="T27" s="805"/>
      <c r="U27" s="805"/>
      <c r="V27" s="805"/>
      <c r="W27" s="629"/>
      <c r="X27" s="629"/>
      <c r="Y27" s="629"/>
      <c r="Z27" s="874"/>
      <c r="AA27" s="874"/>
      <c r="AB27" s="874"/>
      <c r="AC27" s="874"/>
      <c r="AD27" s="874"/>
      <c r="AE27" s="805"/>
      <c r="AF27" s="805"/>
      <c r="AG27" s="960"/>
      <c r="AH27" s="960"/>
      <c r="AI27" s="960"/>
      <c r="AJ27" s="960"/>
    </row>
    <row r="28" spans="1:37" ht="14.4">
      <c r="A28" s="741" t="s">
        <v>1958</v>
      </c>
      <c r="B28" s="735" t="s">
        <v>1959</v>
      </c>
      <c r="C28" s="736">
        <f>SUMIF(A47:A101,E2,B47:B101)</f>
        <v>1.0598000000000001</v>
      </c>
      <c r="D28" s="761"/>
      <c r="E28" s="762"/>
      <c r="F28" s="762"/>
      <c r="G28" s="762"/>
      <c r="H28" s="762"/>
      <c r="I28" s="762"/>
      <c r="J28" s="898"/>
      <c r="K28" s="874"/>
      <c r="L28" s="875"/>
      <c r="M28" s="875"/>
      <c r="N28" s="899" t="s">
        <v>1960</v>
      </c>
      <c r="O28" s="900"/>
      <c r="P28" s="901">
        <f>SUMPRODUCT((地价!A3:A40=YEAR(G23)&amp;"-"&amp;ROUNDUP(MONTH(G23)/3,0))*(地价!AD2:AH2=N28)*(地价!AD3:AH40))</f>
        <v>1.3299999999999999E-2</v>
      </c>
      <c r="Q28" s="943"/>
      <c r="R28" s="943"/>
      <c r="S28" s="943"/>
      <c r="T28" s="805"/>
      <c r="U28" s="805"/>
      <c r="V28" s="805"/>
      <c r="W28" s="629"/>
      <c r="X28" s="629"/>
      <c r="Y28" s="629"/>
      <c r="Z28" s="874"/>
      <c r="AA28" s="874"/>
      <c r="AB28" s="874"/>
      <c r="AC28" s="874"/>
      <c r="AD28" s="874"/>
      <c r="AE28" s="805"/>
      <c r="AF28" s="805"/>
      <c r="AG28" s="960"/>
      <c r="AH28" s="960"/>
      <c r="AI28" s="960"/>
      <c r="AJ28" s="960"/>
    </row>
    <row r="29" spans="1:37" ht="14.4">
      <c r="A29" s="741" t="s">
        <v>1961</v>
      </c>
      <c r="B29" s="763" t="s">
        <v>1962</v>
      </c>
      <c r="C29" s="764"/>
      <c r="D29" s="664"/>
      <c r="E29" s="664"/>
      <c r="F29" s="765"/>
      <c r="G29" s="664"/>
      <c r="H29" s="664"/>
      <c r="I29" s="664"/>
      <c r="J29" s="852"/>
      <c r="K29" s="629"/>
      <c r="L29" s="630"/>
      <c r="M29" s="630"/>
      <c r="N29" s="902" t="s">
        <v>1963</v>
      </c>
      <c r="O29" s="903"/>
      <c r="P29" s="904">
        <f>SUMPRODUCT((地价!A3:A40=YEAR(G23)&amp;"-"&amp;ROUNDUP(MONTH(G23)/3,0))*(地价!AD2:AH2=N29)*(地价!AD3:AH40))</f>
        <v>1.8200000000000001E-2</v>
      </c>
      <c r="Q29" s="943"/>
      <c r="R29" s="943"/>
      <c r="S29" s="943"/>
      <c r="T29" s="805"/>
      <c r="U29" s="805"/>
      <c r="V29" s="805"/>
      <c r="W29" s="629"/>
      <c r="X29" s="629"/>
      <c r="Y29" s="629"/>
      <c r="Z29" s="874"/>
      <c r="AA29" s="874"/>
      <c r="AB29" s="874"/>
      <c r="AC29" s="874"/>
      <c r="AD29" s="874"/>
      <c r="AE29" s="629"/>
      <c r="AF29" s="629"/>
      <c r="AG29" s="630"/>
      <c r="AH29" s="630"/>
      <c r="AI29" s="630"/>
      <c r="AJ29" s="630"/>
    </row>
    <row r="30" spans="1:37" ht="14.4">
      <c r="A30" s="766"/>
      <c r="B30" s="752" t="s">
        <v>1964</v>
      </c>
      <c r="C30" s="767">
        <f>IF(B25="容积率修正",E33+SUM(E37:E42),SUM(V2:V16)+SUM(E37:E42))</f>
        <v>0</v>
      </c>
      <c r="D30" s="768"/>
      <c r="E30" s="757"/>
      <c r="F30" s="769"/>
      <c r="G30" s="757"/>
      <c r="H30" s="757"/>
      <c r="I30" s="757"/>
      <c r="J30" s="905"/>
      <c r="K30" s="629"/>
      <c r="L30" s="906" t="s">
        <v>1851</v>
      </c>
      <c r="M30" s="907" t="s">
        <v>1965</v>
      </c>
      <c r="N30" s="907" t="s">
        <v>1966</v>
      </c>
      <c r="O30" s="907" t="s">
        <v>1967</v>
      </c>
      <c r="P30" s="907" t="s">
        <v>1968</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4.4">
      <c r="A31" s="766"/>
      <c r="B31" s="770" t="s">
        <v>1969</v>
      </c>
      <c r="C31" s="771">
        <f>E34+SUM(I37:I42)</f>
        <v>0</v>
      </c>
      <c r="D31" s="772"/>
      <c r="E31" s="773"/>
      <c r="F31" s="774"/>
      <c r="G31" s="773"/>
      <c r="H31" s="773"/>
      <c r="I31" s="773"/>
      <c r="J31" s="908"/>
      <c r="K31" s="629"/>
      <c r="L31" s="909" t="s">
        <v>1970</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4.4">
      <c r="A32" s="775"/>
      <c r="B32" s="776" t="s">
        <v>1971</v>
      </c>
      <c r="C32" s="777" t="s">
        <v>1972</v>
      </c>
      <c r="D32" s="777" t="s">
        <v>563</v>
      </c>
      <c r="E32" s="778" t="s">
        <v>1973</v>
      </c>
      <c r="F32" s="779"/>
      <c r="G32" s="687"/>
      <c r="H32" s="687"/>
      <c r="I32" s="687"/>
      <c r="J32" s="858"/>
      <c r="K32" s="629"/>
      <c r="L32" s="910" t="s">
        <v>1942</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3.8">
      <c r="A33" s="780"/>
      <c r="B33" s="781" t="s">
        <v>1974</v>
      </c>
      <c r="C33" s="782">
        <f>ROUND(C5*C22*C23*C24*C25*C28,0)</f>
        <v>0</v>
      </c>
      <c r="D33" s="783">
        <f>'数据-汇总表'!F19</f>
        <v>14866.55</v>
      </c>
      <c r="E33" s="784">
        <f>ROUND(C33*D33/10000,0)</f>
        <v>0</v>
      </c>
      <c r="F33" s="785" t="s">
        <v>1975</v>
      </c>
      <c r="G33" s="786"/>
      <c r="H33" s="786"/>
      <c r="I33" s="786"/>
      <c r="J33" s="912"/>
      <c r="K33" s="629"/>
      <c r="L33" s="913" t="s">
        <v>1976</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5.2">
      <c r="A34" s="787"/>
      <c r="B34" s="788" t="s">
        <v>1977</v>
      </c>
      <c r="C34" s="725">
        <f>ROUND(IF(E2="工业",C33*M42,IF(B25="楼层修正",SUM(V2:V16)*M41*10000/D34,C33*M41)),0)</f>
        <v>0</v>
      </c>
      <c r="D34" s="789"/>
      <c r="E34" s="784">
        <f>ROUND(IF(B25="楼层修正",SUM(V2:V16)*M40,C34*D34/10000),0)</f>
        <v>0</v>
      </c>
      <c r="F34" s="790" t="s">
        <v>1978</v>
      </c>
      <c r="G34" s="791"/>
      <c r="H34" s="791"/>
      <c r="I34" s="791"/>
      <c r="J34" s="915"/>
      <c r="K34" s="629"/>
      <c r="L34" s="913" t="s">
        <v>1979</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1980</v>
      </c>
      <c r="C35" s="794" t="s">
        <v>1981</v>
      </c>
      <c r="D35" s="687"/>
      <c r="E35" s="795"/>
      <c r="F35" s="795"/>
      <c r="G35" s="685" t="s">
        <v>1978</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36">
      <c r="A36" s="780"/>
      <c r="B36" s="796"/>
      <c r="C36" s="797" t="s">
        <v>1972</v>
      </c>
      <c r="D36" s="798" t="s">
        <v>563</v>
      </c>
      <c r="E36" s="798" t="s">
        <v>1973</v>
      </c>
      <c r="F36" s="636" t="s">
        <v>1982</v>
      </c>
      <c r="G36" s="799" t="s">
        <v>1972</v>
      </c>
      <c r="H36" s="799" t="s">
        <v>563</v>
      </c>
      <c r="I36" s="799" t="s">
        <v>1973</v>
      </c>
      <c r="J36" s="519"/>
      <c r="K36" s="917" t="s">
        <v>1983</v>
      </c>
      <c r="L36" s="918">
        <f ca="1">'数据-取费表'!B40</f>
        <v>4.3499999999999997E-2</v>
      </c>
      <c r="M36" s="919">
        <f ca="1">ROUND($L$36*(1+M31),3)</f>
        <v>5.3999999999999999E-2</v>
      </c>
      <c r="N36" s="919">
        <f ca="1">ROUND($L$36*(1+N31),3)</f>
        <v>5.1999999999999998E-2</v>
      </c>
      <c r="O36" s="919">
        <f ca="1">ROUND($L$36*(1+O31),3)</f>
        <v>0.05</v>
      </c>
      <c r="P36" s="919">
        <f ca="1">ROUND($L$36*(1+P31),3)</f>
        <v>4.8000000000000001E-2</v>
      </c>
      <c r="Q36" s="919">
        <f ca="1">ROUND($L$36*(1+Q31),3)</f>
        <v>0.05</v>
      </c>
      <c r="R36" s="629"/>
      <c r="S36" s="629"/>
      <c r="T36" s="629"/>
      <c r="U36" s="629"/>
      <c r="V36" s="629"/>
      <c r="W36" s="629"/>
      <c r="X36" s="629"/>
      <c r="Y36" s="629"/>
      <c r="Z36" s="805"/>
      <c r="AA36" s="805"/>
      <c r="AB36" s="805"/>
      <c r="AC36" s="805"/>
      <c r="AD36" s="805"/>
      <c r="AE36" s="805"/>
      <c r="AF36" s="805"/>
      <c r="AG36" s="960"/>
      <c r="AH36" s="960"/>
      <c r="AI36" s="960"/>
      <c r="AJ36" s="960"/>
    </row>
    <row r="37" spans="1:37" ht="24">
      <c r="A37" s="3924"/>
      <c r="B37" s="800" t="s">
        <v>1984</v>
      </c>
      <c r="C37" s="782">
        <f>ROUND(D5*C22*C23*C24*C28*F37,0)</f>
        <v>0</v>
      </c>
      <c r="D37" s="783">
        <f>'数据-基础表'!K13</f>
        <v>3821.91</v>
      </c>
      <c r="E37" s="672">
        <f>ROUND(C37*D37/10000,0)</f>
        <v>0</v>
      </c>
      <c r="F37" s="672">
        <f>SUMIF(修正!A57:A68,G2,修正!B57:B68)</f>
        <v>0.7</v>
      </c>
      <c r="G37" s="672">
        <f>ROUND(IF(E2="工业",C37*$M$42,C37*$M$41),0)</f>
        <v>0</v>
      </c>
      <c r="H37" s="672">
        <f>D37</f>
        <v>3821.91</v>
      </c>
      <c r="I37" s="672">
        <f>ROUND(G37*H37/10000,0)</f>
        <v>0</v>
      </c>
      <c r="J37" s="920"/>
      <c r="K37" s="921" t="s">
        <v>1985</v>
      </c>
      <c r="L37" s="917">
        <f ca="1">L36+K38</f>
        <v>4.8499999999999995E-2</v>
      </c>
      <c r="M37" s="919">
        <f ca="1">ROUND($L$37*(1+M31),3)</f>
        <v>6.0999999999999999E-2</v>
      </c>
      <c r="N37" s="919">
        <f t="shared" ref="N37:Q37" ca="1" si="3">ROUND($L$37*(1+N31),3)</f>
        <v>5.8000000000000003E-2</v>
      </c>
      <c r="O37" s="919">
        <f t="shared" ca="1" si="3"/>
        <v>5.6000000000000001E-2</v>
      </c>
      <c r="P37" s="919">
        <f t="shared" ca="1" si="3"/>
        <v>5.2999999999999999E-2</v>
      </c>
      <c r="Q37" s="919">
        <f t="shared" ca="1" si="3"/>
        <v>5.6000000000000001E-2</v>
      </c>
      <c r="R37" s="629"/>
      <c r="S37" s="629"/>
      <c r="T37" s="629"/>
      <c r="U37" s="629"/>
      <c r="V37" s="629"/>
      <c r="W37" s="629"/>
      <c r="X37" s="629"/>
      <c r="Y37" s="629"/>
      <c r="Z37" s="805"/>
      <c r="AA37" s="805"/>
      <c r="AB37" s="805"/>
      <c r="AC37" s="805"/>
      <c r="AD37" s="805"/>
      <c r="AE37" s="805"/>
      <c r="AF37" s="805"/>
      <c r="AG37" s="960"/>
      <c r="AH37" s="960"/>
      <c r="AI37" s="960"/>
      <c r="AJ37" s="960"/>
    </row>
    <row r="38" spans="1:37">
      <c r="A38" s="3925"/>
      <c r="B38" s="690" t="s">
        <v>1986</v>
      </c>
      <c r="C38" s="782">
        <f>ROUND(D5*C22*C23*C24*C28*F38,0)</f>
        <v>0</v>
      </c>
      <c r="D38" s="783"/>
      <c r="E38" s="672">
        <f t="shared" ref="E38:E42" si="4">ROUND(C38*D38/10000,0)</f>
        <v>0</v>
      </c>
      <c r="F38" s="672">
        <f>SUMIF(修正!A57:A68,G2,修正!C57:C68)</f>
        <v>0.4</v>
      </c>
      <c r="G38" s="672">
        <f>ROUND(IF(E2="工业",C38*$M$42,C38*$M$41),0)</f>
        <v>0</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925"/>
      <c r="B39" s="690" t="s">
        <v>1987</v>
      </c>
      <c r="C39" s="782">
        <f>ROUND(D5*C22*C23*C24*C28*F39,0)</f>
        <v>0</v>
      </c>
      <c r="D39" s="783"/>
      <c r="E39" s="672">
        <f t="shared" si="4"/>
        <v>0</v>
      </c>
      <c r="F39" s="672">
        <f>SUMIF(修正!A57:A68,G2,修正!D57:D68)</f>
        <v>0.3</v>
      </c>
      <c r="G39" s="672">
        <f>ROUND(IF(E2="工业",C39*$M$42,C39*$M$41),0)</f>
        <v>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1988</v>
      </c>
      <c r="C40" s="672">
        <f>ROUND(D5*C22*C23*C24*C28*F40,0)</f>
        <v>0</v>
      </c>
      <c r="D40" s="783"/>
      <c r="E40" s="672">
        <f t="shared" si="4"/>
        <v>0</v>
      </c>
      <c r="F40" s="782">
        <f>SUMIF(修正!A57:A68,G2,修正!E57:E68)</f>
        <v>0.3</v>
      </c>
      <c r="G40" s="672">
        <f>ROUND(IF(E2="工业",C40*$M$42,C40*$M$41),0)</f>
        <v>0</v>
      </c>
      <c r="H40" s="672">
        <f t="shared" si="5"/>
        <v>0</v>
      </c>
      <c r="I40" s="672">
        <f t="shared" si="6"/>
        <v>0</v>
      </c>
      <c r="J40" s="922"/>
      <c r="L40" s="923" t="s">
        <v>1989</v>
      </c>
      <c r="M40" s="924"/>
      <c r="Z40" s="805"/>
      <c r="AA40" s="805"/>
      <c r="AB40" s="805"/>
      <c r="AC40" s="805"/>
      <c r="AD40" s="805"/>
      <c r="AE40" s="805"/>
      <c r="AF40" s="805"/>
      <c r="AG40" s="805"/>
      <c r="AH40" s="805"/>
      <c r="AI40" s="805"/>
      <c r="AJ40" s="805"/>
    </row>
    <row r="41" spans="1:37" s="629" customFormat="1">
      <c r="A41" s="802"/>
      <c r="B41" s="690" t="s">
        <v>1990</v>
      </c>
      <c r="C41" s="672">
        <f>ROUND(D5*C22*C23*C44*C28*F41,0)</f>
        <v>0</v>
      </c>
      <c r="D41" s="783"/>
      <c r="E41" s="672">
        <f t="shared" si="4"/>
        <v>0</v>
      </c>
      <c r="F41" s="782">
        <f>SUMIF(修正!A57:A68,G2,修正!F57:F68)</f>
        <v>0.3</v>
      </c>
      <c r="G41" s="672">
        <f>ROUND(IF(E2="工业",C41*$M$42,C41*$M$41),0)</f>
        <v>0</v>
      </c>
      <c r="H41" s="672">
        <f t="shared" si="5"/>
        <v>0</v>
      </c>
      <c r="I41" s="672">
        <f t="shared" si="6"/>
        <v>0</v>
      </c>
      <c r="J41" s="922"/>
      <c r="L41" s="925" t="s">
        <v>1991</v>
      </c>
      <c r="M41" s="926">
        <v>0.25</v>
      </c>
      <c r="Z41" s="805"/>
      <c r="AA41" s="805"/>
      <c r="AB41" s="805"/>
      <c r="AC41" s="805"/>
      <c r="AD41" s="805"/>
      <c r="AE41" s="805"/>
      <c r="AF41" s="805"/>
      <c r="AG41" s="805"/>
      <c r="AH41" s="805"/>
      <c r="AI41" s="805"/>
      <c r="AJ41" s="805"/>
    </row>
    <row r="42" spans="1:37" s="629" customFormat="1">
      <c r="A42" s="787"/>
      <c r="B42" s="803" t="s">
        <v>1992</v>
      </c>
      <c r="C42" s="725">
        <f>ROUND(D5*C22*C23*C44*C28*F42,0)</f>
        <v>0</v>
      </c>
      <c r="D42" s="789">
        <f>'数据-基础表'!M13</f>
        <v>8609.76</v>
      </c>
      <c r="E42" s="725">
        <f t="shared" si="4"/>
        <v>0</v>
      </c>
      <c r="F42" s="804">
        <f>SUMIF(修正!A57:A68,G2,修正!G57:G68)</f>
        <v>0.2</v>
      </c>
      <c r="G42" s="725">
        <f>ROUND(IF(E2="工业",C42*$M$42,C42*$M$41),0)</f>
        <v>0</v>
      </c>
      <c r="H42" s="725">
        <f t="shared" si="5"/>
        <v>8609.76</v>
      </c>
      <c r="I42" s="725">
        <f t="shared" si="6"/>
        <v>0</v>
      </c>
      <c r="J42" s="927"/>
      <c r="L42" s="928" t="s">
        <v>1968</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ht="24">
      <c r="A44" s="805"/>
      <c r="B44" s="806" t="s">
        <v>1993</v>
      </c>
      <c r="C44" s="636">
        <f>ROUND(POWER(1+E44,H44-G44)*(POWER(1+E44,G44)-1)/(POWER(1+E44,H44)-1),4)</f>
        <v>0.877</v>
      </c>
      <c r="D44" s="672" t="s">
        <v>1942</v>
      </c>
      <c r="E44" s="807">
        <f>G24</f>
        <v>5.5E-2</v>
      </c>
      <c r="F44" s="672" t="s">
        <v>1943</v>
      </c>
      <c r="G44" s="808">
        <f>项目基本情况!F15</f>
        <v>31.69</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4.4">
      <c r="A47" s="810" t="s">
        <v>1994</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4.4">
      <c r="A48" s="814" t="s">
        <v>1995</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5.2">
      <c r="A49" s="820" t="s">
        <v>1996</v>
      </c>
      <c r="B49" s="821" t="s">
        <v>1997</v>
      </c>
      <c r="C49" s="821" t="s">
        <v>1998</v>
      </c>
      <c r="D49" s="821" t="s">
        <v>1999</v>
      </c>
      <c r="E49" s="822" t="s">
        <v>2000</v>
      </c>
      <c r="F49" s="823" t="s">
        <v>2001</v>
      </c>
      <c r="G49" s="821" t="s">
        <v>1806</v>
      </c>
      <c r="H49" s="824" t="s">
        <v>2002</v>
      </c>
      <c r="I49" s="821" t="s">
        <v>2003</v>
      </c>
      <c r="J49" s="931" t="s">
        <v>1212</v>
      </c>
      <c r="K49" s="931" t="s">
        <v>1213</v>
      </c>
      <c r="L49" s="931" t="s">
        <v>1214</v>
      </c>
      <c r="M49" s="931" t="s">
        <v>1215</v>
      </c>
      <c r="N49" s="931" t="s">
        <v>1216</v>
      </c>
      <c r="AA49" s="805"/>
      <c r="AB49" s="805"/>
      <c r="AC49" s="805"/>
      <c r="AD49" s="805"/>
      <c r="AE49" s="805"/>
      <c r="AF49" s="805"/>
      <c r="AG49" s="805"/>
      <c r="AH49" s="805"/>
      <c r="AI49" s="805"/>
      <c r="AJ49" s="805"/>
      <c r="AK49" s="805"/>
    </row>
    <row r="50" spans="1:37" s="629" customFormat="1" ht="39.6">
      <c r="A50" s="820" t="s">
        <v>2004</v>
      </c>
      <c r="B50" s="825" t="str">
        <f>估价对象房地状况!C4</f>
        <v>估价对象位于XX商圈，周边商业氛围成熟，人流量大，商业繁华度好</v>
      </c>
      <c r="C50" s="696" t="s">
        <v>1174</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52.8">
      <c r="A51" s="820" t="s">
        <v>2005</v>
      </c>
      <c r="B51" s="831" t="str">
        <f>估价对象房地状况!C18</f>
        <v>估价对象周边道路状况、公共交通通达情况、停车便捷程度，综合评价交通便捷度较好</v>
      </c>
      <c r="C51" s="696" t="s">
        <v>1175</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48">
      <c r="A52" s="833" t="s">
        <v>2006</v>
      </c>
      <c r="B52" s="831">
        <f>估价对象房地状况!C19</f>
        <v>0</v>
      </c>
      <c r="C52" s="696" t="s">
        <v>1175</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7.200000000000003">
      <c r="A53" s="820" t="s">
        <v>2007</v>
      </c>
      <c r="B53" s="834" t="s">
        <v>2008</v>
      </c>
      <c r="C53" s="696" t="s">
        <v>1175</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2009</v>
      </c>
      <c r="B54" s="831">
        <f>估价对象房地状况!C24</f>
        <v>0</v>
      </c>
      <c r="C54" s="696" t="s">
        <v>2010</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36">
      <c r="A55" s="820" t="s">
        <v>2011</v>
      </c>
      <c r="B55" s="835" t="s">
        <v>2012</v>
      </c>
      <c r="C55" s="696" t="s">
        <v>1175</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6.4">
      <c r="A56" s="836" t="s">
        <v>2013</v>
      </c>
      <c r="B56" s="837" t="str">
        <f>估价对象房地状况!C21</f>
        <v>估价对象所在区域公共配套设施齐备情况</v>
      </c>
      <c r="C56" s="696" t="s">
        <v>1174</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6.4">
      <c r="A57" s="836" t="s">
        <v>2014</v>
      </c>
      <c r="B57" s="831" t="str">
        <f>估价对象房地状况!C22</f>
        <v>估价对象所在区域基础设施水平</v>
      </c>
      <c r="C57" s="696" t="s">
        <v>1174</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39.6">
      <c r="A58" s="838" t="s">
        <v>2015</v>
      </c>
      <c r="B58" s="839" t="str">
        <f>估价对象房地状况!C20</f>
        <v>区域自然环境：；人文环境；综合评价环境状况一般</v>
      </c>
      <c r="C58" s="696" t="s">
        <v>1175</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4.4">
      <c r="A59" s="814" t="s">
        <v>2016</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5.2">
      <c r="A60" s="820" t="s">
        <v>1996</v>
      </c>
      <c r="B60" s="821"/>
      <c r="C60" s="821" t="s">
        <v>1998</v>
      </c>
      <c r="D60" s="821" t="s">
        <v>1999</v>
      </c>
      <c r="E60" s="822" t="s">
        <v>2000</v>
      </c>
      <c r="F60" s="823" t="s">
        <v>2017</v>
      </c>
      <c r="G60" s="821" t="s">
        <v>1806</v>
      </c>
      <c r="H60" s="824" t="s">
        <v>2002</v>
      </c>
      <c r="I60" s="821" t="s">
        <v>2003</v>
      </c>
      <c r="J60" s="931" t="s">
        <v>1212</v>
      </c>
      <c r="K60" s="931" t="s">
        <v>1213</v>
      </c>
      <c r="L60" s="931" t="s">
        <v>1214</v>
      </c>
      <c r="M60" s="931" t="s">
        <v>1215</v>
      </c>
      <c r="N60" s="931" t="s">
        <v>1216</v>
      </c>
      <c r="AA60" s="805"/>
      <c r="AB60" s="805"/>
      <c r="AC60" s="805"/>
      <c r="AD60" s="805"/>
      <c r="AE60" s="805"/>
      <c r="AF60" s="805"/>
      <c r="AG60" s="805"/>
      <c r="AH60" s="805"/>
      <c r="AI60" s="805"/>
      <c r="AJ60" s="805"/>
      <c r="AK60" s="805"/>
    </row>
    <row r="61" spans="1:37" s="629" customFormat="1" ht="39.6">
      <c r="A61" s="820" t="s">
        <v>2018</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52.8">
      <c r="A62" s="820" t="s">
        <v>2005</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48">
      <c r="A63" s="833" t="s">
        <v>2006</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7.200000000000003">
      <c r="A64" s="820" t="s">
        <v>2007</v>
      </c>
      <c r="B64" s="834" t="s">
        <v>2008</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2009</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36">
      <c r="A66" s="820" t="s">
        <v>2011</v>
      </c>
      <c r="B66" s="835" t="s">
        <v>2012</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6.4">
      <c r="A67" s="820" t="s">
        <v>2013</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6.4">
      <c r="A68" s="820" t="s">
        <v>2014</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39.6">
      <c r="A69" s="838" t="s">
        <v>2015</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4.4">
      <c r="A70" s="814" t="s">
        <v>2019</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5.2">
      <c r="A71" s="820" t="s">
        <v>1996</v>
      </c>
      <c r="B71" s="821"/>
      <c r="C71" s="821" t="s">
        <v>1998</v>
      </c>
      <c r="D71" s="821" t="s">
        <v>1999</v>
      </c>
      <c r="E71" s="822" t="s">
        <v>2000</v>
      </c>
      <c r="F71" s="823" t="s">
        <v>2017</v>
      </c>
      <c r="G71" s="821" t="s">
        <v>1806</v>
      </c>
      <c r="H71" s="824" t="s">
        <v>2002</v>
      </c>
      <c r="I71" s="821" t="s">
        <v>2003</v>
      </c>
      <c r="J71" s="931" t="s">
        <v>1212</v>
      </c>
      <c r="K71" s="931" t="s">
        <v>1213</v>
      </c>
      <c r="L71" s="931" t="s">
        <v>1214</v>
      </c>
      <c r="M71" s="931" t="s">
        <v>1215</v>
      </c>
      <c r="N71" s="931" t="s">
        <v>1216</v>
      </c>
      <c r="AA71" s="805"/>
      <c r="AB71" s="805"/>
      <c r="AC71" s="805"/>
      <c r="AD71" s="805"/>
      <c r="AE71" s="805"/>
      <c r="AF71" s="805"/>
      <c r="AG71" s="805"/>
      <c r="AH71" s="805"/>
      <c r="AI71" s="805"/>
      <c r="AJ71" s="805"/>
      <c r="AK71" s="805"/>
    </row>
    <row r="72" spans="1:37" s="629" customFormat="1" ht="52.8">
      <c r="A72" s="820" t="s">
        <v>2020</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52.8">
      <c r="A73" s="820" t="s">
        <v>2005</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48">
      <c r="A74" s="833" t="s">
        <v>2006</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3.8">
      <c r="A75" s="820" t="s">
        <v>2021</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6.4">
      <c r="A76" s="820" t="s">
        <v>2013</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6.4">
      <c r="A77" s="820" t="s">
        <v>2014</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36">
      <c r="A78" s="820" t="s">
        <v>2011</v>
      </c>
      <c r="B78" s="835" t="s">
        <v>2012</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39.6">
      <c r="A79" s="820" t="s">
        <v>2015</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36">
      <c r="A80" s="838" t="s">
        <v>2022</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4.4">
      <c r="A81" s="814" t="s">
        <v>2023</v>
      </c>
      <c r="B81" s="815">
        <f>1+E83</f>
        <v>1</v>
      </c>
      <c r="C81" s="817"/>
      <c r="D81" s="817"/>
      <c r="E81" s="818"/>
      <c r="F81" s="819"/>
      <c r="G81" s="813"/>
      <c r="H81" s="813"/>
      <c r="I81" s="813"/>
      <c r="J81" s="812"/>
      <c r="K81" s="812"/>
      <c r="L81" s="812"/>
      <c r="M81" s="812"/>
      <c r="N81" s="812"/>
      <c r="Z81" s="633"/>
      <c r="AA81" s="631"/>
      <c r="AG81" s="635"/>
      <c r="AK81" s="631"/>
    </row>
    <row r="82" spans="1:37" ht="25.2">
      <c r="A82" s="820" t="s">
        <v>1996</v>
      </c>
      <c r="B82" s="821"/>
      <c r="C82" s="821" t="s">
        <v>1998</v>
      </c>
      <c r="D82" s="821" t="s">
        <v>1999</v>
      </c>
      <c r="E82" s="822" t="s">
        <v>2000</v>
      </c>
      <c r="F82" s="823" t="s">
        <v>2017</v>
      </c>
      <c r="G82" s="821" t="s">
        <v>1806</v>
      </c>
      <c r="H82" s="824" t="s">
        <v>2002</v>
      </c>
      <c r="I82" s="821" t="s">
        <v>2003</v>
      </c>
      <c r="J82" s="931" t="s">
        <v>1212</v>
      </c>
      <c r="K82" s="931" t="s">
        <v>1213</v>
      </c>
      <c r="L82" s="931" t="s">
        <v>1214</v>
      </c>
      <c r="M82" s="931" t="s">
        <v>1215</v>
      </c>
      <c r="N82" s="931" t="s">
        <v>1216</v>
      </c>
      <c r="Z82" s="633"/>
      <c r="AA82" s="631"/>
      <c r="AG82" s="635"/>
      <c r="AK82" s="631"/>
    </row>
    <row r="83" spans="1:37" ht="39.6">
      <c r="A83" s="820" t="s">
        <v>2024</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52.8">
      <c r="A84" s="820" t="s">
        <v>2005</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48">
      <c r="A85" s="833" t="s">
        <v>2006</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3.8">
      <c r="A86" s="820" t="s">
        <v>2021</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6.4">
      <c r="A87" s="820" t="s">
        <v>2013</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6.4">
      <c r="A88" s="820" t="s">
        <v>2014</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36">
      <c r="A89" s="820" t="s">
        <v>2011</v>
      </c>
      <c r="B89" s="835" t="s">
        <v>2025</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9.6">
      <c r="A90" s="838" t="s">
        <v>2026</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3.8">
      <c r="A91" s="969" t="s">
        <v>280</v>
      </c>
      <c r="B91" s="970">
        <f>1+E93</f>
        <v>1</v>
      </c>
      <c r="C91" s="971"/>
      <c r="D91" s="972"/>
      <c r="E91" s="828"/>
      <c r="F91" s="828"/>
      <c r="G91" s="973"/>
      <c r="H91" s="974"/>
      <c r="I91" s="1009"/>
      <c r="J91" s="1010"/>
      <c r="K91" s="1010"/>
      <c r="L91" s="1010"/>
      <c r="M91" s="1010"/>
      <c r="N91" s="1010"/>
    </row>
    <row r="92" spans="1:37" ht="25.2">
      <c r="A92" s="975" t="s">
        <v>1996</v>
      </c>
      <c r="B92" s="976"/>
      <c r="C92" s="976" t="s">
        <v>1998</v>
      </c>
      <c r="D92" s="976" t="s">
        <v>1999</v>
      </c>
      <c r="E92" s="945" t="s">
        <v>2000</v>
      </c>
      <c r="F92" s="977" t="s">
        <v>2017</v>
      </c>
      <c r="G92" s="976" t="s">
        <v>1806</v>
      </c>
      <c r="H92" s="978" t="s">
        <v>2002</v>
      </c>
      <c r="I92" s="976" t="s">
        <v>2003</v>
      </c>
      <c r="J92" s="1011" t="s">
        <v>1212</v>
      </c>
      <c r="K92" s="1011" t="s">
        <v>1213</v>
      </c>
      <c r="L92" s="1011" t="s">
        <v>1214</v>
      </c>
      <c r="M92" s="1011" t="s">
        <v>1215</v>
      </c>
      <c r="N92" s="1011" t="s">
        <v>1216</v>
      </c>
    </row>
    <row r="93" spans="1:37" ht="24">
      <c r="A93" s="833" t="s">
        <v>2027</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52.8">
      <c r="A94" s="975" t="s">
        <v>2005</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48">
      <c r="A95" s="833" t="s">
        <v>2006</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7.200000000000003">
      <c r="A96" s="975" t="s">
        <v>2007</v>
      </c>
      <c r="B96" s="984" t="s">
        <v>2008</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2009</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36">
      <c r="A98" s="975" t="s">
        <v>2011</v>
      </c>
      <c r="B98" s="985" t="s">
        <v>2012</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6.4">
      <c r="A99" s="975" t="s">
        <v>2013</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6.4">
      <c r="A100" s="975" t="s">
        <v>2014</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39.6">
      <c r="A101" s="986" t="s">
        <v>2015</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920" t="s">
        <v>2028</v>
      </c>
      <c r="B103" s="3920"/>
      <c r="C103" s="3920"/>
      <c r="D103" s="3920"/>
      <c r="E103" s="3920"/>
      <c r="F103" s="3920"/>
      <c r="G103" s="3920"/>
      <c r="H103" s="3920"/>
      <c r="I103" s="3920"/>
      <c r="J103" s="3920"/>
      <c r="K103" s="989"/>
      <c r="L103" s="989"/>
      <c r="M103" s="989"/>
      <c r="N103" s="989"/>
    </row>
    <row r="104" spans="1:14">
      <c r="A104" s="3926" t="s">
        <v>2029</v>
      </c>
      <c r="B104" s="3926" t="s">
        <v>2030</v>
      </c>
      <c r="C104" s="991" t="s">
        <v>2031</v>
      </c>
      <c r="D104" s="992"/>
      <c r="E104" s="992"/>
      <c r="F104" s="992"/>
      <c r="G104" s="992"/>
      <c r="H104" s="992"/>
      <c r="I104" s="992"/>
      <c r="J104" s="1012"/>
      <c r="K104" s="1013"/>
      <c r="L104" s="1013"/>
      <c r="M104" s="1013"/>
      <c r="N104" s="1013"/>
    </row>
    <row r="105" spans="1:14">
      <c r="A105" s="3926"/>
      <c r="B105" s="3926"/>
      <c r="C105" s="990" t="s">
        <v>1878</v>
      </c>
      <c r="D105" s="990" t="s">
        <v>1879</v>
      </c>
      <c r="E105" s="990" t="s">
        <v>1880</v>
      </c>
      <c r="F105" s="990" t="s">
        <v>1881</v>
      </c>
      <c r="G105" s="990" t="s">
        <v>1882</v>
      </c>
      <c r="H105" s="990" t="s">
        <v>1883</v>
      </c>
      <c r="I105" s="990" t="s">
        <v>1884</v>
      </c>
      <c r="J105" s="990" t="s">
        <v>1885</v>
      </c>
      <c r="K105" s="990" t="s">
        <v>1886</v>
      </c>
      <c r="L105" s="990" t="s">
        <v>1887</v>
      </c>
      <c r="M105" s="990" t="s">
        <v>1888</v>
      </c>
      <c r="N105" s="990" t="s">
        <v>1889</v>
      </c>
    </row>
    <row r="106" spans="1:14">
      <c r="A106" s="3927" t="s">
        <v>2032</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928"/>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928"/>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928"/>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928"/>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928"/>
      <c r="B111" s="990" t="s">
        <v>1894</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929"/>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921" t="s">
        <v>2033</v>
      </c>
      <c r="B113" s="3921"/>
      <c r="C113" s="3921"/>
      <c r="D113" s="3921"/>
      <c r="E113" s="3921"/>
      <c r="F113" s="3921"/>
      <c r="G113" s="3921"/>
      <c r="H113" s="3921"/>
      <c r="I113" s="3921"/>
      <c r="J113" s="3921"/>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5.2">
      <c r="A116" s="996" t="s">
        <v>2034</v>
      </c>
      <c r="B116" s="997">
        <f>G3</f>
        <v>2.4300000000000002</v>
      </c>
      <c r="C116" s="998" t="s">
        <v>2035</v>
      </c>
      <c r="D116" s="999">
        <f>SUMPRODUCT((A118:A122=F116)*(B117:M117=H116)*B118:M122)</f>
        <v>0.97009999999999996</v>
      </c>
      <c r="E116" s="639" t="s">
        <v>1851</v>
      </c>
      <c r="F116" s="1000" t="str">
        <f>E2</f>
        <v>商业</v>
      </c>
      <c r="G116" s="639" t="s">
        <v>1852</v>
      </c>
      <c r="H116" s="1000" t="str">
        <f>G2</f>
        <v>二级</v>
      </c>
      <c r="I116" s="639"/>
      <c r="J116" s="1014"/>
      <c r="K116" s="1014"/>
      <c r="L116" s="1014"/>
      <c r="M116" s="1014"/>
      <c r="N116" s="995"/>
    </row>
    <row r="117" spans="1:14">
      <c r="A117" s="1001"/>
      <c r="B117" s="1002" t="s">
        <v>2036</v>
      </c>
      <c r="C117" s="1002" t="s">
        <v>2037</v>
      </c>
      <c r="D117" s="1002" t="s">
        <v>2038</v>
      </c>
      <c r="E117" s="1003" t="s">
        <v>2039</v>
      </c>
      <c r="F117" s="1003" t="s">
        <v>2040</v>
      </c>
      <c r="G117" s="1003" t="s">
        <v>2041</v>
      </c>
      <c r="H117" s="1004" t="s">
        <v>2042</v>
      </c>
      <c r="I117" s="1004" t="s">
        <v>2043</v>
      </c>
      <c r="J117" s="1015" t="s">
        <v>2044</v>
      </c>
      <c r="K117" s="1015" t="s">
        <v>2045</v>
      </c>
      <c r="L117" s="1015" t="s">
        <v>2046</v>
      </c>
      <c r="M117" s="1016" t="s">
        <v>2047</v>
      </c>
      <c r="N117" s="995"/>
    </row>
    <row r="118" spans="1:14">
      <c r="A118" s="1005" t="s">
        <v>1965</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1966</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1967</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1968</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569" customWidth="1"/>
    <col min="14" max="14" width="10" style="569" customWidth="1"/>
    <col min="15" max="16" width="8.21875" style="569"/>
    <col min="17" max="17" width="34.109375" style="569" customWidth="1"/>
    <col min="18" max="18" width="8.21875" style="569" customWidth="1"/>
    <col min="19" max="19" width="8.21875" style="569"/>
    <col min="20" max="20" width="11.6640625" style="569" customWidth="1"/>
    <col min="21" max="16384" width="8.2187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1166</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2048</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2049</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2050</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2051</v>
      </c>
      <c r="B18" s="589"/>
      <c r="C18" s="590"/>
      <c r="D18" s="590"/>
      <c r="E18" s="589"/>
      <c r="F18" s="590"/>
      <c r="G18" s="590"/>
    </row>
    <row r="19" spans="1:13" ht="19.5" customHeight="1">
      <c r="A19" s="588" t="s">
        <v>2052</v>
      </c>
      <c r="B19" s="591" t="s">
        <v>2053</v>
      </c>
      <c r="C19" s="591" t="s">
        <v>2054</v>
      </c>
      <c r="D19" s="592"/>
      <c r="E19" s="588" t="s">
        <v>2055</v>
      </c>
      <c r="F19" s="593"/>
      <c r="G19" s="593"/>
    </row>
    <row r="20" spans="1:13" ht="19.5" customHeight="1">
      <c r="A20" s="3931" t="s">
        <v>549</v>
      </c>
      <c r="B20" s="3937" t="s">
        <v>2056</v>
      </c>
      <c r="C20" s="594" t="s">
        <v>1856</v>
      </c>
      <c r="D20" s="595"/>
      <c r="E20" s="596">
        <v>1</v>
      </c>
      <c r="F20" s="597" t="s">
        <v>2057</v>
      </c>
      <c r="G20" s="597"/>
    </row>
    <row r="21" spans="1:13" ht="19.5" customHeight="1">
      <c r="A21" s="3932"/>
      <c r="B21" s="3938"/>
      <c r="C21" s="598" t="s">
        <v>2058</v>
      </c>
      <c r="D21" s="599"/>
      <c r="E21" s="600">
        <v>1</v>
      </c>
      <c r="F21" s="597" t="s">
        <v>2059</v>
      </c>
      <c r="G21" s="597"/>
    </row>
    <row r="22" spans="1:13" ht="19.5" customHeight="1">
      <c r="A22" s="3932"/>
      <c r="B22" s="3938"/>
      <c r="C22" s="598" t="s">
        <v>2060</v>
      </c>
      <c r="D22" s="599"/>
      <c r="E22" s="600">
        <v>0.9</v>
      </c>
      <c r="F22" s="597" t="s">
        <v>2061</v>
      </c>
      <c r="G22" s="597"/>
    </row>
    <row r="23" spans="1:13" ht="19.5" customHeight="1">
      <c r="A23" s="3932"/>
      <c r="B23" s="3938"/>
      <c r="C23" s="598" t="s">
        <v>2062</v>
      </c>
      <c r="D23" s="599"/>
      <c r="E23" s="600">
        <v>0.9</v>
      </c>
      <c r="F23" s="597" t="s">
        <v>2063</v>
      </c>
      <c r="G23" s="597"/>
    </row>
    <row r="24" spans="1:13" ht="19.5" customHeight="1">
      <c r="A24" s="3932"/>
      <c r="B24" s="3938"/>
      <c r="C24" s="598" t="s">
        <v>2064</v>
      </c>
      <c r="D24" s="599"/>
      <c r="E24" s="600">
        <v>0.8</v>
      </c>
      <c r="F24" s="597" t="s">
        <v>2065</v>
      </c>
      <c r="G24" s="597"/>
    </row>
    <row r="25" spans="1:13" ht="19.5" customHeight="1">
      <c r="A25" s="3933"/>
      <c r="B25" s="3939"/>
      <c r="C25" s="601" t="s">
        <v>2066</v>
      </c>
      <c r="D25" s="602"/>
      <c r="E25" s="603">
        <v>0.8</v>
      </c>
      <c r="F25" s="597" t="s">
        <v>2067</v>
      </c>
      <c r="G25" s="597"/>
    </row>
    <row r="26" spans="1:13" ht="19.5" customHeight="1">
      <c r="A26" s="604" t="s">
        <v>1166</v>
      </c>
      <c r="B26" s="605" t="s">
        <v>2056</v>
      </c>
      <c r="C26" s="606" t="s">
        <v>2068</v>
      </c>
      <c r="D26" s="607"/>
      <c r="E26" s="608">
        <v>1</v>
      </c>
      <c r="F26" s="597" t="s">
        <v>2069</v>
      </c>
      <c r="G26" s="597"/>
    </row>
    <row r="27" spans="1:13" ht="19.5" customHeight="1">
      <c r="A27" s="3934" t="s">
        <v>280</v>
      </c>
      <c r="B27" s="3937" t="s">
        <v>280</v>
      </c>
      <c r="C27" s="594" t="s">
        <v>2070</v>
      </c>
      <c r="D27" s="595"/>
      <c r="E27" s="596">
        <v>1</v>
      </c>
      <c r="F27" s="597" t="s">
        <v>2071</v>
      </c>
      <c r="G27" s="597"/>
    </row>
    <row r="28" spans="1:13" ht="19.5" customHeight="1">
      <c r="A28" s="3935"/>
      <c r="B28" s="3938"/>
      <c r="C28" s="598" t="s">
        <v>2072</v>
      </c>
      <c r="D28" s="599"/>
      <c r="E28" s="600">
        <v>1</v>
      </c>
      <c r="F28" s="597" t="s">
        <v>2073</v>
      </c>
      <c r="G28" s="597"/>
    </row>
    <row r="29" spans="1:13" ht="19.5" customHeight="1">
      <c r="A29" s="3935"/>
      <c r="B29" s="3938"/>
      <c r="C29" s="598" t="s">
        <v>2074</v>
      </c>
      <c r="D29" s="599"/>
      <c r="E29" s="600">
        <v>0.8</v>
      </c>
      <c r="F29" s="597" t="s">
        <v>2075</v>
      </c>
      <c r="G29" s="597"/>
    </row>
    <row r="30" spans="1:13" ht="19.5" customHeight="1">
      <c r="A30" s="3935"/>
      <c r="B30" s="3938"/>
      <c r="C30" s="598" t="s">
        <v>2076</v>
      </c>
      <c r="D30" s="599"/>
      <c r="E30" s="600">
        <v>0.8</v>
      </c>
      <c r="F30" s="597" t="s">
        <v>2077</v>
      </c>
      <c r="G30" s="597"/>
    </row>
    <row r="31" spans="1:13" ht="19.5" customHeight="1">
      <c r="A31" s="3935"/>
      <c r="B31" s="3938"/>
      <c r="C31" s="598" t="s">
        <v>2078</v>
      </c>
      <c r="D31" s="599"/>
      <c r="E31" s="600">
        <v>0.8</v>
      </c>
      <c r="F31" s="597" t="s">
        <v>2079</v>
      </c>
      <c r="G31" s="597"/>
    </row>
    <row r="32" spans="1:13" ht="19.5" customHeight="1">
      <c r="A32" s="3935"/>
      <c r="B32" s="3938"/>
      <c r="C32" s="598" t="s">
        <v>2080</v>
      </c>
      <c r="D32" s="599"/>
      <c r="E32" s="600">
        <v>0.7</v>
      </c>
      <c r="F32" s="597" t="s">
        <v>2081</v>
      </c>
      <c r="G32" s="597"/>
    </row>
    <row r="33" spans="1:7" ht="19.5" customHeight="1">
      <c r="A33" s="3935"/>
      <c r="B33" s="3938"/>
      <c r="C33" s="598" t="s">
        <v>2082</v>
      </c>
      <c r="D33" s="599"/>
      <c r="E33" s="600">
        <v>0.8</v>
      </c>
      <c r="F33" s="597" t="s">
        <v>2083</v>
      </c>
      <c r="G33" s="597"/>
    </row>
    <row r="34" spans="1:7" ht="19.5" customHeight="1">
      <c r="A34" s="3935"/>
      <c r="B34" s="3938"/>
      <c r="C34" s="598" t="s">
        <v>2084</v>
      </c>
      <c r="D34" s="599"/>
      <c r="E34" s="600">
        <v>0.6</v>
      </c>
      <c r="F34" s="597" t="s">
        <v>2085</v>
      </c>
      <c r="G34" s="597"/>
    </row>
    <row r="35" spans="1:7" ht="19.5" customHeight="1">
      <c r="A35" s="3935"/>
      <c r="B35" s="3938"/>
      <c r="C35" s="598" t="s">
        <v>2086</v>
      </c>
      <c r="D35" s="599"/>
      <c r="E35" s="600">
        <v>0.2</v>
      </c>
      <c r="F35" s="597" t="s">
        <v>2087</v>
      </c>
      <c r="G35" s="597"/>
    </row>
    <row r="36" spans="1:7" ht="19.5" customHeight="1">
      <c r="A36" s="3935"/>
      <c r="B36" s="3938"/>
      <c r="C36" s="598" t="s">
        <v>2088</v>
      </c>
      <c r="D36" s="599"/>
      <c r="E36" s="600">
        <v>0.2</v>
      </c>
      <c r="F36" s="597" t="s">
        <v>2089</v>
      </c>
      <c r="G36" s="597"/>
    </row>
    <row r="37" spans="1:7" ht="19.5" customHeight="1">
      <c r="A37" s="3935"/>
      <c r="B37" s="3940" t="s">
        <v>2090</v>
      </c>
      <c r="C37" s="598" t="s">
        <v>2091</v>
      </c>
      <c r="D37" s="599"/>
      <c r="E37" s="600">
        <v>0.6</v>
      </c>
      <c r="F37" s="597" t="s">
        <v>2092</v>
      </c>
      <c r="G37" s="597"/>
    </row>
    <row r="38" spans="1:7" ht="19.5" customHeight="1">
      <c r="A38" s="3935"/>
      <c r="B38" s="3938"/>
      <c r="C38" s="598" t="s">
        <v>2093</v>
      </c>
      <c r="D38" s="599"/>
      <c r="E38" s="600">
        <v>0.6</v>
      </c>
      <c r="F38" s="597" t="s">
        <v>2094</v>
      </c>
      <c r="G38" s="597"/>
    </row>
    <row r="39" spans="1:7" ht="19.5" customHeight="1">
      <c r="A39" s="3936"/>
      <c r="B39" s="3939"/>
      <c r="C39" s="601" t="s">
        <v>2095</v>
      </c>
      <c r="D39" s="602"/>
      <c r="E39" s="603">
        <v>0.6</v>
      </c>
      <c r="F39" s="597" t="s">
        <v>2096</v>
      </c>
      <c r="G39" s="597"/>
    </row>
    <row r="40" spans="1:7" ht="19.5" customHeight="1">
      <c r="A40" s="604" t="s">
        <v>413</v>
      </c>
      <c r="B40" s="605" t="s">
        <v>413</v>
      </c>
      <c r="C40" s="606" t="s">
        <v>2097</v>
      </c>
      <c r="D40" s="607"/>
      <c r="E40" s="608">
        <v>1</v>
      </c>
      <c r="F40" s="597" t="s">
        <v>2098</v>
      </c>
      <c r="G40" s="597"/>
    </row>
    <row r="41" spans="1:7" ht="19.5" customHeight="1">
      <c r="A41" s="3931" t="s">
        <v>409</v>
      </c>
      <c r="B41" s="3937" t="s">
        <v>2099</v>
      </c>
      <c r="C41" s="594" t="s">
        <v>2100</v>
      </c>
      <c r="D41" s="595"/>
      <c r="E41" s="596">
        <v>1</v>
      </c>
      <c r="F41" s="597" t="s">
        <v>2101</v>
      </c>
      <c r="G41" s="597"/>
    </row>
    <row r="42" spans="1:7" ht="19.5" customHeight="1">
      <c r="A42" s="3932"/>
      <c r="B42" s="3938"/>
      <c r="C42" s="598" t="s">
        <v>2102</v>
      </c>
      <c r="D42" s="599"/>
      <c r="E42" s="600">
        <v>1</v>
      </c>
      <c r="F42" s="597" t="s">
        <v>2103</v>
      </c>
      <c r="G42" s="597"/>
    </row>
    <row r="43" spans="1:7" ht="19.5" customHeight="1">
      <c r="A43" s="3932"/>
      <c r="B43" s="3941"/>
      <c r="C43" s="598" t="s">
        <v>2104</v>
      </c>
      <c r="D43" s="599"/>
      <c r="E43" s="600">
        <v>1.5</v>
      </c>
      <c r="F43" s="597" t="s">
        <v>2105</v>
      </c>
      <c r="G43" s="597"/>
    </row>
    <row r="44" spans="1:7" ht="19.5" customHeight="1">
      <c r="A44" s="3932"/>
      <c r="B44" s="610" t="s">
        <v>280</v>
      </c>
      <c r="C44" s="598" t="s">
        <v>2048</v>
      </c>
      <c r="D44" s="599"/>
      <c r="E44" s="600">
        <v>2</v>
      </c>
      <c r="F44" s="597" t="s">
        <v>2106</v>
      </c>
      <c r="G44" s="597"/>
    </row>
    <row r="45" spans="1:7" ht="19.5" customHeight="1">
      <c r="A45" s="3932"/>
      <c r="B45" s="3940" t="s">
        <v>2107</v>
      </c>
      <c r="C45" s="598" t="s">
        <v>2108</v>
      </c>
      <c r="D45" s="599"/>
      <c r="E45" s="600">
        <v>1</v>
      </c>
      <c r="F45" s="597" t="s">
        <v>2109</v>
      </c>
      <c r="G45" s="597"/>
    </row>
    <row r="46" spans="1:7" ht="19.5" customHeight="1">
      <c r="A46" s="3932"/>
      <c r="B46" s="3938"/>
      <c r="C46" s="598" t="s">
        <v>2110</v>
      </c>
      <c r="D46" s="599"/>
      <c r="E46" s="600">
        <v>1</v>
      </c>
      <c r="F46" s="597" t="s">
        <v>2111</v>
      </c>
      <c r="G46" s="597"/>
    </row>
    <row r="47" spans="1:7" ht="19.5" customHeight="1">
      <c r="A47" s="3932"/>
      <c r="B47" s="3938"/>
      <c r="C47" s="598" t="s">
        <v>2112</v>
      </c>
      <c r="D47" s="599"/>
      <c r="E47" s="600">
        <v>1</v>
      </c>
      <c r="F47" s="597" t="s">
        <v>2113</v>
      </c>
      <c r="G47" s="597"/>
    </row>
    <row r="48" spans="1:7" ht="19.5" customHeight="1">
      <c r="A48" s="3932"/>
      <c r="B48" s="3938"/>
      <c r="C48" s="598" t="s">
        <v>2114</v>
      </c>
      <c r="D48" s="599"/>
      <c r="E48" s="600">
        <v>1</v>
      </c>
      <c r="F48" s="597" t="s">
        <v>2115</v>
      </c>
      <c r="G48" s="597"/>
    </row>
    <row r="49" spans="1:7" ht="19.5" customHeight="1">
      <c r="A49" s="3932"/>
      <c r="B49" s="3938"/>
      <c r="C49" s="598" t="s">
        <v>2116</v>
      </c>
      <c r="D49" s="599"/>
      <c r="E49" s="600">
        <v>1</v>
      </c>
      <c r="F49" s="597" t="s">
        <v>2117</v>
      </c>
      <c r="G49" s="597"/>
    </row>
    <row r="50" spans="1:7" ht="19.5" customHeight="1">
      <c r="A50" s="3932"/>
      <c r="B50" s="3938"/>
      <c r="C50" s="598" t="s">
        <v>2118</v>
      </c>
      <c r="D50" s="599"/>
      <c r="E50" s="600">
        <v>1</v>
      </c>
      <c r="F50" s="597" t="s">
        <v>2119</v>
      </c>
      <c r="G50" s="597"/>
    </row>
    <row r="51" spans="1:7" ht="19.5" customHeight="1">
      <c r="A51" s="3933"/>
      <c r="B51" s="3939"/>
      <c r="C51" s="601" t="s">
        <v>2120</v>
      </c>
      <c r="D51" s="602"/>
      <c r="E51" s="603">
        <v>1</v>
      </c>
      <c r="F51" s="597" t="s">
        <v>2121</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2122</v>
      </c>
      <c r="G54" s="588" t="s">
        <v>543</v>
      </c>
    </row>
    <row r="55" spans="1:7" ht="19.5" customHeight="1">
      <c r="A55" s="613"/>
      <c r="B55" s="588" t="s">
        <v>549</v>
      </c>
      <c r="C55" s="588" t="s">
        <v>549</v>
      </c>
      <c r="D55" s="588" t="s">
        <v>549</v>
      </c>
      <c r="E55" s="586" t="s">
        <v>1166</v>
      </c>
      <c r="F55" s="586" t="s">
        <v>409</v>
      </c>
      <c r="G55" s="586" t="s">
        <v>1739</v>
      </c>
    </row>
    <row r="56" spans="1:7" ht="19.5" customHeight="1">
      <c r="A56" s="614"/>
      <c r="B56" s="586">
        <v>1</v>
      </c>
      <c r="C56" s="586">
        <v>2</v>
      </c>
      <c r="D56" s="586">
        <v>3</v>
      </c>
      <c r="E56" s="615" t="s">
        <v>2123</v>
      </c>
      <c r="F56" s="615" t="s">
        <v>2123</v>
      </c>
      <c r="G56" s="615" t="s">
        <v>2123</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2124</v>
      </c>
      <c r="E70" s="627"/>
      <c r="F70" s="627"/>
    </row>
    <row r="71" spans="1:7" ht="19.5" customHeight="1">
      <c r="A71" s="610" t="s">
        <v>2125</v>
      </c>
      <c r="B71" s="610" t="s">
        <v>2126</v>
      </c>
      <c r="C71" s="610" t="s">
        <v>2127</v>
      </c>
      <c r="D71" s="610" t="s">
        <v>2128</v>
      </c>
      <c r="E71" s="610" t="s">
        <v>2129</v>
      </c>
      <c r="F71" s="610" t="s">
        <v>2130</v>
      </c>
    </row>
    <row r="72" spans="1:7" ht="14.4">
      <c r="A72" s="610"/>
      <c r="B72" s="610"/>
      <c r="C72" s="610" t="s">
        <v>2131</v>
      </c>
      <c r="D72" s="610"/>
      <c r="E72" s="610" t="s">
        <v>124</v>
      </c>
      <c r="F72" s="610" t="s">
        <v>124</v>
      </c>
    </row>
    <row r="73" spans="1:7" ht="14.4">
      <c r="A73" s="610">
        <v>1</v>
      </c>
      <c r="B73" s="3940" t="s">
        <v>1292</v>
      </c>
      <c r="C73" s="586" t="s">
        <v>2132</v>
      </c>
      <c r="D73" s="586" t="s">
        <v>2133</v>
      </c>
      <c r="E73" s="610">
        <v>0.2</v>
      </c>
      <c r="F73" s="610">
        <v>25</v>
      </c>
    </row>
    <row r="74" spans="1:7" ht="24">
      <c r="A74" s="610">
        <v>2</v>
      </c>
      <c r="B74" s="3938"/>
      <c r="C74" s="586" t="s">
        <v>2134</v>
      </c>
      <c r="D74" s="586" t="s">
        <v>2135</v>
      </c>
      <c r="E74" s="610">
        <v>0.2</v>
      </c>
      <c r="F74" s="610">
        <v>25</v>
      </c>
    </row>
    <row r="75" spans="1:7" ht="24">
      <c r="A75" s="610">
        <v>3</v>
      </c>
      <c r="B75" s="3938"/>
      <c r="C75" s="586" t="s">
        <v>2136</v>
      </c>
      <c r="D75" s="586" t="s">
        <v>2137</v>
      </c>
      <c r="E75" s="610">
        <v>0.2</v>
      </c>
      <c r="F75" s="610">
        <v>25</v>
      </c>
    </row>
    <row r="76" spans="1:7" ht="14.4">
      <c r="A76" s="610">
        <v>4</v>
      </c>
      <c r="B76" s="3938"/>
      <c r="C76" s="586" t="s">
        <v>2138</v>
      </c>
      <c r="D76" s="586" t="s">
        <v>2139</v>
      </c>
      <c r="E76" s="610">
        <v>0.15</v>
      </c>
      <c r="F76" s="610">
        <v>20</v>
      </c>
    </row>
    <row r="77" spans="1:7" ht="24">
      <c r="A77" s="610">
        <v>5</v>
      </c>
      <c r="B77" s="3938"/>
      <c r="C77" s="586" t="s">
        <v>2140</v>
      </c>
      <c r="D77" s="586" t="s">
        <v>2141</v>
      </c>
      <c r="E77" s="610">
        <v>0.15</v>
      </c>
      <c r="F77" s="610">
        <v>20</v>
      </c>
    </row>
    <row r="78" spans="1:7" ht="24">
      <c r="A78" s="610">
        <v>6</v>
      </c>
      <c r="B78" s="3938"/>
      <c r="C78" s="586" t="s">
        <v>2142</v>
      </c>
      <c r="D78" s="586" t="s">
        <v>2143</v>
      </c>
      <c r="E78" s="610">
        <v>0.15</v>
      </c>
      <c r="F78" s="610">
        <v>20</v>
      </c>
    </row>
    <row r="79" spans="1:7" ht="24">
      <c r="A79" s="610">
        <v>7</v>
      </c>
      <c r="B79" s="3938"/>
      <c r="C79" s="586" t="s">
        <v>2144</v>
      </c>
      <c r="D79" s="586" t="s">
        <v>2145</v>
      </c>
      <c r="E79" s="610">
        <v>0.15</v>
      </c>
      <c r="F79" s="610">
        <v>20</v>
      </c>
    </row>
    <row r="80" spans="1:7" ht="24">
      <c r="A80" s="610">
        <v>8</v>
      </c>
      <c r="B80" s="3938"/>
      <c r="C80" s="586" t="s">
        <v>2146</v>
      </c>
      <c r="D80" s="586" t="s">
        <v>2147</v>
      </c>
      <c r="E80" s="610">
        <v>0.1</v>
      </c>
      <c r="F80" s="610">
        <v>15</v>
      </c>
    </row>
    <row r="81" spans="1:6" ht="24">
      <c r="A81" s="610">
        <v>9</v>
      </c>
      <c r="B81" s="3938"/>
      <c r="C81" s="586" t="s">
        <v>2148</v>
      </c>
      <c r="D81" s="586" t="s">
        <v>2149</v>
      </c>
      <c r="E81" s="610">
        <v>0.1</v>
      </c>
      <c r="F81" s="610">
        <v>15</v>
      </c>
    </row>
    <row r="82" spans="1:6" ht="24">
      <c r="A82" s="610">
        <v>10</v>
      </c>
      <c r="B82" s="3938"/>
      <c r="C82" s="586" t="s">
        <v>2150</v>
      </c>
      <c r="D82" s="586" t="s">
        <v>2151</v>
      </c>
      <c r="E82" s="610">
        <v>0.1</v>
      </c>
      <c r="F82" s="610">
        <v>15</v>
      </c>
    </row>
    <row r="83" spans="1:6" ht="24">
      <c r="A83" s="610">
        <v>11</v>
      </c>
      <c r="B83" s="3938"/>
      <c r="C83" s="586" t="s">
        <v>2152</v>
      </c>
      <c r="D83" s="586" t="s">
        <v>2153</v>
      </c>
      <c r="E83" s="610">
        <v>0.1</v>
      </c>
      <c r="F83" s="610">
        <v>15</v>
      </c>
    </row>
    <row r="84" spans="1:6" ht="24">
      <c r="A84" s="610">
        <v>12</v>
      </c>
      <c r="B84" s="3938"/>
      <c r="C84" s="586" t="s">
        <v>2154</v>
      </c>
      <c r="D84" s="586" t="s">
        <v>2155</v>
      </c>
      <c r="E84" s="610">
        <v>0.1</v>
      </c>
      <c r="F84" s="610">
        <v>15</v>
      </c>
    </row>
    <row r="85" spans="1:6" ht="24">
      <c r="A85" s="610">
        <v>13</v>
      </c>
      <c r="B85" s="3938"/>
      <c r="C85" s="586" t="s">
        <v>2156</v>
      </c>
      <c r="D85" s="586" t="s">
        <v>2157</v>
      </c>
      <c r="E85" s="610">
        <v>0.1</v>
      </c>
      <c r="F85" s="610">
        <v>15</v>
      </c>
    </row>
    <row r="86" spans="1:6" ht="24">
      <c r="A86" s="610">
        <v>14</v>
      </c>
      <c r="B86" s="3938"/>
      <c r="C86" s="586" t="s">
        <v>2158</v>
      </c>
      <c r="D86" s="586" t="s">
        <v>2159</v>
      </c>
      <c r="E86" s="610">
        <v>0.1</v>
      </c>
      <c r="F86" s="610">
        <v>15</v>
      </c>
    </row>
    <row r="87" spans="1:6" ht="24">
      <c r="A87" s="610">
        <v>15</v>
      </c>
      <c r="B87" s="3938"/>
      <c r="C87" s="586" t="s">
        <v>2160</v>
      </c>
      <c r="D87" s="586" t="s">
        <v>2161</v>
      </c>
      <c r="E87" s="610">
        <v>0.1</v>
      </c>
      <c r="F87" s="610">
        <v>15</v>
      </c>
    </row>
    <row r="88" spans="1:6" ht="24">
      <c r="A88" s="610">
        <v>16</v>
      </c>
      <c r="B88" s="3938"/>
      <c r="C88" s="586" t="s">
        <v>2162</v>
      </c>
      <c r="D88" s="586" t="s">
        <v>2163</v>
      </c>
      <c r="E88" s="610">
        <v>0.1</v>
      </c>
      <c r="F88" s="610">
        <v>15</v>
      </c>
    </row>
    <row r="89" spans="1:6" ht="24">
      <c r="A89" s="610">
        <v>17</v>
      </c>
      <c r="B89" s="3941"/>
      <c r="C89" s="586" t="s">
        <v>2164</v>
      </c>
      <c r="D89" s="586" t="s">
        <v>2165</v>
      </c>
      <c r="E89" s="610">
        <v>0.1</v>
      </c>
      <c r="F89" s="610">
        <v>15</v>
      </c>
    </row>
    <row r="90" spans="1:6" ht="14.4">
      <c r="A90" s="610">
        <v>18</v>
      </c>
      <c r="B90" s="3940" t="s">
        <v>1367</v>
      </c>
      <c r="C90" s="586" t="s">
        <v>2166</v>
      </c>
      <c r="D90" s="586" t="s">
        <v>2167</v>
      </c>
      <c r="E90" s="610">
        <v>0.2</v>
      </c>
      <c r="F90" s="610">
        <v>25</v>
      </c>
    </row>
    <row r="91" spans="1:6" ht="24">
      <c r="A91" s="610">
        <v>19</v>
      </c>
      <c r="B91" s="3938"/>
      <c r="C91" s="586" t="s">
        <v>2168</v>
      </c>
      <c r="D91" s="586" t="s">
        <v>2169</v>
      </c>
      <c r="E91" s="610">
        <v>0.2</v>
      </c>
      <c r="F91" s="610">
        <v>25</v>
      </c>
    </row>
    <row r="92" spans="1:6" ht="14.4">
      <c r="A92" s="610">
        <v>20</v>
      </c>
      <c r="B92" s="3938"/>
      <c r="C92" s="586" t="s">
        <v>2170</v>
      </c>
      <c r="D92" s="586" t="s">
        <v>2171</v>
      </c>
      <c r="E92" s="610">
        <v>0.15</v>
      </c>
      <c r="F92" s="610">
        <v>20</v>
      </c>
    </row>
    <row r="93" spans="1:6" ht="24">
      <c r="A93" s="610">
        <v>21</v>
      </c>
      <c r="B93" s="3938"/>
      <c r="C93" s="586" t="s">
        <v>2172</v>
      </c>
      <c r="D93" s="586" t="s">
        <v>2173</v>
      </c>
      <c r="E93" s="610">
        <v>0.15</v>
      </c>
      <c r="F93" s="610">
        <v>20</v>
      </c>
    </row>
    <row r="94" spans="1:6" ht="24">
      <c r="A94" s="610">
        <v>22</v>
      </c>
      <c r="B94" s="3938"/>
      <c r="C94" s="586" t="s">
        <v>2174</v>
      </c>
      <c r="D94" s="586" t="s">
        <v>2175</v>
      </c>
      <c r="E94" s="610">
        <v>0.15</v>
      </c>
      <c r="F94" s="610">
        <v>20</v>
      </c>
    </row>
    <row r="95" spans="1:6" ht="36">
      <c r="A95" s="610">
        <v>23</v>
      </c>
      <c r="B95" s="3938"/>
      <c r="C95" s="586" t="s">
        <v>2176</v>
      </c>
      <c r="D95" s="586" t="s">
        <v>2177</v>
      </c>
      <c r="E95" s="610">
        <v>0.15</v>
      </c>
      <c r="F95" s="610">
        <v>20</v>
      </c>
    </row>
    <row r="96" spans="1:6" ht="24">
      <c r="A96" s="610">
        <v>24</v>
      </c>
      <c r="B96" s="3938"/>
      <c r="C96" s="586" t="s">
        <v>2178</v>
      </c>
      <c r="D96" s="586" t="s">
        <v>2179</v>
      </c>
      <c r="E96" s="610">
        <v>0.1</v>
      </c>
      <c r="F96" s="610">
        <v>15</v>
      </c>
    </row>
    <row r="97" spans="1:6" ht="24">
      <c r="A97" s="610">
        <v>25</v>
      </c>
      <c r="B97" s="3938"/>
      <c r="C97" s="586" t="s">
        <v>2180</v>
      </c>
      <c r="D97" s="586" t="s">
        <v>2181</v>
      </c>
      <c r="E97" s="610">
        <v>0.1</v>
      </c>
      <c r="F97" s="610">
        <v>15</v>
      </c>
    </row>
    <row r="98" spans="1:6" ht="24">
      <c r="A98" s="610">
        <v>26</v>
      </c>
      <c r="B98" s="3938"/>
      <c r="C98" s="586" t="s">
        <v>2182</v>
      </c>
      <c r="D98" s="586" t="s">
        <v>2183</v>
      </c>
      <c r="E98" s="610">
        <v>0.1</v>
      </c>
      <c r="F98" s="610">
        <v>15</v>
      </c>
    </row>
    <row r="99" spans="1:6" ht="24">
      <c r="A99" s="610">
        <v>27</v>
      </c>
      <c r="B99" s="3938"/>
      <c r="C99" s="586" t="s">
        <v>2184</v>
      </c>
      <c r="D99" s="586" t="s">
        <v>2185</v>
      </c>
      <c r="E99" s="610">
        <v>0.1</v>
      </c>
      <c r="F99" s="610">
        <v>15</v>
      </c>
    </row>
    <row r="100" spans="1:6" ht="24">
      <c r="A100" s="610">
        <v>28</v>
      </c>
      <c r="B100" s="3938"/>
      <c r="C100" s="586" t="s">
        <v>2186</v>
      </c>
      <c r="D100" s="586" t="s">
        <v>2187</v>
      </c>
      <c r="E100" s="610">
        <v>0.1</v>
      </c>
      <c r="F100" s="610">
        <v>15</v>
      </c>
    </row>
    <row r="101" spans="1:6" ht="24">
      <c r="A101" s="610">
        <v>29</v>
      </c>
      <c r="B101" s="3938"/>
      <c r="C101" s="586" t="s">
        <v>2188</v>
      </c>
      <c r="D101" s="586" t="s">
        <v>2189</v>
      </c>
      <c r="E101" s="610">
        <v>0.1</v>
      </c>
      <c r="F101" s="610">
        <v>15</v>
      </c>
    </row>
    <row r="102" spans="1:6" ht="24">
      <c r="A102" s="610">
        <v>30</v>
      </c>
      <c r="B102" s="3938"/>
      <c r="C102" s="586" t="s">
        <v>2190</v>
      </c>
      <c r="D102" s="586" t="s">
        <v>2191</v>
      </c>
      <c r="E102" s="610">
        <v>0.1</v>
      </c>
      <c r="F102" s="610">
        <v>15</v>
      </c>
    </row>
    <row r="103" spans="1:6" ht="24">
      <c r="A103" s="610">
        <v>31</v>
      </c>
      <c r="B103" s="3938"/>
      <c r="C103" s="586" t="s">
        <v>2192</v>
      </c>
      <c r="D103" s="586" t="s">
        <v>2193</v>
      </c>
      <c r="E103" s="610">
        <v>0.1</v>
      </c>
      <c r="F103" s="610">
        <v>15</v>
      </c>
    </row>
    <row r="104" spans="1:6" ht="24">
      <c r="A104" s="610">
        <v>32</v>
      </c>
      <c r="B104" s="3938"/>
      <c r="C104" s="586" t="s">
        <v>2194</v>
      </c>
      <c r="D104" s="586" t="s">
        <v>2195</v>
      </c>
      <c r="E104" s="610">
        <v>0.1</v>
      </c>
      <c r="F104" s="610">
        <v>15</v>
      </c>
    </row>
    <row r="105" spans="1:6" ht="24">
      <c r="A105" s="610">
        <v>33</v>
      </c>
      <c r="B105" s="3938"/>
      <c r="C105" s="586" t="s">
        <v>2196</v>
      </c>
      <c r="D105" s="586" t="s">
        <v>2197</v>
      </c>
      <c r="E105" s="610">
        <v>0.1</v>
      </c>
      <c r="F105" s="610">
        <v>15</v>
      </c>
    </row>
    <row r="106" spans="1:6" ht="24">
      <c r="A106" s="610">
        <v>34</v>
      </c>
      <c r="B106" s="3941"/>
      <c r="C106" s="586" t="s">
        <v>2198</v>
      </c>
      <c r="D106" s="586" t="s">
        <v>2199</v>
      </c>
      <c r="E106" s="610">
        <v>0.1</v>
      </c>
      <c r="F106" s="610">
        <v>15</v>
      </c>
    </row>
    <row r="107" spans="1:6" ht="36">
      <c r="A107" s="610">
        <v>35</v>
      </c>
      <c r="B107" s="3940" t="s">
        <v>1262</v>
      </c>
      <c r="C107" s="610" t="s">
        <v>1873</v>
      </c>
      <c r="D107" s="586" t="s">
        <v>2200</v>
      </c>
      <c r="E107" s="610">
        <v>0.15</v>
      </c>
      <c r="F107" s="610">
        <v>20</v>
      </c>
    </row>
    <row r="108" spans="1:6" ht="24">
      <c r="A108" s="610">
        <v>36</v>
      </c>
      <c r="B108" s="3938"/>
      <c r="C108" s="610" t="s">
        <v>2201</v>
      </c>
      <c r="D108" s="586" t="s">
        <v>2202</v>
      </c>
      <c r="E108" s="610">
        <v>0.15</v>
      </c>
      <c r="F108" s="610">
        <v>20</v>
      </c>
    </row>
    <row r="109" spans="1:6" ht="24">
      <c r="A109" s="610">
        <v>37</v>
      </c>
      <c r="B109" s="3938"/>
      <c r="C109" s="610" t="s">
        <v>2203</v>
      </c>
      <c r="D109" s="586" t="s">
        <v>2204</v>
      </c>
      <c r="E109" s="610">
        <v>0.15</v>
      </c>
      <c r="F109" s="610">
        <v>20</v>
      </c>
    </row>
    <row r="110" spans="1:6" ht="24">
      <c r="A110" s="610">
        <v>38</v>
      </c>
      <c r="B110" s="3938"/>
      <c r="C110" s="610" t="s">
        <v>2205</v>
      </c>
      <c r="D110" s="586" t="s">
        <v>2206</v>
      </c>
      <c r="E110" s="610">
        <v>0.1</v>
      </c>
      <c r="F110" s="610">
        <v>15</v>
      </c>
    </row>
    <row r="111" spans="1:6" ht="24">
      <c r="A111" s="610">
        <v>39</v>
      </c>
      <c r="B111" s="3938"/>
      <c r="C111" s="610" t="s">
        <v>2207</v>
      </c>
      <c r="D111" s="586" t="s">
        <v>2208</v>
      </c>
      <c r="E111" s="610">
        <v>0.1</v>
      </c>
      <c r="F111" s="610">
        <v>15</v>
      </c>
    </row>
    <row r="112" spans="1:6" ht="24">
      <c r="A112" s="610">
        <v>40</v>
      </c>
      <c r="B112" s="3941"/>
      <c r="C112" s="610" t="s">
        <v>2209</v>
      </c>
      <c r="D112" s="586" t="s">
        <v>2210</v>
      </c>
      <c r="E112" s="610">
        <v>0.1</v>
      </c>
      <c r="F112" s="610">
        <v>15</v>
      </c>
    </row>
    <row r="113" spans="1:6" ht="24">
      <c r="A113" s="610">
        <v>41</v>
      </c>
      <c r="B113" s="3942" t="s">
        <v>1257</v>
      </c>
      <c r="C113" s="610" t="s">
        <v>2211</v>
      </c>
      <c r="D113" s="586" t="s">
        <v>2212</v>
      </c>
      <c r="E113" s="610">
        <v>0.1</v>
      </c>
      <c r="F113" s="610">
        <v>15</v>
      </c>
    </row>
    <row r="114" spans="1:6" ht="24">
      <c r="A114" s="610">
        <v>42</v>
      </c>
      <c r="B114" s="3942"/>
      <c r="C114" s="610" t="s">
        <v>2213</v>
      </c>
      <c r="D114" s="586" t="s">
        <v>2214</v>
      </c>
      <c r="E114" s="610">
        <v>0.1</v>
      </c>
      <c r="F114" s="610">
        <v>15</v>
      </c>
    </row>
    <row r="115" spans="1:6" ht="24">
      <c r="A115" s="610">
        <v>43</v>
      </c>
      <c r="B115" s="3942"/>
      <c r="C115" s="610" t="s">
        <v>2215</v>
      </c>
      <c r="D115" s="586" t="s">
        <v>2216</v>
      </c>
      <c r="E115" s="610">
        <v>0.1</v>
      </c>
      <c r="F115" s="610">
        <v>15</v>
      </c>
    </row>
    <row r="116" spans="1:6" ht="24">
      <c r="A116" s="610">
        <v>44</v>
      </c>
      <c r="B116" s="3940" t="s">
        <v>1252</v>
      </c>
      <c r="C116" s="610" t="s">
        <v>2217</v>
      </c>
      <c r="D116" s="586" t="s">
        <v>2218</v>
      </c>
      <c r="E116" s="610">
        <v>0.1</v>
      </c>
      <c r="F116" s="610">
        <v>15</v>
      </c>
    </row>
    <row r="117" spans="1:6" ht="24">
      <c r="A117" s="610">
        <v>45</v>
      </c>
      <c r="B117" s="3941"/>
      <c r="C117" s="586" t="s">
        <v>2219</v>
      </c>
      <c r="D117" s="586" t="s">
        <v>2220</v>
      </c>
      <c r="E117" s="610">
        <v>0.1</v>
      </c>
      <c r="F117" s="610">
        <v>15</v>
      </c>
    </row>
    <row r="118" spans="1:6" ht="24">
      <c r="A118" s="610">
        <v>46</v>
      </c>
      <c r="B118" s="3940" t="s">
        <v>1333</v>
      </c>
      <c r="C118" s="610" t="s">
        <v>2221</v>
      </c>
      <c r="D118" s="586" t="s">
        <v>2222</v>
      </c>
      <c r="E118" s="610">
        <v>0.1</v>
      </c>
      <c r="F118" s="610">
        <v>15</v>
      </c>
    </row>
    <row r="119" spans="1:6" ht="24">
      <c r="A119" s="610">
        <v>47</v>
      </c>
      <c r="B119" s="3941"/>
      <c r="C119" s="610" t="s">
        <v>2223</v>
      </c>
      <c r="D119" s="586" t="s">
        <v>2224</v>
      </c>
      <c r="E119" s="610">
        <v>0.1</v>
      </c>
      <c r="F119" s="610">
        <v>15</v>
      </c>
    </row>
    <row r="120" spans="1:6" ht="24">
      <c r="A120" s="610">
        <v>48</v>
      </c>
      <c r="B120" s="3940" t="s">
        <v>2225</v>
      </c>
      <c r="C120" s="610" t="s">
        <v>2226</v>
      </c>
      <c r="D120" s="586" t="s">
        <v>2227</v>
      </c>
      <c r="E120" s="610">
        <v>0.1</v>
      </c>
      <c r="F120" s="610">
        <v>15</v>
      </c>
    </row>
    <row r="121" spans="1:6" ht="24">
      <c r="A121" s="610">
        <v>49</v>
      </c>
      <c r="B121" s="3941"/>
      <c r="C121" s="610" t="s">
        <v>2228</v>
      </c>
      <c r="D121" s="586" t="s">
        <v>2229</v>
      </c>
      <c r="E121" s="610">
        <v>0.1</v>
      </c>
      <c r="F121" s="610">
        <v>15</v>
      </c>
    </row>
    <row r="122" spans="1:6" ht="24">
      <c r="A122" s="610">
        <v>50</v>
      </c>
      <c r="B122" s="3942" t="s">
        <v>1363</v>
      </c>
      <c r="C122" s="610" t="s">
        <v>2230</v>
      </c>
      <c r="D122" s="586" t="s">
        <v>2231</v>
      </c>
      <c r="E122" s="610">
        <v>0.1</v>
      </c>
      <c r="F122" s="610">
        <v>15</v>
      </c>
    </row>
    <row r="123" spans="1:6" ht="24">
      <c r="A123" s="610">
        <v>51</v>
      </c>
      <c r="B123" s="3942"/>
      <c r="C123" s="610" t="s">
        <v>2232</v>
      </c>
      <c r="D123" s="586" t="s">
        <v>2233</v>
      </c>
      <c r="E123" s="610">
        <v>0.1</v>
      </c>
      <c r="F123" s="610">
        <v>15</v>
      </c>
    </row>
    <row r="124" spans="1:6" ht="24">
      <c r="A124" s="610">
        <v>52</v>
      </c>
      <c r="B124" s="3942" t="s">
        <v>1267</v>
      </c>
      <c r="C124" s="610" t="s">
        <v>2234</v>
      </c>
      <c r="D124" s="586" t="s">
        <v>2235</v>
      </c>
      <c r="E124" s="610">
        <v>0.1</v>
      </c>
      <c r="F124" s="610">
        <v>15</v>
      </c>
    </row>
    <row r="125" spans="1:6" ht="24">
      <c r="A125" s="610">
        <v>53</v>
      </c>
      <c r="B125" s="3942"/>
      <c r="C125" s="610" t="s">
        <v>2236</v>
      </c>
      <c r="D125" s="586" t="s">
        <v>2237</v>
      </c>
      <c r="E125" s="610">
        <v>0.1</v>
      </c>
      <c r="F125" s="610">
        <v>15</v>
      </c>
    </row>
    <row r="126" spans="1:6" ht="24">
      <c r="A126" s="610">
        <v>54</v>
      </c>
      <c r="B126" s="610" t="s">
        <v>2238</v>
      </c>
      <c r="C126" s="610" t="s">
        <v>2239</v>
      </c>
      <c r="D126" s="586" t="s">
        <v>2240</v>
      </c>
      <c r="E126" s="610">
        <v>0.1</v>
      </c>
      <c r="F126" s="610">
        <v>15</v>
      </c>
    </row>
    <row r="127" spans="1:6" ht="24">
      <c r="A127" s="610">
        <v>55</v>
      </c>
      <c r="B127" s="3942" t="s">
        <v>1272</v>
      </c>
      <c r="C127" s="610" t="s">
        <v>2241</v>
      </c>
      <c r="D127" s="586" t="s">
        <v>2242</v>
      </c>
      <c r="E127" s="610">
        <v>0.1</v>
      </c>
      <c r="F127" s="610">
        <v>15</v>
      </c>
    </row>
    <row r="128" spans="1:6" ht="24">
      <c r="A128" s="610">
        <v>56</v>
      </c>
      <c r="B128" s="3942"/>
      <c r="C128" s="610" t="s">
        <v>2243</v>
      </c>
      <c r="D128" s="586" t="s">
        <v>2244</v>
      </c>
      <c r="E128" s="610">
        <v>0.1</v>
      </c>
      <c r="F128" s="610">
        <v>15</v>
      </c>
    </row>
    <row r="129" spans="1:6" ht="24">
      <c r="A129" s="610">
        <v>57</v>
      </c>
      <c r="B129" s="3942"/>
      <c r="C129" s="610" t="s">
        <v>2245</v>
      </c>
      <c r="D129" s="586" t="s">
        <v>2246</v>
      </c>
      <c r="E129" s="610">
        <v>0.1</v>
      </c>
      <c r="F129" s="610">
        <v>15</v>
      </c>
    </row>
    <row r="130" spans="1:6" ht="24">
      <c r="A130" s="610">
        <v>58</v>
      </c>
      <c r="B130" s="3942" t="s">
        <v>1338</v>
      </c>
      <c r="C130" s="610" t="s">
        <v>2247</v>
      </c>
      <c r="D130" s="586" t="s">
        <v>2248</v>
      </c>
      <c r="E130" s="610">
        <v>0.1</v>
      </c>
      <c r="F130" s="610">
        <v>15</v>
      </c>
    </row>
    <row r="131" spans="1:6" ht="24">
      <c r="A131" s="610">
        <v>59</v>
      </c>
      <c r="B131" s="3942"/>
      <c r="C131" s="610" t="s">
        <v>2249</v>
      </c>
      <c r="D131" s="586" t="s">
        <v>2250</v>
      </c>
      <c r="E131" s="610">
        <v>0.1</v>
      </c>
      <c r="F131" s="610">
        <v>15</v>
      </c>
    </row>
    <row r="132" spans="1:6" ht="24">
      <c r="A132" s="610">
        <v>60</v>
      </c>
      <c r="B132" s="3940" t="s">
        <v>2251</v>
      </c>
      <c r="C132" s="610" t="s">
        <v>2252</v>
      </c>
      <c r="D132" s="586" t="s">
        <v>2253</v>
      </c>
      <c r="E132" s="610">
        <v>0.1</v>
      </c>
      <c r="F132" s="610">
        <v>15</v>
      </c>
    </row>
    <row r="133" spans="1:6" ht="24">
      <c r="A133" s="610">
        <v>61</v>
      </c>
      <c r="B133" s="3941"/>
      <c r="C133" s="610" t="s">
        <v>2254</v>
      </c>
      <c r="D133" s="586" t="s">
        <v>2255</v>
      </c>
      <c r="E133" s="610">
        <v>0.1</v>
      </c>
      <c r="F133" s="610">
        <v>15</v>
      </c>
    </row>
    <row r="134" spans="1:6" ht="24">
      <c r="A134" s="610">
        <v>62</v>
      </c>
      <c r="B134" s="610" t="s">
        <v>2256</v>
      </c>
      <c r="C134" s="610" t="s">
        <v>2257</v>
      </c>
      <c r="D134" s="586" t="s">
        <v>2258</v>
      </c>
      <c r="E134" s="610">
        <v>0.1</v>
      </c>
      <c r="F134" s="610">
        <v>15</v>
      </c>
    </row>
    <row r="135" spans="1:6" ht="24">
      <c r="A135" s="610">
        <v>63</v>
      </c>
      <c r="B135" s="3942" t="s">
        <v>2259</v>
      </c>
      <c r="C135" s="610" t="s">
        <v>2260</v>
      </c>
      <c r="D135" s="586" t="s">
        <v>2261</v>
      </c>
      <c r="E135" s="610">
        <v>0.1</v>
      </c>
      <c r="F135" s="610">
        <v>15</v>
      </c>
    </row>
    <row r="136" spans="1:6" ht="24">
      <c r="A136" s="610">
        <v>64</v>
      </c>
      <c r="B136" s="3942"/>
      <c r="C136" s="610" t="s">
        <v>2262</v>
      </c>
      <c r="D136" s="586" t="s">
        <v>2263</v>
      </c>
      <c r="E136" s="610">
        <v>0.1</v>
      </c>
      <c r="F136" s="610">
        <v>15</v>
      </c>
    </row>
    <row r="137" spans="1:6" ht="24">
      <c r="A137" s="610">
        <v>65</v>
      </c>
      <c r="B137" s="610" t="s">
        <v>2264</v>
      </c>
      <c r="C137" s="610" t="s">
        <v>2265</v>
      </c>
      <c r="D137" s="586" t="s">
        <v>2266</v>
      </c>
      <c r="E137" s="610">
        <v>0.1</v>
      </c>
      <c r="F137" s="610">
        <v>15</v>
      </c>
    </row>
    <row r="138" spans="1:6" ht="14.4">
      <c r="A138" s="610"/>
      <c r="B138" s="610"/>
      <c r="C138" s="610"/>
      <c r="D138" s="610"/>
      <c r="E138" s="610" t="s">
        <v>124</v>
      </c>
      <c r="F138" s="6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531" customWidth="1"/>
    <col min="2" max="2" width="37.21875" style="3531" customWidth="1"/>
    <col min="3" max="3" width="11.33203125" style="3531" customWidth="1"/>
    <col min="4" max="4" width="31.77734375" style="3531" customWidth="1"/>
    <col min="5" max="5" width="0.44140625" style="3531" customWidth="1"/>
    <col min="6" max="7" width="13" style="3531" customWidth="1"/>
    <col min="8" max="16384" width="9" style="3531"/>
  </cols>
  <sheetData>
    <row r="1" spans="1:5" ht="17.399999999999999">
      <c r="A1" s="3532" t="s">
        <v>94</v>
      </c>
      <c r="B1" s="3533"/>
      <c r="C1" s="3533"/>
      <c r="D1" s="3533"/>
      <c r="E1" s="3533"/>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7.399999999999999">
      <c r="A3" s="3634" t="str">
        <f>IF(项目基本情况!B9="房地产市场价值","估价结果一览表（市场价值不需“结果表-1”）","估价结果一览表")</f>
        <v>估价结果一览表</v>
      </c>
      <c r="B3" s="3634"/>
      <c r="C3" s="3634"/>
      <c r="D3" s="3634"/>
      <c r="E3" s="3634"/>
    </row>
    <row r="4" spans="1:5" ht="17.399999999999999">
      <c r="A4" s="3534"/>
      <c r="B4" s="3635" t="s">
        <v>95</v>
      </c>
      <c r="C4" s="3635"/>
      <c r="D4" s="3635"/>
      <c r="E4" s="3534"/>
    </row>
    <row r="5" spans="1:5" ht="15.6">
      <c r="A5" s="3533"/>
      <c r="B5" s="3627" t="s">
        <v>96</v>
      </c>
      <c r="C5" s="3535" t="s">
        <v>97</v>
      </c>
      <c r="D5" s="3536">
        <f ca="1">结果表!H101</f>
        <v>146992</v>
      </c>
      <c r="E5" s="3533"/>
    </row>
    <row r="6" spans="1:5" ht="31.2">
      <c r="A6" s="3533"/>
      <c r="B6" s="3627"/>
      <c r="C6" s="3535" t="s">
        <v>98</v>
      </c>
      <c r="D6" s="3536" t="str">
        <f ca="1">NUMBERSTRING(INT(D5*10000),2)&amp;"元整"</f>
        <v>壹拾肆亿陆仟玖佰玖拾贰万元整</v>
      </c>
      <c r="E6" s="3533"/>
    </row>
    <row r="7" spans="1:5" ht="15.6">
      <c r="A7" s="3533"/>
      <c r="B7" s="3628"/>
      <c r="C7" s="3537" t="s">
        <v>99</v>
      </c>
      <c r="D7" s="3538">
        <f ca="1">结果表!H102</f>
        <v>53847</v>
      </c>
      <c r="E7" s="3533"/>
    </row>
    <row r="8" spans="1:5" ht="15.6">
      <c r="A8" s="3533"/>
      <c r="B8" s="3629" t="str">
        <f>结果表!E103</f>
        <v>2.估价师知悉的法定优先受偿款</v>
      </c>
      <c r="C8" s="3539" t="s">
        <v>100</v>
      </c>
      <c r="D8" s="3538">
        <f>结果表!H103</f>
        <v>0</v>
      </c>
      <c r="E8" s="3533"/>
    </row>
    <row r="9" spans="1:5" ht="15.6">
      <c r="A9" s="3533"/>
      <c r="B9" s="3631"/>
      <c r="C9" s="3535" t="s">
        <v>98</v>
      </c>
      <c r="D9" s="3536" t="str">
        <f>NUMBERSTRING(INT(D8*10000),2)&amp;"元整"</f>
        <v>零元整</v>
      </c>
      <c r="E9" s="3533"/>
    </row>
    <row r="10" spans="1:5" ht="15.6">
      <c r="A10" s="3533"/>
      <c r="B10" s="3540" t="s">
        <v>101</v>
      </c>
      <c r="C10" s="3541" t="s">
        <v>102</v>
      </c>
      <c r="D10" s="3542">
        <f>结果表!H104</f>
        <v>0</v>
      </c>
      <c r="E10" s="3533"/>
    </row>
    <row r="11" spans="1:5" ht="15.6">
      <c r="A11" s="3533"/>
      <c r="B11" s="3540" t="s">
        <v>103</v>
      </c>
      <c r="C11" s="3541" t="s">
        <v>102</v>
      </c>
      <c r="D11" s="3542">
        <f>结果表!H105</f>
        <v>0</v>
      </c>
      <c r="E11" s="3533"/>
    </row>
    <row r="12" spans="1:5" ht="15.6">
      <c r="A12" s="3533"/>
      <c r="B12" s="3540" t="s">
        <v>104</v>
      </c>
      <c r="C12" s="3541" t="s">
        <v>102</v>
      </c>
      <c r="D12" s="3542">
        <f>结果表!H106</f>
        <v>0</v>
      </c>
      <c r="E12" s="3533"/>
    </row>
    <row r="13" spans="1:5" ht="15.6">
      <c r="A13" s="3533"/>
      <c r="B13" s="3626" t="str">
        <f>结果表!E107</f>
        <v>3.房地产抵押价值</v>
      </c>
      <c r="C13" s="3543" t="s">
        <v>97</v>
      </c>
      <c r="D13" s="3544">
        <f ca="1">结果表!H107</f>
        <v>146992</v>
      </c>
      <c r="E13" s="3533"/>
    </row>
    <row r="14" spans="1:5" ht="31.2">
      <c r="A14" s="3533"/>
      <c r="B14" s="3627"/>
      <c r="C14" s="3535" t="s">
        <v>98</v>
      </c>
      <c r="D14" s="3536" t="str">
        <f ca="1">NUMBERSTRING(INT(D13*10000),2)&amp;"元整"</f>
        <v>壹拾肆亿陆仟玖佰玖拾贰万元整</v>
      </c>
      <c r="E14" s="3533"/>
    </row>
    <row r="15" spans="1:5" ht="15.6">
      <c r="A15" s="3533"/>
      <c r="B15" s="3628"/>
      <c r="C15" s="3537" t="s">
        <v>99</v>
      </c>
      <c r="D15" s="3545">
        <f ca="1">结果表!H108</f>
        <v>53847</v>
      </c>
      <c r="E15" s="3533"/>
    </row>
    <row r="16" spans="1:5" ht="15.6">
      <c r="A16" s="3533"/>
      <c r="B16" s="3629" t="str">
        <f>结果表!E109</f>
        <v>——</v>
      </c>
      <c r="C16" s="3543" t="s">
        <v>97</v>
      </c>
      <c r="D16" s="3546" t="str">
        <f>结果表!H109</f>
        <v>——</v>
      </c>
      <c r="E16" s="3533"/>
    </row>
    <row r="17" spans="1:5" ht="15.6">
      <c r="A17" s="3533"/>
      <c r="B17" s="3630"/>
      <c r="C17" s="3535" t="s">
        <v>98</v>
      </c>
      <c r="D17" s="3536" t="e">
        <f>NUMBERSTRING(INT(D16*10000),2)&amp;"元整"</f>
        <v>#VALUE!</v>
      </c>
      <c r="E17" s="3533"/>
    </row>
    <row r="18" spans="1:5" ht="15.6">
      <c r="A18" s="3533"/>
      <c r="B18" s="3631"/>
      <c r="C18" s="3537" t="s">
        <v>99</v>
      </c>
      <c r="D18" s="3545" t="str">
        <f>结果表!H110</f>
        <v>——</v>
      </c>
      <c r="E18" s="3533"/>
    </row>
    <row r="19" spans="1:5" ht="15.6">
      <c r="A19" s="3533"/>
      <c r="B19" s="3626" t="str">
        <f>结果表!E111</f>
        <v>4.抵押净值</v>
      </c>
      <c r="C19" s="3543" t="s">
        <v>97</v>
      </c>
      <c r="D19" s="3538">
        <f ca="1">结果表!H111</f>
        <v>134641</v>
      </c>
      <c r="E19" s="3533"/>
    </row>
    <row r="20" spans="1:5" ht="31.2">
      <c r="A20" s="3533"/>
      <c r="B20" s="3627"/>
      <c r="C20" s="3535" t="s">
        <v>98</v>
      </c>
      <c r="D20" s="3536" t="str">
        <f ca="1">NUMBERSTRING(INT(D19*10000),2)&amp;"元整"</f>
        <v>壹拾叁亿肆仟陆佰肆拾壹万元整</v>
      </c>
      <c r="E20" s="3533"/>
    </row>
    <row r="21" spans="1:5" ht="15.6">
      <c r="A21" s="3533"/>
      <c r="B21" s="3632"/>
      <c r="C21" s="3547" t="s">
        <v>99</v>
      </c>
      <c r="D21" s="3548">
        <f ca="1">结果表!H112</f>
        <v>49322</v>
      </c>
      <c r="E21" s="3533"/>
    </row>
    <row r="22" spans="1:5">
      <c r="A22" s="3533"/>
      <c r="B22" s="3549" t="s">
        <v>105</v>
      </c>
      <c r="C22" s="3533"/>
      <c r="D22" s="3533"/>
      <c r="E22" s="3533"/>
    </row>
    <row r="23" spans="1:5">
      <c r="A23" s="3533"/>
      <c r="B23" s="3533"/>
      <c r="C23" s="3533"/>
      <c r="D23" s="3533"/>
      <c r="E23" s="3533"/>
    </row>
    <row r="24" spans="1:5" ht="17.399999999999999">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549"/>
    <col min="14" max="16384" width="9" style="550"/>
  </cols>
  <sheetData>
    <row r="1" spans="1:20" ht="15.6">
      <c r="A1" s="551" t="s">
        <v>2267</v>
      </c>
      <c r="B1" s="551"/>
      <c r="C1" s="551"/>
      <c r="D1" s="551"/>
      <c r="E1" s="551"/>
      <c r="F1" s="551"/>
      <c r="G1" s="551"/>
      <c r="H1" s="551"/>
      <c r="I1" s="551"/>
      <c r="J1" s="551"/>
      <c r="K1" s="551"/>
      <c r="L1" s="551"/>
      <c r="M1" s="551"/>
      <c r="N1" s="558"/>
    </row>
    <row r="2" spans="1:20">
      <c r="A2" s="552" t="s">
        <v>1246</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2268</v>
      </c>
      <c r="R2" s="563" t="s">
        <v>2269</v>
      </c>
      <c r="S2" s="563" t="s">
        <v>2270</v>
      </c>
      <c r="T2" s="563" t="s">
        <v>2271</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5.6">
      <c r="A93" s="551" t="s">
        <v>2272</v>
      </c>
      <c r="B93" s="551"/>
      <c r="C93" s="551"/>
      <c r="D93" s="551"/>
      <c r="E93" s="551"/>
      <c r="F93" s="551"/>
      <c r="G93" s="551"/>
      <c r="H93" s="551"/>
      <c r="I93" s="551"/>
      <c r="J93" s="551"/>
      <c r="K93" s="551"/>
      <c r="L93" s="551"/>
      <c r="M93" s="551"/>
    </row>
    <row r="94" spans="1:20">
      <c r="A94" s="552" t="s">
        <v>1246</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2268</v>
      </c>
      <c r="R94" s="563" t="s">
        <v>2269</v>
      </c>
      <c r="S94" s="563" t="s">
        <v>2270</v>
      </c>
      <c r="T94" s="563" t="s">
        <v>2271</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5.6">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5.6">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5.6">
      <c r="A185" s="551" t="s">
        <v>2273</v>
      </c>
      <c r="B185" s="551"/>
      <c r="C185" s="551"/>
      <c r="D185" s="551"/>
      <c r="E185" s="551"/>
      <c r="F185" s="551"/>
      <c r="G185" s="551"/>
      <c r="H185" s="551"/>
      <c r="I185" s="551"/>
      <c r="J185" s="551"/>
      <c r="K185" s="551"/>
      <c r="L185" s="551"/>
      <c r="M185" s="551"/>
    </row>
    <row r="186" spans="1:20">
      <c r="A186" s="552" t="s">
        <v>1246</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2268</v>
      </c>
      <c r="R186" s="563" t="s">
        <v>2269</v>
      </c>
      <c r="S186" s="563" t="s">
        <v>2270</v>
      </c>
      <c r="T186" s="563" t="s">
        <v>2271</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5.6">
      <c r="A277" s="551" t="s">
        <v>2274</v>
      </c>
      <c r="B277" s="551"/>
      <c r="C277" s="551"/>
      <c r="D277" s="551"/>
      <c r="E277" s="551"/>
      <c r="F277" s="551"/>
      <c r="G277" s="551"/>
      <c r="H277" s="551"/>
      <c r="I277" s="551"/>
      <c r="J277" s="551"/>
      <c r="K277" s="551"/>
      <c r="L277" s="551"/>
      <c r="M277" s="551"/>
    </row>
    <row r="278" spans="1:21">
      <c r="A278" s="552" t="s">
        <v>1246</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2268</v>
      </c>
      <c r="R278" s="563" t="s">
        <v>2269</v>
      </c>
      <c r="S278" s="563" t="s">
        <v>2275</v>
      </c>
      <c r="T278" s="563" t="s">
        <v>2276</v>
      </c>
      <c r="U278" s="563" t="s">
        <v>2271</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5.6">
      <c r="A369" s="551" t="s">
        <v>2277</v>
      </c>
      <c r="B369" s="567"/>
      <c r="C369" s="567"/>
      <c r="D369" s="567"/>
      <c r="E369" s="567"/>
      <c r="F369" s="567"/>
      <c r="G369" s="567"/>
      <c r="H369" s="567"/>
      <c r="I369" s="567"/>
      <c r="J369" s="567"/>
      <c r="K369" s="567"/>
      <c r="L369" s="567"/>
      <c r="M369" s="567"/>
    </row>
    <row r="370" spans="1:20">
      <c r="A370" s="552" t="s">
        <v>1246</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2268</v>
      </c>
      <c r="R370" s="563" t="s">
        <v>2269</v>
      </c>
      <c r="S370" s="563" t="s">
        <v>2270</v>
      </c>
      <c r="T370" s="563" t="s">
        <v>2271</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7" s="456" customFormat="1" ht="21">
      <c r="A1" s="464" t="s">
        <v>2278</v>
      </c>
      <c r="B1" s="465"/>
      <c r="C1" s="466"/>
      <c r="D1" s="466"/>
      <c r="E1" s="466"/>
      <c r="F1" s="466"/>
      <c r="G1" s="467"/>
    </row>
    <row r="2" spans="1:7" s="456" customFormat="1" ht="18" customHeight="1">
      <c r="A2" s="468" t="s">
        <v>2279</v>
      </c>
      <c r="B2" s="469">
        <f ca="1">C52</f>
        <v>47156</v>
      </c>
      <c r="C2" s="470" t="s">
        <v>1569</v>
      </c>
      <c r="D2" s="467"/>
      <c r="E2" s="467"/>
      <c r="F2" s="467"/>
      <c r="G2" s="467"/>
    </row>
    <row r="3" spans="1:7" s="456" customFormat="1" ht="18" customHeight="1">
      <c r="A3" s="471" t="s">
        <v>2280</v>
      </c>
      <c r="B3" s="472">
        <f ca="1">ROUND(B2*10000/'数据-汇总表'!E3,0)</f>
        <v>17274</v>
      </c>
      <c r="C3" s="470" t="s">
        <v>1749</v>
      </c>
      <c r="D3" s="467"/>
      <c r="E3" s="467"/>
      <c r="F3" s="467"/>
      <c r="G3" s="467"/>
    </row>
    <row r="4" spans="1:7" s="457" customFormat="1" ht="16.2">
      <c r="A4" s="473" t="s">
        <v>2281</v>
      </c>
      <c r="B4" s="474"/>
      <c r="C4" s="474"/>
      <c r="D4" s="474"/>
      <c r="E4" s="474"/>
      <c r="F4" s="474"/>
      <c r="G4" s="475"/>
    </row>
    <row r="5" spans="1:7" s="458" customFormat="1" ht="13.5" customHeight="1">
      <c r="A5" s="476" t="s">
        <v>1002</v>
      </c>
      <c r="B5" s="477" t="s">
        <v>2282</v>
      </c>
      <c r="C5" s="478">
        <f>C6+C7+C8</f>
        <v>20610</v>
      </c>
      <c r="D5" s="478" t="s">
        <v>2283</v>
      </c>
      <c r="E5" s="479" t="s">
        <v>2284</v>
      </c>
      <c r="F5" s="479" t="s">
        <v>2285</v>
      </c>
      <c r="G5" s="480"/>
    </row>
    <row r="6" spans="1:7" s="458" customFormat="1" ht="13.5" customHeight="1">
      <c r="A6" s="481" t="s">
        <v>1006</v>
      </c>
      <c r="B6" s="482" t="s">
        <v>2286</v>
      </c>
      <c r="C6" s="483">
        <v>20000</v>
      </c>
      <c r="D6" s="484"/>
      <c r="E6" s="485"/>
      <c r="F6" s="485"/>
      <c r="G6" s="486"/>
    </row>
    <row r="7" spans="1:7" s="458" customFormat="1" ht="13.5" customHeight="1">
      <c r="A7" s="481" t="s">
        <v>1008</v>
      </c>
      <c r="B7" s="482" t="s">
        <v>2287</v>
      </c>
      <c r="C7" s="487">
        <f>ROUND(C6*F7,0)</f>
        <v>610</v>
      </c>
      <c r="D7" s="487"/>
      <c r="E7" s="485"/>
      <c r="F7" s="488">
        <f>'数据-取费表'!B48+'数据-取费表'!B49</f>
        <v>3.0499999999999999E-2</v>
      </c>
      <c r="G7" s="486"/>
    </row>
    <row r="8" spans="1:7" s="459" customFormat="1">
      <c r="A8" s="481" t="s">
        <v>1010</v>
      </c>
      <c r="B8" s="482" t="s">
        <v>2288</v>
      </c>
      <c r="C8" s="487" t="str">
        <f>IF(G8="已包含在土地购买价格中","0",'数据-取费表'!B29)</f>
        <v>0</v>
      </c>
      <c r="D8" s="489"/>
      <c r="E8" s="487"/>
      <c r="F8" s="488"/>
      <c r="G8" s="490" t="s">
        <v>2289</v>
      </c>
    </row>
    <row r="9" spans="1:7" s="458" customFormat="1" ht="13.5" customHeight="1">
      <c r="A9" s="491" t="s">
        <v>1012</v>
      </c>
      <c r="B9" s="492" t="s">
        <v>2290</v>
      </c>
      <c r="C9" s="493">
        <f>ROUND(D9*E9/10000,0)</f>
        <v>0</v>
      </c>
      <c r="D9" s="494">
        <f>'数据-汇总表'!E5</f>
        <v>0</v>
      </c>
      <c r="E9" s="493">
        <f>'数据-取费表'!B27</f>
        <v>0</v>
      </c>
      <c r="F9" s="488"/>
      <c r="G9" s="495"/>
    </row>
    <row r="10" spans="1:7" s="458" customFormat="1" ht="13.5" customHeight="1">
      <c r="A10" s="491" t="s">
        <v>1014</v>
      </c>
      <c r="B10" s="492" t="s">
        <v>2291</v>
      </c>
      <c r="C10" s="493">
        <f>ROUND(D10*E10/10000,0)</f>
        <v>546</v>
      </c>
      <c r="D10" s="494">
        <f>'数据-汇总表'!E6</f>
        <v>27298.22</v>
      </c>
      <c r="E10" s="493">
        <f>'数据-取费表'!B28</f>
        <v>200</v>
      </c>
      <c r="F10" s="488"/>
      <c r="G10" s="495"/>
    </row>
    <row r="11" spans="1:7" s="458" customFormat="1" ht="13.5" hidden="1" customHeight="1">
      <c r="A11" s="496" t="s">
        <v>1016</v>
      </c>
      <c r="B11" s="482" t="s">
        <v>2292</v>
      </c>
      <c r="C11" s="478"/>
      <c r="D11" s="497"/>
      <c r="E11" s="485"/>
      <c r="F11" s="485"/>
      <c r="G11" s="486"/>
    </row>
    <row r="12" spans="1:7" s="458" customFormat="1" ht="13.5" hidden="1" customHeight="1">
      <c r="A12" s="496" t="s">
        <v>1018</v>
      </c>
      <c r="B12" s="482" t="s">
        <v>2293</v>
      </c>
      <c r="C12" s="478">
        <v>0</v>
      </c>
      <c r="D12" s="497"/>
      <c r="E12" s="498"/>
      <c r="F12" s="488">
        <v>3.0499999999999999E-2</v>
      </c>
      <c r="G12" s="486"/>
    </row>
    <row r="13" spans="1:7" s="458" customFormat="1" ht="13.5" hidden="1" customHeight="1">
      <c r="A13" s="496" t="s">
        <v>1019</v>
      </c>
      <c r="B13" s="482" t="s">
        <v>2294</v>
      </c>
      <c r="C13" s="478"/>
      <c r="D13" s="497"/>
      <c r="E13" s="485"/>
      <c r="F13" s="485"/>
      <c r="G13" s="486"/>
    </row>
    <row r="14" spans="1:7" s="458" customFormat="1" ht="13.5" hidden="1" customHeight="1">
      <c r="A14" s="496" t="s">
        <v>1021</v>
      </c>
      <c r="B14" s="482" t="s">
        <v>2288</v>
      </c>
      <c r="C14" s="478"/>
      <c r="D14" s="497"/>
      <c r="E14" s="485"/>
      <c r="F14" s="485"/>
      <c r="G14" s="486" t="s">
        <v>2295</v>
      </c>
    </row>
    <row r="15" spans="1:7" s="458" customFormat="1" ht="13.5" hidden="1" customHeight="1">
      <c r="A15" s="496" t="s">
        <v>1023</v>
      </c>
      <c r="B15" s="482" t="s">
        <v>2296</v>
      </c>
      <c r="C15" s="487"/>
      <c r="D15" s="497"/>
      <c r="E15" s="485"/>
      <c r="F15" s="485"/>
      <c r="G15" s="486" t="s">
        <v>2297</v>
      </c>
    </row>
    <row r="16" spans="1:7" s="458" customFormat="1" ht="13.5" hidden="1" customHeight="1">
      <c r="A16" s="496" t="s">
        <v>1026</v>
      </c>
      <c r="B16" s="482" t="s">
        <v>2288</v>
      </c>
      <c r="C16" s="487"/>
      <c r="D16" s="497"/>
      <c r="E16" s="485"/>
      <c r="F16" s="485"/>
      <c r="G16" s="486"/>
    </row>
    <row r="17" spans="1:7" s="458" customFormat="1" ht="13.5" hidden="1" customHeight="1">
      <c r="A17" s="496" t="s">
        <v>1027</v>
      </c>
      <c r="B17" s="482" t="s">
        <v>2298</v>
      </c>
      <c r="C17" s="499"/>
      <c r="D17" s="500"/>
      <c r="E17" s="499"/>
      <c r="F17" s="499"/>
      <c r="G17" s="486" t="s">
        <v>2297</v>
      </c>
    </row>
    <row r="18" spans="1:7" s="458" customFormat="1" ht="13.5" hidden="1" customHeight="1">
      <c r="A18" s="496" t="s">
        <v>1029</v>
      </c>
      <c r="B18" s="482" t="s">
        <v>2299</v>
      </c>
      <c r="C18" s="487">
        <v>0</v>
      </c>
      <c r="D18" s="497"/>
      <c r="E18" s="485"/>
      <c r="F18" s="488">
        <v>3.0499999999999999E-2</v>
      </c>
      <c r="G18" s="486" t="s">
        <v>2300</v>
      </c>
    </row>
    <row r="19" spans="1:7" s="459" customFormat="1" ht="13.5" customHeight="1">
      <c r="A19" s="501" t="s">
        <v>1866</v>
      </c>
      <c r="B19" s="477" t="s">
        <v>2301</v>
      </c>
      <c r="C19" s="478">
        <f>IF(G19="已包含在土地取得成本中","0",ROUND(D19*E19/10000,0))</f>
        <v>546</v>
      </c>
      <c r="D19" s="502">
        <f>'数据-汇总表'!E3</f>
        <v>27298.22</v>
      </c>
      <c r="E19" s="478">
        <f>'数据-取费表'!B31</f>
        <v>200</v>
      </c>
      <c r="F19" s="503"/>
      <c r="G19" s="490" t="s">
        <v>2302</v>
      </c>
    </row>
    <row r="20" spans="1:7" s="458" customFormat="1" ht="13.5" customHeight="1">
      <c r="A20" s="501" t="s">
        <v>1903</v>
      </c>
      <c r="B20" s="477" t="s">
        <v>2303</v>
      </c>
      <c r="C20" s="504">
        <f>ROUND((C5+C19)*F20,0)</f>
        <v>423</v>
      </c>
      <c r="D20" s="504"/>
      <c r="E20" s="504"/>
      <c r="F20" s="505">
        <f>'数据-取费表'!B37</f>
        <v>0.02</v>
      </c>
      <c r="G20" s="506" t="s">
        <v>2304</v>
      </c>
    </row>
    <row r="21" spans="1:7" s="458" customFormat="1" ht="13.5" customHeight="1">
      <c r="A21" s="501" t="s">
        <v>1908</v>
      </c>
      <c r="B21" s="477" t="s">
        <v>2305</v>
      </c>
      <c r="C21" s="507">
        <f>F21</f>
        <v>0.02</v>
      </c>
      <c r="D21" s="508" t="s">
        <v>2306</v>
      </c>
      <c r="E21" s="504"/>
      <c r="F21" s="505">
        <f>'数据-取费表'!B38</f>
        <v>0.02</v>
      </c>
      <c r="G21" s="509" t="s">
        <v>2307</v>
      </c>
    </row>
    <row r="22" spans="1:7" s="458" customFormat="1" ht="13.5" customHeight="1">
      <c r="A22" s="501" t="s">
        <v>1917</v>
      </c>
      <c r="B22" s="477" t="s">
        <v>2308</v>
      </c>
      <c r="C22" s="510">
        <f ca="1">ROUND(SUM(C23:C25),0)</f>
        <v>1899</v>
      </c>
      <c r="D22" s="507">
        <f ca="1">C26</f>
        <v>8.9999999999999998E-4</v>
      </c>
      <c r="E22" s="508" t="s">
        <v>2306</v>
      </c>
      <c r="F22" s="511">
        <f ca="1">'数据-取费表'!B40</f>
        <v>4.3499999999999997E-2</v>
      </c>
      <c r="G22" s="506" t="str">
        <f>IF('数据-取费表'!B22&lt;=1,"单利计息","复利计息")</f>
        <v>复利计息</v>
      </c>
    </row>
    <row r="23" spans="1:7" s="458" customFormat="1" ht="13.5" customHeight="1">
      <c r="A23" s="512" t="s">
        <v>1006</v>
      </c>
      <c r="B23" s="482" t="s">
        <v>2309</v>
      </c>
      <c r="C23" s="513">
        <f ca="1">ROUND(IF('数据-取费表'!B22&lt;=1,C5*F22*'数据-取费表'!B23,C5*(POWER((1+F22),'数据-取费表'!B23)-1)),0)</f>
        <v>1832</v>
      </c>
      <c r="D23" s="514"/>
      <c r="E23" s="514"/>
      <c r="F23" s="515"/>
      <c r="G23" s="516" t="s">
        <v>2310</v>
      </c>
    </row>
    <row r="24" spans="1:7" s="458" customFormat="1" ht="13.5" customHeight="1">
      <c r="A24" s="512" t="s">
        <v>1008</v>
      </c>
      <c r="B24" s="482" t="s">
        <v>2311</v>
      </c>
      <c r="C24" s="513">
        <f ca="1">ROUND(IF('数据-取费表'!B22&lt;=1,C19*F22*('数据-取费表'!B19/2+'数据-取费表'!B21),C19*(POWER((1+F22),('数据-取费表'!B19/2+'数据-取费表'!B21))-1)),0)</f>
        <v>49</v>
      </c>
      <c r="D24" s="514"/>
      <c r="E24" s="514"/>
      <c r="F24" s="515"/>
      <c r="G24" s="516" t="s">
        <v>2312</v>
      </c>
    </row>
    <row r="25" spans="1:7" s="458" customFormat="1" ht="24">
      <c r="A25" s="512" t="s">
        <v>1010</v>
      </c>
      <c r="B25" s="482" t="s">
        <v>2313</v>
      </c>
      <c r="C25" s="513">
        <f ca="1">ROUND(IF('数据-取费表'!B22&lt;=1,C20*F22*'数据-取费表'!B23/2,C20*(POWER((1+F22),'数据-取费表'!B23/2)-1)),0)</f>
        <v>18</v>
      </c>
      <c r="D25" s="514"/>
      <c r="E25" s="517"/>
      <c r="F25" s="515"/>
      <c r="G25" s="518" t="s">
        <v>2314</v>
      </c>
    </row>
    <row r="26" spans="1:7" s="458" customFormat="1">
      <c r="A26" s="512" t="s">
        <v>1049</v>
      </c>
      <c r="B26" s="482" t="s">
        <v>2315</v>
      </c>
      <c r="C26" s="514">
        <f ca="1">ROUND(IF('数据-取费表'!B22&lt;=1,F21*F22*'数据-取费表'!B23/2,F21*(POWER((1+F22),'数据-取费表'!B23/2)-1)),4)</f>
        <v>8.9999999999999998E-4</v>
      </c>
      <c r="D26" s="514"/>
      <c r="E26" s="517"/>
      <c r="F26" s="515"/>
      <c r="G26" s="519"/>
    </row>
    <row r="27" spans="1:7" s="458" customFormat="1" ht="26.4">
      <c r="A27" s="501" t="s">
        <v>1926</v>
      </c>
      <c r="B27" s="520" t="s">
        <v>2316</v>
      </c>
      <c r="C27" s="521">
        <f>C28</f>
        <v>4316</v>
      </c>
      <c r="D27" s="507">
        <f>C29</f>
        <v>4.0000000000000001E-3</v>
      </c>
      <c r="E27" s="508" t="s">
        <v>2306</v>
      </c>
      <c r="F27" s="522">
        <f>'数据-取费表'!Q16</f>
        <v>0.2</v>
      </c>
      <c r="G27" s="523" t="s">
        <v>2317</v>
      </c>
    </row>
    <row r="28" spans="1:7" s="458" customFormat="1" ht="13.5" customHeight="1">
      <c r="A28" s="512" t="s">
        <v>1006</v>
      </c>
      <c r="B28" s="524" t="s">
        <v>2318</v>
      </c>
      <c r="C28" s="525">
        <f>ROUND((C5+C19+C20)*F27*'数据-取费表'!B21/'数据-取费表'!B20,0)</f>
        <v>4316</v>
      </c>
      <c r="D28" s="507"/>
      <c r="E28" s="508"/>
      <c r="F28" s="522"/>
      <c r="G28" s="523"/>
    </row>
    <row r="29" spans="1:7" s="458" customFormat="1" ht="13.5" customHeight="1">
      <c r="A29" s="512" t="s">
        <v>1008</v>
      </c>
      <c r="B29" s="524" t="s">
        <v>2319</v>
      </c>
      <c r="C29" s="514">
        <f>ROUND(C21*F27*'数据-取费表'!B21/'数据-取费表'!B20,4)</f>
        <v>4.0000000000000001E-3</v>
      </c>
      <c r="D29" s="507"/>
      <c r="E29" s="508"/>
      <c r="F29" s="522"/>
      <c r="G29" s="523"/>
    </row>
    <row r="30" spans="1:7" s="458" customFormat="1" ht="13.5" customHeight="1">
      <c r="A30" s="501" t="s">
        <v>2320</v>
      </c>
      <c r="B30" s="477" t="s">
        <v>2321</v>
      </c>
      <c r="C30" s="507">
        <f>F30</f>
        <v>5.6000000000000001E-2</v>
      </c>
      <c r="D30" s="508" t="s">
        <v>2322</v>
      </c>
      <c r="E30" s="517"/>
      <c r="F30" s="511">
        <f>'数据-取费表'!B41</f>
        <v>5.6000000000000001E-2</v>
      </c>
      <c r="G30" s="509" t="s">
        <v>2323</v>
      </c>
    </row>
    <row r="31" spans="1:7" ht="16.5" customHeight="1">
      <c r="A31" s="526">
        <v>1</v>
      </c>
      <c r="B31" s="477" t="s">
        <v>2324</v>
      </c>
      <c r="C31" s="478">
        <f ca="1">ROUND((C5+C19+C20+C22+C27)/(1-C21-D22-D27-C30/(1+'数据-取费表'!B42)),0)</f>
        <v>30153</v>
      </c>
      <c r="D31" s="527"/>
      <c r="E31" s="478"/>
      <c r="F31" s="528"/>
      <c r="G31" s="509" t="s">
        <v>2325</v>
      </c>
    </row>
    <row r="32" spans="1:7" s="457" customFormat="1" ht="16.2">
      <c r="A32" s="529" t="s">
        <v>2326</v>
      </c>
      <c r="B32" s="530"/>
      <c r="C32" s="530"/>
      <c r="D32" s="530"/>
      <c r="E32" s="530"/>
      <c r="F32" s="530"/>
      <c r="G32" s="531"/>
    </row>
    <row r="33" spans="1:7" s="458" customFormat="1" ht="13.5" customHeight="1">
      <c r="A33" s="476" t="s">
        <v>1002</v>
      </c>
      <c r="B33" s="477" t="s">
        <v>2327</v>
      </c>
      <c r="C33" s="532">
        <f>SUM(C34:C38)</f>
        <v>14887</v>
      </c>
      <c r="D33" s="504"/>
      <c r="E33" s="479"/>
      <c r="F33" s="517"/>
      <c r="G33" s="509"/>
    </row>
    <row r="34" spans="1:7" s="460" customFormat="1" ht="13.5" customHeight="1">
      <c r="A34" s="512" t="s">
        <v>1006</v>
      </c>
      <c r="B34" s="482" t="s">
        <v>2328</v>
      </c>
      <c r="C34" s="487">
        <f>IF(F34=100%,'数据-取费表'!M16-SUMIF('数据-取费表'!C:C,"公共配套",'数据-取费表'!M:M),'数据-取费表'!O16-SUMIF('数据-取费表'!C:C,"公共配套",'数据-取费表'!O:O))</f>
        <v>13723</v>
      </c>
      <c r="D34" s="484"/>
      <c r="E34" s="487"/>
      <c r="F34" s="533">
        <f>IF('数据-取费表'!B24=0,1,'数据-取费表'!N16)</f>
        <v>1</v>
      </c>
      <c r="G34" s="486" t="s">
        <v>2329</v>
      </c>
    </row>
    <row r="35" spans="1:7" ht="13.5" customHeight="1">
      <c r="A35" s="512" t="s">
        <v>1008</v>
      </c>
      <c r="B35" s="482" t="s">
        <v>2330</v>
      </c>
      <c r="C35" s="487">
        <f>ROUND(C34*F35,0)</f>
        <v>412</v>
      </c>
      <c r="D35" s="487"/>
      <c r="E35" s="487"/>
      <c r="F35" s="534">
        <f>'数据-取费表'!B33</f>
        <v>0.03</v>
      </c>
      <c r="G35" s="486" t="s">
        <v>2331</v>
      </c>
    </row>
    <row r="36" spans="1:7" ht="24">
      <c r="A36" s="512" t="s">
        <v>1010</v>
      </c>
      <c r="B36" s="482" t="s">
        <v>2332</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2333</v>
      </c>
    </row>
    <row r="37" spans="1:7" s="460" customFormat="1" ht="13.5" customHeight="1">
      <c r="A37" s="512" t="s">
        <v>1049</v>
      </c>
      <c r="B37" s="482" t="s">
        <v>2334</v>
      </c>
      <c r="C37" s="525">
        <f>ROUND(E37*D37*F34/10000,0)</f>
        <v>546</v>
      </c>
      <c r="D37" s="484">
        <f>'数据-汇总表'!E3</f>
        <v>27298.22</v>
      </c>
      <c r="E37" s="525">
        <f>'数据-取费表'!B35</f>
        <v>200</v>
      </c>
      <c r="F37" s="534"/>
      <c r="G37" s="536" t="s">
        <v>2335</v>
      </c>
    </row>
    <row r="38" spans="1:7" ht="13.5" customHeight="1">
      <c r="A38" s="512" t="s">
        <v>1069</v>
      </c>
      <c r="B38" s="482" t="s">
        <v>2293</v>
      </c>
      <c r="C38" s="487">
        <f>ROUND(C34*F38,0)</f>
        <v>206</v>
      </c>
      <c r="D38" s="487"/>
      <c r="E38" s="487"/>
      <c r="F38" s="534">
        <f>'数据-取费表'!B36</f>
        <v>1.4999999999999999E-2</v>
      </c>
      <c r="G38" s="486" t="s">
        <v>2331</v>
      </c>
    </row>
    <row r="39" spans="1:7" s="458" customFormat="1" ht="13.5" customHeight="1">
      <c r="A39" s="501" t="s">
        <v>1866</v>
      </c>
      <c r="B39" s="477" t="s">
        <v>2303</v>
      </c>
      <c r="C39" s="504">
        <f>ROUND(C33*F20,0)</f>
        <v>298</v>
      </c>
      <c r="D39" s="504"/>
      <c r="E39" s="504"/>
      <c r="F39" s="505"/>
      <c r="G39" s="506" t="s">
        <v>2336</v>
      </c>
    </row>
    <row r="40" spans="1:7" s="458" customFormat="1" ht="13.5" customHeight="1">
      <c r="A40" s="501" t="s">
        <v>1903</v>
      </c>
      <c r="B40" s="477" t="s">
        <v>2305</v>
      </c>
      <c r="C40" s="537">
        <f>F21</f>
        <v>0.02</v>
      </c>
      <c r="D40" s="508" t="s">
        <v>2337</v>
      </c>
      <c r="E40" s="504"/>
      <c r="F40" s="505"/>
      <c r="G40" s="509" t="s">
        <v>2338</v>
      </c>
    </row>
    <row r="41" spans="1:7" s="458" customFormat="1" ht="13.5" customHeight="1">
      <c r="A41" s="501" t="s">
        <v>1908</v>
      </c>
      <c r="B41" s="477" t="s">
        <v>2308</v>
      </c>
      <c r="C41" s="504">
        <f ca="1">ROUND(SUM(C42:C43),0)</f>
        <v>661</v>
      </c>
      <c r="D41" s="507">
        <f ca="1">C44</f>
        <v>8.9999999999999998E-4</v>
      </c>
      <c r="E41" s="508" t="s">
        <v>2337</v>
      </c>
      <c r="F41" s="511"/>
      <c r="G41" s="506" t="str">
        <f>IF('数据-取费表'!B22&lt;=1,"单利计息","复利计息")</f>
        <v>复利计息</v>
      </c>
    </row>
    <row r="42" spans="1:7" ht="13.5" customHeight="1">
      <c r="A42" s="512" t="s">
        <v>1006</v>
      </c>
      <c r="B42" s="482" t="s">
        <v>2309</v>
      </c>
      <c r="C42" s="514">
        <f ca="1">ROUND(IF('数据-取费表'!B22&lt;=1,C33*F22*'数据-取费表'!B21/2,C33*(POWER((1+F22),'数据-取费表'!B21/2)-1)),0)</f>
        <v>648</v>
      </c>
      <c r="D42" s="514"/>
      <c r="E42" s="514"/>
      <c r="F42" s="515"/>
      <c r="G42" s="3807" t="s">
        <v>2339</v>
      </c>
    </row>
    <row r="43" spans="1:7" ht="13.5" customHeight="1">
      <c r="A43" s="512" t="s">
        <v>1008</v>
      </c>
      <c r="B43" s="482" t="s">
        <v>2311</v>
      </c>
      <c r="C43" s="514">
        <f ca="1">ROUND(IF('数据-取费表'!B22&lt;=1,C39*F22*'数据-取费表'!B21/2,C39*(POWER((1+F22),'数据-取费表'!B21/2)-1)),0)</f>
        <v>13</v>
      </c>
      <c r="D43" s="514"/>
      <c r="E43" s="514"/>
      <c r="F43" s="515"/>
      <c r="G43" s="3808"/>
    </row>
    <row r="44" spans="1:7" ht="13.5" customHeight="1">
      <c r="A44" s="512" t="s">
        <v>1010</v>
      </c>
      <c r="B44" s="482" t="s">
        <v>2313</v>
      </c>
      <c r="C44" s="514">
        <f ca="1">ROUND(IF('数据-取费表'!B22&lt;=1,C40*F22*'数据-取费表'!B21/2,C40*(POWER((1+F22),'数据-取费表'!B21/2)-1)),4)</f>
        <v>8.9999999999999998E-4</v>
      </c>
      <c r="D44" s="514"/>
      <c r="E44" s="514"/>
      <c r="F44" s="515"/>
      <c r="G44" s="3809"/>
    </row>
    <row r="45" spans="1:7" s="458" customFormat="1" ht="13.5" customHeight="1">
      <c r="A45" s="501" t="s">
        <v>1917</v>
      </c>
      <c r="B45" s="520" t="s">
        <v>2316</v>
      </c>
      <c r="C45" s="521">
        <f>C46</f>
        <v>3037</v>
      </c>
      <c r="D45" s="507">
        <f>C47</f>
        <v>4.0000000000000001E-3</v>
      </c>
      <c r="E45" s="508" t="s">
        <v>2337</v>
      </c>
      <c r="F45" s="522"/>
      <c r="G45" s="523" t="s">
        <v>2340</v>
      </c>
    </row>
    <row r="46" spans="1:7" s="458" customFormat="1" ht="13.5" customHeight="1">
      <c r="A46" s="512" t="s">
        <v>1006</v>
      </c>
      <c r="B46" s="524" t="s">
        <v>2341</v>
      </c>
      <c r="C46" s="525">
        <f>ROUND((C33+C39)*F27,0)</f>
        <v>3037</v>
      </c>
      <c r="D46" s="538"/>
      <c r="E46" s="508"/>
      <c r="F46" s="522"/>
      <c r="G46" s="523"/>
    </row>
    <row r="47" spans="1:7" s="458" customFormat="1" ht="13.5" customHeight="1">
      <c r="A47" s="512" t="s">
        <v>1008</v>
      </c>
      <c r="B47" s="524" t="s">
        <v>2342</v>
      </c>
      <c r="C47" s="514">
        <f>ROUND(C40*F27,4)</f>
        <v>4.0000000000000001E-3</v>
      </c>
      <c r="D47" s="538"/>
      <c r="E47" s="508"/>
      <c r="F47" s="522"/>
      <c r="G47" s="523"/>
    </row>
    <row r="48" spans="1:7" s="458" customFormat="1" ht="13.5" customHeight="1">
      <c r="A48" s="501" t="s">
        <v>1926</v>
      </c>
      <c r="B48" s="477" t="s">
        <v>2321</v>
      </c>
      <c r="C48" s="537">
        <f>F30</f>
        <v>5.6000000000000001E-2</v>
      </c>
      <c r="D48" s="508" t="s">
        <v>2343</v>
      </c>
      <c r="E48" s="504"/>
      <c r="F48" s="511"/>
      <c r="G48" s="509" t="s">
        <v>2344</v>
      </c>
    </row>
    <row r="49" spans="1:7" ht="16.5" customHeight="1">
      <c r="A49" s="501" t="s">
        <v>2320</v>
      </c>
      <c r="B49" s="477" t="s">
        <v>2345</v>
      </c>
      <c r="C49" s="504">
        <f ca="1">ROUND((C33+C39+C41+C45)/(1-C40-D41-D45-C48/(1+'数据-取费表'!B42)),0)</f>
        <v>20486</v>
      </c>
      <c r="D49" s="504"/>
      <c r="E49" s="504"/>
      <c r="F49" s="539"/>
      <c r="G49" s="509" t="s">
        <v>2346</v>
      </c>
    </row>
    <row r="50" spans="1:7" s="460" customFormat="1" ht="24">
      <c r="A50" s="501" t="s">
        <v>2347</v>
      </c>
      <c r="B50" s="477" t="s">
        <v>2348</v>
      </c>
      <c r="C50" s="504"/>
      <c r="D50" s="504"/>
      <c r="E50" s="504"/>
      <c r="F50" s="539">
        <f>IF('数据-取费表'!B24=0,'数据-取费表'!N16,1)</f>
        <v>0.83</v>
      </c>
      <c r="G50" s="523" t="s">
        <v>2349</v>
      </c>
    </row>
    <row r="51" spans="1:7" ht="16.5" customHeight="1">
      <c r="A51" s="501" t="s">
        <v>2350</v>
      </c>
      <c r="B51" s="477" t="s">
        <v>2351</v>
      </c>
      <c r="C51" s="504">
        <f ca="1">ROUND(C49*F50,0)</f>
        <v>17003</v>
      </c>
      <c r="D51" s="504"/>
      <c r="E51" s="504"/>
      <c r="F51" s="539"/>
      <c r="G51" s="509" t="s">
        <v>2352</v>
      </c>
    </row>
    <row r="52" spans="1:7" s="457" customFormat="1" ht="16.2">
      <c r="A52" s="540" t="s">
        <v>2353</v>
      </c>
      <c r="B52" s="541"/>
      <c r="C52" s="542">
        <f ca="1">C31+C51</f>
        <v>47156</v>
      </c>
      <c r="D52" s="541"/>
      <c r="E52" s="541"/>
      <c r="F52" s="541"/>
      <c r="G52" s="543"/>
    </row>
    <row r="55" spans="1:7" ht="15">
      <c r="B55" s="544" t="s">
        <v>2354</v>
      </c>
      <c r="C55" s="545"/>
    </row>
    <row r="56" spans="1:7">
      <c r="B56" s="546" t="s">
        <v>2355</v>
      </c>
      <c r="C56" s="547">
        <f ca="1">ROUND(C51/C52,3)</f>
        <v>0.36099999999999999</v>
      </c>
    </row>
    <row r="57" spans="1:7">
      <c r="B57" s="546" t="s">
        <v>2356</v>
      </c>
      <c r="C57" s="548">
        <f ca="1">1-C56</f>
        <v>0.63900000000000001</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427" customWidth="1"/>
    <col min="2" max="2" width="18.6640625" style="427" customWidth="1"/>
    <col min="3" max="6" width="10.21875" style="427" customWidth="1"/>
    <col min="7" max="7" width="10.44140625" style="427" customWidth="1"/>
    <col min="8" max="8" width="8.88671875" style="426"/>
    <col min="9" max="9" width="13.33203125" style="426" customWidth="1"/>
    <col min="10" max="13" width="13.33203125" style="427" customWidth="1"/>
    <col min="14" max="14" width="18.21875" style="427" customWidth="1"/>
    <col min="15" max="17" width="15.109375" style="427" customWidth="1"/>
    <col min="18" max="20" width="11.44140625" style="427" customWidth="1"/>
    <col min="21" max="16384" width="8.88671875" style="427"/>
  </cols>
  <sheetData>
    <row r="1" spans="1:20">
      <c r="A1" s="3943" t="s">
        <v>2357</v>
      </c>
      <c r="B1" s="3943"/>
      <c r="C1" s="3943"/>
      <c r="D1" s="3943"/>
      <c r="E1" s="3943"/>
      <c r="F1" s="3943"/>
      <c r="G1" s="3944"/>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2358</v>
      </c>
      <c r="B2" s="428"/>
      <c r="C2" s="428"/>
      <c r="D2" s="428"/>
      <c r="E2" s="428"/>
      <c r="F2" s="428"/>
      <c r="G2" s="429" t="s">
        <v>2359</v>
      </c>
      <c r="I2" s="436" t="s">
        <v>2360</v>
      </c>
      <c r="J2" s="436" t="s">
        <v>2361</v>
      </c>
      <c r="K2" s="436" t="s">
        <v>2362</v>
      </c>
      <c r="L2" s="436" t="s">
        <v>2363</v>
      </c>
      <c r="M2" s="436" t="s">
        <v>2364</v>
      </c>
      <c r="N2" s="436" t="s">
        <v>2365</v>
      </c>
      <c r="O2" s="436" t="s">
        <v>2366</v>
      </c>
      <c r="P2" s="436" t="s">
        <v>2367</v>
      </c>
      <c r="Q2" s="436" t="s">
        <v>2368</v>
      </c>
      <c r="R2" s="436" t="s">
        <v>2369</v>
      </c>
      <c r="S2" s="436" t="s">
        <v>2370</v>
      </c>
      <c r="T2" s="436" t="s">
        <v>2371</v>
      </c>
    </row>
    <row r="3" spans="1:20" s="425" customFormat="1">
      <c r="A3" s="3945" t="s">
        <v>2372</v>
      </c>
      <c r="B3" s="430"/>
      <c r="C3" s="431" t="s">
        <v>549</v>
      </c>
      <c r="D3" s="431" t="s">
        <v>1166</v>
      </c>
      <c r="E3" s="431" t="s">
        <v>413</v>
      </c>
      <c r="F3" s="431" t="s">
        <v>409</v>
      </c>
      <c r="G3" s="431" t="s">
        <v>280</v>
      </c>
      <c r="H3" s="432"/>
      <c r="I3" s="437" t="s">
        <v>2373</v>
      </c>
      <c r="J3" s="438" t="s">
        <v>2374</v>
      </c>
      <c r="K3" s="438" t="s">
        <v>2375</v>
      </c>
      <c r="L3" s="437" t="s">
        <v>2376</v>
      </c>
      <c r="M3" s="437" t="s">
        <v>2377</v>
      </c>
      <c r="N3" s="437" t="s">
        <v>2378</v>
      </c>
      <c r="O3" s="437" t="s">
        <v>2379</v>
      </c>
      <c r="P3" s="437" t="s">
        <v>2380</v>
      </c>
      <c r="Q3" s="437" t="s">
        <v>2381</v>
      </c>
      <c r="R3" s="437" t="s">
        <v>2382</v>
      </c>
      <c r="S3" s="437" t="s">
        <v>2383</v>
      </c>
      <c r="T3" s="437" t="s">
        <v>2384</v>
      </c>
    </row>
    <row r="4" spans="1:20" s="425" customFormat="1">
      <c r="A4" s="3946"/>
      <c r="B4" s="433" t="s">
        <v>2385</v>
      </c>
      <c r="C4" s="433" t="s">
        <v>2386</v>
      </c>
      <c r="D4" s="433" t="s">
        <v>2386</v>
      </c>
      <c r="E4" s="433" t="s">
        <v>2386</v>
      </c>
      <c r="F4" s="434" t="s">
        <v>2386</v>
      </c>
      <c r="G4" s="434" t="s">
        <v>2386</v>
      </c>
      <c r="H4" s="432"/>
      <c r="I4" s="438" t="s">
        <v>2387</v>
      </c>
      <c r="J4" s="438" t="s">
        <v>2388</v>
      </c>
      <c r="K4" s="438" t="s">
        <v>2389</v>
      </c>
      <c r="L4" s="437" t="s">
        <v>2390</v>
      </c>
      <c r="M4" s="437" t="s">
        <v>2391</v>
      </c>
      <c r="N4" s="437" t="s">
        <v>2392</v>
      </c>
      <c r="O4" s="437" t="s">
        <v>2393</v>
      </c>
      <c r="P4" s="437" t="s">
        <v>2394</v>
      </c>
      <c r="Q4" s="437" t="s">
        <v>2395</v>
      </c>
      <c r="R4" s="437" t="s">
        <v>2396</v>
      </c>
      <c r="S4" s="437" t="s">
        <v>2397</v>
      </c>
      <c r="T4" s="437" t="s">
        <v>2398</v>
      </c>
    </row>
    <row r="5" spans="1:20">
      <c r="A5" s="435" t="s">
        <v>230</v>
      </c>
      <c r="B5" s="436" t="s">
        <v>2360</v>
      </c>
      <c r="C5" s="436">
        <v>34550</v>
      </c>
      <c r="D5" s="436">
        <v>34470</v>
      </c>
      <c r="E5" s="436">
        <v>34330</v>
      </c>
      <c r="F5" s="436">
        <v>13400</v>
      </c>
      <c r="G5" s="436">
        <v>25450</v>
      </c>
      <c r="H5" s="432"/>
      <c r="I5" s="437" t="s">
        <v>2399</v>
      </c>
      <c r="J5" s="438" t="s">
        <v>2400</v>
      </c>
      <c r="K5" s="438" t="s">
        <v>2401</v>
      </c>
      <c r="L5" s="437" t="s">
        <v>2402</v>
      </c>
      <c r="M5" s="437" t="s">
        <v>2403</v>
      </c>
      <c r="N5" s="437" t="s">
        <v>2404</v>
      </c>
      <c r="O5" s="437" t="s">
        <v>2405</v>
      </c>
      <c r="P5" s="437" t="s">
        <v>2406</v>
      </c>
      <c r="Q5" s="437" t="s">
        <v>2407</v>
      </c>
      <c r="R5" s="437" t="s">
        <v>2408</v>
      </c>
      <c r="S5" s="437" t="s">
        <v>2409</v>
      </c>
      <c r="T5" s="437" t="s">
        <v>2410</v>
      </c>
    </row>
    <row r="6" spans="1:20">
      <c r="A6" s="437" t="s">
        <v>230</v>
      </c>
      <c r="B6" s="437" t="s">
        <v>2373</v>
      </c>
      <c r="C6" s="437">
        <v>36990</v>
      </c>
      <c r="D6" s="437">
        <v>36850</v>
      </c>
      <c r="E6" s="437">
        <v>36700</v>
      </c>
      <c r="F6" s="437">
        <v>14590</v>
      </c>
      <c r="G6" s="437">
        <v>27450</v>
      </c>
      <c r="H6" s="432"/>
      <c r="I6" s="440" t="s">
        <v>2411</v>
      </c>
      <c r="J6" s="438" t="s">
        <v>2412</v>
      </c>
      <c r="K6" s="438" t="s">
        <v>2413</v>
      </c>
      <c r="L6" s="437" t="s">
        <v>2414</v>
      </c>
      <c r="M6" s="437" t="s">
        <v>2415</v>
      </c>
      <c r="N6" s="437" t="s">
        <v>2416</v>
      </c>
      <c r="O6" s="437" t="s">
        <v>2417</v>
      </c>
      <c r="P6" s="437" t="s">
        <v>2418</v>
      </c>
      <c r="Q6" s="437" t="s">
        <v>2419</v>
      </c>
      <c r="R6" s="437" t="s">
        <v>2420</v>
      </c>
      <c r="S6" s="437" t="s">
        <v>2421</v>
      </c>
      <c r="T6" s="437" t="s">
        <v>2422</v>
      </c>
    </row>
    <row r="7" spans="1:20">
      <c r="A7" s="437" t="s">
        <v>230</v>
      </c>
      <c r="B7" s="438" t="s">
        <v>2387</v>
      </c>
      <c r="C7" s="437">
        <v>34850</v>
      </c>
      <c r="D7" s="437">
        <v>34690</v>
      </c>
      <c r="E7" s="437">
        <v>34550</v>
      </c>
      <c r="F7" s="437">
        <v>14360</v>
      </c>
      <c r="G7" s="437">
        <v>25620</v>
      </c>
      <c r="H7" s="432"/>
      <c r="J7" s="438" t="s">
        <v>2423</v>
      </c>
      <c r="K7" s="438" t="s">
        <v>2424</v>
      </c>
      <c r="L7" s="437" t="s">
        <v>2425</v>
      </c>
      <c r="M7" s="437" t="s">
        <v>2426</v>
      </c>
      <c r="N7" s="437" t="s">
        <v>2427</v>
      </c>
      <c r="O7" s="437" t="s">
        <v>2428</v>
      </c>
      <c r="P7" s="437" t="s">
        <v>2429</v>
      </c>
      <c r="Q7" s="437" t="s">
        <v>2430</v>
      </c>
      <c r="R7" s="437" t="s">
        <v>2431</v>
      </c>
      <c r="S7" s="437" t="s">
        <v>2432</v>
      </c>
      <c r="T7" s="437" t="s">
        <v>2433</v>
      </c>
    </row>
    <row r="8" spans="1:20">
      <c r="A8" s="437" t="s">
        <v>230</v>
      </c>
      <c r="B8" s="437" t="s">
        <v>2399</v>
      </c>
      <c r="C8" s="437">
        <v>32630</v>
      </c>
      <c r="D8" s="437">
        <v>32510</v>
      </c>
      <c r="E8" s="437">
        <v>32420</v>
      </c>
      <c r="F8" s="437">
        <v>13300</v>
      </c>
      <c r="G8" s="437">
        <v>24010</v>
      </c>
      <c r="H8" s="432"/>
      <c r="J8" s="438" t="s">
        <v>2434</v>
      </c>
      <c r="K8" s="438" t="s">
        <v>2435</v>
      </c>
      <c r="L8" s="437" t="s">
        <v>2436</v>
      </c>
      <c r="M8" s="437" t="s">
        <v>2437</v>
      </c>
      <c r="N8" s="437" t="s">
        <v>2438</v>
      </c>
      <c r="O8" s="437" t="s">
        <v>2439</v>
      </c>
      <c r="P8" s="437" t="s">
        <v>2440</v>
      </c>
      <c r="Q8" s="437" t="s">
        <v>2441</v>
      </c>
      <c r="R8" s="437" t="s">
        <v>2442</v>
      </c>
      <c r="S8" s="437" t="s">
        <v>2443</v>
      </c>
      <c r="T8" s="441" t="s">
        <v>2444</v>
      </c>
    </row>
    <row r="9" spans="1:20">
      <c r="A9" s="439" t="s">
        <v>230</v>
      </c>
      <c r="B9" s="440" t="s">
        <v>2411</v>
      </c>
      <c r="C9" s="441">
        <v>36370</v>
      </c>
      <c r="D9" s="441">
        <v>36210</v>
      </c>
      <c r="E9" s="441">
        <v>36050</v>
      </c>
      <c r="F9" s="441"/>
      <c r="G9" s="441">
        <v>26740</v>
      </c>
      <c r="H9" s="432"/>
      <c r="J9" s="438" t="s">
        <v>2445</v>
      </c>
      <c r="K9" s="438" t="s">
        <v>2446</v>
      </c>
      <c r="L9" s="437" t="s">
        <v>2447</v>
      </c>
      <c r="M9" s="437" t="s">
        <v>2448</v>
      </c>
      <c r="N9" s="437" t="s">
        <v>2449</v>
      </c>
      <c r="O9" s="437" t="s">
        <v>2450</v>
      </c>
      <c r="P9" s="437" t="s">
        <v>2451</v>
      </c>
      <c r="Q9" s="437" t="s">
        <v>2452</v>
      </c>
      <c r="R9" s="437" t="s">
        <v>2453</v>
      </c>
      <c r="S9" s="437" t="s">
        <v>2454</v>
      </c>
    </row>
    <row r="10" spans="1:20">
      <c r="A10" s="435" t="s">
        <v>241</v>
      </c>
      <c r="B10" s="436" t="s">
        <v>2361</v>
      </c>
      <c r="C10" s="437">
        <v>32350</v>
      </c>
      <c r="D10" s="437">
        <v>31430</v>
      </c>
      <c r="E10" s="437">
        <v>31320</v>
      </c>
      <c r="F10" s="437">
        <v>10850</v>
      </c>
      <c r="G10" s="437">
        <v>22860</v>
      </c>
      <c r="H10" s="432"/>
      <c r="J10" s="438" t="s">
        <v>2455</v>
      </c>
      <c r="K10" s="438" t="s">
        <v>2456</v>
      </c>
      <c r="L10" s="437" t="s">
        <v>2457</v>
      </c>
      <c r="M10" s="437" t="s">
        <v>2458</v>
      </c>
      <c r="N10" s="437" t="s">
        <v>2459</v>
      </c>
      <c r="O10" s="437" t="s">
        <v>2460</v>
      </c>
      <c r="P10" s="437" t="s">
        <v>2461</v>
      </c>
      <c r="Q10" s="437" t="s">
        <v>2462</v>
      </c>
      <c r="R10" s="437" t="s">
        <v>2463</v>
      </c>
      <c r="S10" s="437" t="s">
        <v>2464</v>
      </c>
    </row>
    <row r="11" spans="1:20">
      <c r="A11" s="437" t="s">
        <v>241</v>
      </c>
      <c r="B11" s="438" t="s">
        <v>2374</v>
      </c>
      <c r="C11" s="437">
        <v>31590</v>
      </c>
      <c r="D11" s="437">
        <v>29490</v>
      </c>
      <c r="E11" s="437">
        <v>28700</v>
      </c>
      <c r="F11" s="437">
        <v>10410</v>
      </c>
      <c r="G11" s="437">
        <v>21460</v>
      </c>
      <c r="H11" s="432"/>
      <c r="J11" s="438" t="s">
        <v>2465</v>
      </c>
      <c r="K11" s="438" t="s">
        <v>2466</v>
      </c>
      <c r="L11" s="437" t="s">
        <v>2467</v>
      </c>
      <c r="M11" s="437" t="s">
        <v>2468</v>
      </c>
      <c r="N11" s="437" t="s">
        <v>2469</v>
      </c>
      <c r="O11" s="437" t="s">
        <v>2470</v>
      </c>
      <c r="P11" s="437" t="s">
        <v>2471</v>
      </c>
      <c r="Q11" s="437" t="s">
        <v>2472</v>
      </c>
      <c r="R11" s="437" t="s">
        <v>2473</v>
      </c>
      <c r="S11" s="437" t="s">
        <v>2474</v>
      </c>
    </row>
    <row r="12" spans="1:20">
      <c r="A12" s="437" t="s">
        <v>241</v>
      </c>
      <c r="B12" s="438" t="s">
        <v>2388</v>
      </c>
      <c r="C12" s="437">
        <v>29640</v>
      </c>
      <c r="D12" s="437">
        <v>27550</v>
      </c>
      <c r="E12" s="437">
        <v>28010</v>
      </c>
      <c r="F12" s="437">
        <v>8730</v>
      </c>
      <c r="G12" s="437">
        <v>20050</v>
      </c>
      <c r="H12" s="432"/>
      <c r="J12" s="438" t="s">
        <v>2475</v>
      </c>
      <c r="K12" s="438" t="s">
        <v>2476</v>
      </c>
      <c r="L12" s="437" t="s">
        <v>2477</v>
      </c>
      <c r="M12" s="437" t="s">
        <v>2478</v>
      </c>
      <c r="N12" s="437" t="s">
        <v>2479</v>
      </c>
      <c r="O12" s="437" t="s">
        <v>2480</v>
      </c>
      <c r="P12" s="437" t="s">
        <v>2481</v>
      </c>
      <c r="Q12" s="437" t="s">
        <v>2482</v>
      </c>
      <c r="R12" s="437" t="s">
        <v>2483</v>
      </c>
      <c r="S12" s="437" t="s">
        <v>2484</v>
      </c>
    </row>
    <row r="13" spans="1:20">
      <c r="A13" s="437" t="s">
        <v>241</v>
      </c>
      <c r="B13" s="438" t="s">
        <v>2400</v>
      </c>
      <c r="C13" s="437">
        <v>29680</v>
      </c>
      <c r="D13" s="437">
        <v>27660</v>
      </c>
      <c r="E13" s="437">
        <v>28210</v>
      </c>
      <c r="F13" s="437">
        <v>9590</v>
      </c>
      <c r="G13" s="437">
        <v>20120</v>
      </c>
      <c r="H13" s="432"/>
      <c r="J13" s="438" t="s">
        <v>2485</v>
      </c>
      <c r="K13" s="438" t="s">
        <v>2486</v>
      </c>
      <c r="L13" s="437" t="s">
        <v>2487</v>
      </c>
      <c r="M13" s="437" t="s">
        <v>2488</v>
      </c>
      <c r="N13" s="437" t="s">
        <v>2489</v>
      </c>
      <c r="O13" s="437" t="s">
        <v>2490</v>
      </c>
      <c r="P13" s="437" t="s">
        <v>2491</v>
      </c>
      <c r="Q13" s="437" t="s">
        <v>2492</v>
      </c>
      <c r="R13" s="437" t="s">
        <v>2493</v>
      </c>
      <c r="S13" s="437" t="s">
        <v>2494</v>
      </c>
    </row>
    <row r="14" spans="1:20">
      <c r="A14" s="437" t="s">
        <v>241</v>
      </c>
      <c r="B14" s="438" t="s">
        <v>2412</v>
      </c>
      <c r="C14" s="437">
        <v>30520</v>
      </c>
      <c r="D14" s="437">
        <v>29510</v>
      </c>
      <c r="E14" s="437">
        <v>29400</v>
      </c>
      <c r="F14" s="437">
        <v>9630</v>
      </c>
      <c r="G14" s="437">
        <v>21480</v>
      </c>
      <c r="H14" s="432"/>
      <c r="J14" s="438" t="s">
        <v>499</v>
      </c>
      <c r="K14" s="438" t="s">
        <v>2495</v>
      </c>
      <c r="L14" s="437" t="s">
        <v>2496</v>
      </c>
      <c r="M14" s="437" t="s">
        <v>2497</v>
      </c>
      <c r="N14" s="437" t="s">
        <v>2498</v>
      </c>
      <c r="O14" s="437" t="s">
        <v>2499</v>
      </c>
      <c r="P14" s="437" t="s">
        <v>2500</v>
      </c>
      <c r="Q14" s="437" t="s">
        <v>2501</v>
      </c>
      <c r="R14" s="437" t="s">
        <v>2502</v>
      </c>
      <c r="S14" s="437" t="s">
        <v>2503</v>
      </c>
    </row>
    <row r="15" spans="1:20">
      <c r="A15" s="437" t="s">
        <v>241</v>
      </c>
      <c r="B15" s="438" t="s">
        <v>2423</v>
      </c>
      <c r="C15" s="437">
        <v>29090</v>
      </c>
      <c r="D15" s="437">
        <v>27590</v>
      </c>
      <c r="E15" s="437">
        <v>28120</v>
      </c>
      <c r="F15" s="437">
        <v>9110</v>
      </c>
      <c r="G15" s="437">
        <v>20070</v>
      </c>
      <c r="H15" s="432"/>
      <c r="J15" s="438" t="s">
        <v>2504</v>
      </c>
      <c r="K15" s="438" t="s">
        <v>2505</v>
      </c>
      <c r="L15" s="437" t="s">
        <v>2506</v>
      </c>
      <c r="M15" s="437" t="s">
        <v>2507</v>
      </c>
      <c r="N15" s="437" t="s">
        <v>2508</v>
      </c>
      <c r="O15" s="437" t="s">
        <v>2509</v>
      </c>
      <c r="P15" s="437" t="s">
        <v>2510</v>
      </c>
      <c r="Q15" s="437" t="s">
        <v>2511</v>
      </c>
      <c r="R15" s="437" t="s">
        <v>2512</v>
      </c>
      <c r="S15" s="437" t="s">
        <v>2513</v>
      </c>
    </row>
    <row r="16" spans="1:20">
      <c r="A16" s="437" t="s">
        <v>241</v>
      </c>
      <c r="B16" s="438" t="s">
        <v>2434</v>
      </c>
      <c r="C16" s="437">
        <v>26790</v>
      </c>
      <c r="D16" s="437">
        <v>30370</v>
      </c>
      <c r="E16" s="437">
        <v>30240</v>
      </c>
      <c r="F16" s="437">
        <v>11590</v>
      </c>
      <c r="G16" s="437">
        <v>22090</v>
      </c>
      <c r="H16" s="432"/>
      <c r="J16" s="438" t="s">
        <v>2514</v>
      </c>
      <c r="K16" s="438" t="s">
        <v>2515</v>
      </c>
      <c r="L16" s="437" t="s">
        <v>2516</v>
      </c>
      <c r="M16" s="437" t="s">
        <v>2517</v>
      </c>
      <c r="N16" s="437" t="s">
        <v>2518</v>
      </c>
      <c r="O16" s="437" t="s">
        <v>2519</v>
      </c>
      <c r="P16" s="437" t="s">
        <v>2520</v>
      </c>
      <c r="Q16" s="437" t="s">
        <v>2521</v>
      </c>
      <c r="R16" s="437" t="s">
        <v>2522</v>
      </c>
      <c r="S16" s="437" t="s">
        <v>2523</v>
      </c>
    </row>
    <row r="17" spans="1:19" ht="14.25" customHeight="1">
      <c r="A17" s="437" t="s">
        <v>241</v>
      </c>
      <c r="B17" s="438" t="s">
        <v>2445</v>
      </c>
      <c r="C17" s="437">
        <v>29180</v>
      </c>
      <c r="D17" s="437">
        <v>27620</v>
      </c>
      <c r="E17" s="437">
        <v>28180</v>
      </c>
      <c r="F17" s="437">
        <v>10790</v>
      </c>
      <c r="G17" s="437">
        <v>20090</v>
      </c>
      <c r="H17" s="432"/>
      <c r="J17" s="438" t="s">
        <v>2524</v>
      </c>
      <c r="K17" s="438" t="s">
        <v>2525</v>
      </c>
      <c r="L17" s="437" t="s">
        <v>2526</v>
      </c>
      <c r="M17" s="437" t="s">
        <v>2527</v>
      </c>
      <c r="N17" s="437" t="s">
        <v>2528</v>
      </c>
      <c r="O17" s="437" t="s">
        <v>2529</v>
      </c>
      <c r="P17" s="437" t="s">
        <v>2530</v>
      </c>
      <c r="Q17" s="437" t="s">
        <v>2531</v>
      </c>
      <c r="R17" s="437" t="s">
        <v>2532</v>
      </c>
      <c r="S17" s="437" t="s">
        <v>2533</v>
      </c>
    </row>
    <row r="18" spans="1:19" ht="14.25" customHeight="1">
      <c r="A18" s="437" t="s">
        <v>241</v>
      </c>
      <c r="B18" s="438" t="s">
        <v>2455</v>
      </c>
      <c r="C18" s="437">
        <v>26840</v>
      </c>
      <c r="D18" s="437">
        <v>28930</v>
      </c>
      <c r="E18" s="437">
        <v>28820</v>
      </c>
      <c r="F18" s="437"/>
      <c r="G18" s="437">
        <v>21050</v>
      </c>
      <c r="H18" s="432"/>
      <c r="J18" s="438" t="s">
        <v>2534</v>
      </c>
      <c r="K18" s="438" t="s">
        <v>2535</v>
      </c>
      <c r="L18" s="437" t="s">
        <v>2536</v>
      </c>
      <c r="M18" s="437" t="s">
        <v>2537</v>
      </c>
      <c r="N18" s="437" t="s">
        <v>2538</v>
      </c>
      <c r="O18" s="437" t="s">
        <v>2539</v>
      </c>
      <c r="P18" s="437" t="s">
        <v>2540</v>
      </c>
      <c r="Q18" s="437" t="s">
        <v>2541</v>
      </c>
      <c r="R18" s="437" t="s">
        <v>2542</v>
      </c>
      <c r="S18" s="437" t="s">
        <v>2543</v>
      </c>
    </row>
    <row r="19" spans="1:19" ht="14.25" customHeight="1">
      <c r="A19" s="437" t="s">
        <v>241</v>
      </c>
      <c r="B19" s="438" t="s">
        <v>2465</v>
      </c>
      <c r="C19" s="437">
        <v>27750</v>
      </c>
      <c r="D19" s="437">
        <v>26680</v>
      </c>
      <c r="E19" s="437">
        <v>26590</v>
      </c>
      <c r="F19" s="437"/>
      <c r="G19" s="437">
        <v>19420</v>
      </c>
      <c r="H19" s="432"/>
      <c r="J19" s="438" t="s">
        <v>2544</v>
      </c>
      <c r="K19" s="438" t="s">
        <v>2545</v>
      </c>
      <c r="L19" s="437" t="s">
        <v>2546</v>
      </c>
      <c r="M19" s="437" t="s">
        <v>2547</v>
      </c>
      <c r="N19" s="437" t="s">
        <v>2548</v>
      </c>
      <c r="O19" s="437" t="s">
        <v>2549</v>
      </c>
      <c r="P19" s="437" t="s">
        <v>2550</v>
      </c>
      <c r="Q19" s="437" t="s">
        <v>2551</v>
      </c>
      <c r="R19" s="437" t="s">
        <v>2552</v>
      </c>
      <c r="S19" s="437" t="s">
        <v>2553</v>
      </c>
    </row>
    <row r="20" spans="1:19" ht="14.25" customHeight="1">
      <c r="A20" s="437" t="s">
        <v>241</v>
      </c>
      <c r="B20" s="438" t="s">
        <v>2475</v>
      </c>
      <c r="C20" s="437">
        <v>27050</v>
      </c>
      <c r="D20" s="437">
        <v>29010</v>
      </c>
      <c r="E20" s="437">
        <v>28910</v>
      </c>
      <c r="F20" s="437"/>
      <c r="G20" s="437">
        <v>21110</v>
      </c>
      <c r="J20" s="438" t="s">
        <v>2554</v>
      </c>
      <c r="K20" s="438" t="s">
        <v>2555</v>
      </c>
      <c r="L20" s="437" t="s">
        <v>2556</v>
      </c>
      <c r="M20" s="437" t="s">
        <v>2557</v>
      </c>
      <c r="N20" s="437" t="s">
        <v>2558</v>
      </c>
      <c r="O20" s="437" t="s">
        <v>2559</v>
      </c>
      <c r="P20" s="437" t="s">
        <v>2560</v>
      </c>
      <c r="Q20" s="437" t="s">
        <v>2561</v>
      </c>
      <c r="R20" s="437" t="s">
        <v>2562</v>
      </c>
      <c r="S20" s="437" t="s">
        <v>2563</v>
      </c>
    </row>
    <row r="21" spans="1:19" ht="14.25" customHeight="1">
      <c r="A21" s="437" t="s">
        <v>241</v>
      </c>
      <c r="B21" s="438" t="s">
        <v>2485</v>
      </c>
      <c r="C21" s="437">
        <v>32370</v>
      </c>
      <c r="D21" s="437">
        <v>26730</v>
      </c>
      <c r="E21" s="437">
        <v>26640</v>
      </c>
      <c r="F21" s="437"/>
      <c r="G21" s="437">
        <v>19440</v>
      </c>
      <c r="J21" s="441" t="s">
        <v>2564</v>
      </c>
      <c r="K21" s="438" t="s">
        <v>2565</v>
      </c>
      <c r="L21" s="437" t="s">
        <v>2566</v>
      </c>
      <c r="M21" s="437" t="s">
        <v>2567</v>
      </c>
      <c r="N21" s="437" t="s">
        <v>2568</v>
      </c>
      <c r="O21" s="437" t="s">
        <v>2569</v>
      </c>
      <c r="P21" s="437" t="s">
        <v>2570</v>
      </c>
      <c r="Q21" s="437" t="s">
        <v>2571</v>
      </c>
      <c r="R21" s="437" t="s">
        <v>2572</v>
      </c>
      <c r="S21" s="441" t="s">
        <v>2573</v>
      </c>
    </row>
    <row r="22" spans="1:19" ht="14.25" customHeight="1">
      <c r="A22" s="437" t="s">
        <v>241</v>
      </c>
      <c r="B22" s="438" t="s">
        <v>499</v>
      </c>
      <c r="C22" s="437">
        <v>29830</v>
      </c>
      <c r="D22" s="437">
        <v>27600</v>
      </c>
      <c r="E22" s="437">
        <v>28150</v>
      </c>
      <c r="F22" s="437"/>
      <c r="G22" s="437">
        <v>20080</v>
      </c>
      <c r="K22" s="438" t="s">
        <v>2574</v>
      </c>
      <c r="L22" s="437" t="s">
        <v>2575</v>
      </c>
      <c r="M22" s="437" t="s">
        <v>2576</v>
      </c>
      <c r="N22" s="437" t="s">
        <v>2577</v>
      </c>
      <c r="O22" s="437" t="s">
        <v>2578</v>
      </c>
      <c r="P22" s="437" t="s">
        <v>2579</v>
      </c>
      <c r="Q22" s="437" t="s">
        <v>2580</v>
      </c>
      <c r="R22" s="437" t="s">
        <v>2581</v>
      </c>
    </row>
    <row r="23" spans="1:19" ht="14.25" customHeight="1">
      <c r="A23" s="437" t="s">
        <v>241</v>
      </c>
      <c r="B23" s="438" t="s">
        <v>2504</v>
      </c>
      <c r="C23" s="437">
        <v>27800</v>
      </c>
      <c r="D23" s="437">
        <v>26900</v>
      </c>
      <c r="E23" s="437">
        <v>27170</v>
      </c>
      <c r="F23" s="437"/>
      <c r="G23" s="437">
        <v>19570</v>
      </c>
      <c r="K23" s="438" t="s">
        <v>2582</v>
      </c>
      <c r="L23" s="437" t="s">
        <v>2583</v>
      </c>
      <c r="M23" s="437" t="s">
        <v>2584</v>
      </c>
      <c r="N23" s="437" t="s">
        <v>2585</v>
      </c>
      <c r="O23" s="437" t="s">
        <v>2586</v>
      </c>
      <c r="P23" s="437" t="s">
        <v>2587</v>
      </c>
      <c r="Q23" s="437" t="s">
        <v>2588</v>
      </c>
      <c r="R23" s="437" t="s">
        <v>2589</v>
      </c>
    </row>
    <row r="24" spans="1:19" ht="14.25" customHeight="1">
      <c r="A24" s="437" t="s">
        <v>241</v>
      </c>
      <c r="B24" s="438" t="s">
        <v>2514</v>
      </c>
      <c r="C24" s="437">
        <v>27930</v>
      </c>
      <c r="D24" s="437">
        <v>32260</v>
      </c>
      <c r="E24" s="437">
        <v>32120</v>
      </c>
      <c r="F24" s="437"/>
      <c r="G24" s="437">
        <v>23470</v>
      </c>
      <c r="K24" s="438" t="s">
        <v>2590</v>
      </c>
      <c r="L24" s="437" t="s">
        <v>2591</v>
      </c>
      <c r="M24" s="437" t="s">
        <v>2592</v>
      </c>
      <c r="N24" s="437" t="s">
        <v>2593</v>
      </c>
      <c r="O24" s="437" t="s">
        <v>2594</v>
      </c>
      <c r="P24" s="437" t="s">
        <v>2595</v>
      </c>
      <c r="Q24" s="451" t="s">
        <v>2596</v>
      </c>
      <c r="R24" s="437" t="s">
        <v>2597</v>
      </c>
    </row>
    <row r="25" spans="1:19" ht="14.25" customHeight="1">
      <c r="A25" s="437" t="s">
        <v>241</v>
      </c>
      <c r="B25" s="438" t="s">
        <v>2524</v>
      </c>
      <c r="C25" s="437">
        <v>32230</v>
      </c>
      <c r="D25" s="437">
        <v>29640</v>
      </c>
      <c r="E25" s="437">
        <v>29510</v>
      </c>
      <c r="F25" s="437"/>
      <c r="G25" s="437">
        <v>21560</v>
      </c>
      <c r="K25" s="438" t="s">
        <v>2598</v>
      </c>
      <c r="L25" s="437" t="s">
        <v>2599</v>
      </c>
      <c r="M25" s="437" t="s">
        <v>2600</v>
      </c>
      <c r="N25" s="437" t="s">
        <v>2601</v>
      </c>
      <c r="O25" s="437" t="s">
        <v>2602</v>
      </c>
      <c r="P25" s="437" t="s">
        <v>2603</v>
      </c>
      <c r="Q25" s="451" t="s">
        <v>2604</v>
      </c>
      <c r="R25" s="437" t="s">
        <v>2605</v>
      </c>
    </row>
    <row r="26" spans="1:19" ht="14.25" customHeight="1">
      <c r="A26" s="437" t="s">
        <v>241</v>
      </c>
      <c r="B26" s="438" t="s">
        <v>2534</v>
      </c>
      <c r="C26" s="437">
        <v>31690</v>
      </c>
      <c r="D26" s="437">
        <v>27650</v>
      </c>
      <c r="E26" s="437">
        <v>28200</v>
      </c>
      <c r="F26" s="437"/>
      <c r="G26" s="437">
        <v>20110</v>
      </c>
      <c r="K26" s="440" t="s">
        <v>2606</v>
      </c>
      <c r="L26" s="437" t="s">
        <v>2607</v>
      </c>
      <c r="M26" s="437" t="s">
        <v>2608</v>
      </c>
      <c r="N26" s="437" t="s">
        <v>2609</v>
      </c>
      <c r="O26" s="437" t="s">
        <v>2610</v>
      </c>
      <c r="P26" s="437" t="s">
        <v>2611</v>
      </c>
      <c r="Q26" s="451" t="s">
        <v>2612</v>
      </c>
      <c r="R26" s="437" t="s">
        <v>2613</v>
      </c>
    </row>
    <row r="27" spans="1:19" ht="14.25" customHeight="1">
      <c r="A27" s="437" t="s">
        <v>241</v>
      </c>
      <c r="B27" s="438" t="s">
        <v>2544</v>
      </c>
      <c r="C27" s="437">
        <v>29610</v>
      </c>
      <c r="D27" s="437">
        <v>27770</v>
      </c>
      <c r="E27" s="437">
        <v>28300</v>
      </c>
      <c r="F27" s="437"/>
      <c r="G27" s="437">
        <v>20210</v>
      </c>
      <c r="L27" s="437" t="s">
        <v>2614</v>
      </c>
      <c r="M27" s="437" t="s">
        <v>2615</v>
      </c>
      <c r="N27" s="437" t="s">
        <v>2616</v>
      </c>
      <c r="O27" s="437" t="s">
        <v>2617</v>
      </c>
      <c r="P27" s="437" t="s">
        <v>2618</v>
      </c>
      <c r="Q27" s="437" t="s">
        <v>2619</v>
      </c>
      <c r="R27" s="437" t="s">
        <v>2620</v>
      </c>
    </row>
    <row r="28" spans="1:19" ht="14.25" customHeight="1">
      <c r="A28" s="437" t="s">
        <v>241</v>
      </c>
      <c r="B28" s="438" t="s">
        <v>2554</v>
      </c>
      <c r="C28" s="437"/>
      <c r="D28" s="437">
        <v>31520</v>
      </c>
      <c r="E28" s="437">
        <v>31410</v>
      </c>
      <c r="F28" s="437"/>
      <c r="G28" s="437">
        <v>22940</v>
      </c>
      <c r="L28" s="437" t="s">
        <v>2621</v>
      </c>
      <c r="M28" s="437" t="s">
        <v>2622</v>
      </c>
      <c r="N28" s="437" t="s">
        <v>2623</v>
      </c>
      <c r="O28" s="437" t="s">
        <v>2624</v>
      </c>
      <c r="P28" s="437" t="s">
        <v>2625</v>
      </c>
      <c r="Q28" s="437" t="s">
        <v>2626</v>
      </c>
      <c r="R28" s="437" t="s">
        <v>2627</v>
      </c>
    </row>
    <row r="29" spans="1:19" ht="14.25" customHeight="1">
      <c r="A29" s="439" t="s">
        <v>241</v>
      </c>
      <c r="B29" s="442" t="s">
        <v>2564</v>
      </c>
      <c r="C29" s="443"/>
      <c r="D29" s="443">
        <v>29460</v>
      </c>
      <c r="E29" s="443">
        <v>28640</v>
      </c>
      <c r="F29" s="443"/>
      <c r="G29" s="443">
        <v>21430</v>
      </c>
      <c r="L29" s="437" t="s">
        <v>2628</v>
      </c>
      <c r="M29" s="437" t="s">
        <v>2629</v>
      </c>
      <c r="N29" s="437" t="s">
        <v>2630</v>
      </c>
      <c r="O29" s="437" t="s">
        <v>2631</v>
      </c>
      <c r="P29" s="437" t="s">
        <v>2632</v>
      </c>
      <c r="Q29" s="437" t="s">
        <v>2633</v>
      </c>
      <c r="R29" s="437" t="s">
        <v>2634</v>
      </c>
    </row>
    <row r="30" spans="1:19" ht="14.25" customHeight="1">
      <c r="A30" s="435" t="s">
        <v>251</v>
      </c>
      <c r="B30" s="436" t="s">
        <v>2362</v>
      </c>
      <c r="C30" s="436">
        <v>26890</v>
      </c>
      <c r="D30" s="436">
        <v>26770</v>
      </c>
      <c r="E30" s="436">
        <v>25700</v>
      </c>
      <c r="F30" s="436">
        <v>8180</v>
      </c>
      <c r="G30" s="444">
        <v>18740</v>
      </c>
      <c r="L30" s="437" t="s">
        <v>2635</v>
      </c>
      <c r="M30" s="437" t="s">
        <v>2636</v>
      </c>
      <c r="N30" s="437" t="s">
        <v>2637</v>
      </c>
      <c r="O30" s="437" t="s">
        <v>2638</v>
      </c>
      <c r="P30" s="437" t="s">
        <v>2639</v>
      </c>
      <c r="Q30" s="437" t="s">
        <v>2640</v>
      </c>
      <c r="R30" s="437" t="s">
        <v>2641</v>
      </c>
    </row>
    <row r="31" spans="1:19" ht="14.25" customHeight="1">
      <c r="A31" s="437" t="s">
        <v>251</v>
      </c>
      <c r="B31" s="438" t="s">
        <v>2375</v>
      </c>
      <c r="C31" s="437">
        <v>24550</v>
      </c>
      <c r="D31" s="437">
        <v>23990</v>
      </c>
      <c r="E31" s="437">
        <v>22930</v>
      </c>
      <c r="F31" s="437">
        <v>7470</v>
      </c>
      <c r="G31" s="445">
        <v>16790</v>
      </c>
      <c r="L31" s="437" t="s">
        <v>2642</v>
      </c>
      <c r="M31" s="437" t="s">
        <v>2643</v>
      </c>
      <c r="N31" s="437" t="s">
        <v>2644</v>
      </c>
      <c r="O31" s="437" t="s">
        <v>2645</v>
      </c>
      <c r="P31" s="437" t="s">
        <v>2646</v>
      </c>
      <c r="Q31" s="437" t="s">
        <v>2647</v>
      </c>
      <c r="R31" s="437" t="s">
        <v>2648</v>
      </c>
    </row>
    <row r="32" spans="1:19" ht="14.25" customHeight="1">
      <c r="A32" s="437" t="s">
        <v>251</v>
      </c>
      <c r="B32" s="438" t="s">
        <v>2389</v>
      </c>
      <c r="C32" s="437">
        <v>27210</v>
      </c>
      <c r="D32" s="437">
        <v>23240</v>
      </c>
      <c r="E32" s="437">
        <v>23260</v>
      </c>
      <c r="F32" s="437">
        <v>7130</v>
      </c>
      <c r="G32" s="445">
        <v>16270</v>
      </c>
      <c r="L32" s="437" t="s">
        <v>2649</v>
      </c>
      <c r="M32" s="437" t="s">
        <v>2650</v>
      </c>
      <c r="N32" s="437" t="s">
        <v>2651</v>
      </c>
      <c r="O32" s="437" t="s">
        <v>2652</v>
      </c>
      <c r="P32" s="437" t="s">
        <v>2653</v>
      </c>
      <c r="Q32" s="437" t="s">
        <v>2654</v>
      </c>
      <c r="R32" s="441" t="s">
        <v>2655</v>
      </c>
    </row>
    <row r="33" spans="1:17" ht="14.25" customHeight="1">
      <c r="A33" s="437" t="s">
        <v>251</v>
      </c>
      <c r="B33" s="438" t="s">
        <v>2401</v>
      </c>
      <c r="C33" s="437">
        <v>27300</v>
      </c>
      <c r="D33" s="437">
        <v>22980</v>
      </c>
      <c r="E33" s="437">
        <v>24260</v>
      </c>
      <c r="F33" s="437">
        <v>5860</v>
      </c>
      <c r="G33" s="445">
        <v>16090</v>
      </c>
      <c r="L33" s="441" t="s">
        <v>2656</v>
      </c>
      <c r="M33" s="437" t="s">
        <v>2657</v>
      </c>
      <c r="N33" s="437" t="s">
        <v>2658</v>
      </c>
      <c r="O33" s="437" t="s">
        <v>2659</v>
      </c>
      <c r="P33" s="437" t="s">
        <v>2660</v>
      </c>
      <c r="Q33" s="437" t="s">
        <v>2661</v>
      </c>
    </row>
    <row r="34" spans="1:17" ht="14.25" customHeight="1">
      <c r="A34" s="437" t="s">
        <v>251</v>
      </c>
      <c r="B34" s="438" t="s">
        <v>2413</v>
      </c>
      <c r="C34" s="437">
        <v>23090</v>
      </c>
      <c r="D34" s="437">
        <v>23390</v>
      </c>
      <c r="E34" s="437">
        <v>23510</v>
      </c>
      <c r="F34" s="437">
        <v>6700</v>
      </c>
      <c r="G34" s="445">
        <v>16370</v>
      </c>
      <c r="M34" s="437" t="s">
        <v>2662</v>
      </c>
      <c r="N34" s="437" t="s">
        <v>2663</v>
      </c>
      <c r="O34" s="437" t="s">
        <v>2664</v>
      </c>
      <c r="P34" s="437" t="s">
        <v>2665</v>
      </c>
      <c r="Q34" s="437" t="s">
        <v>2666</v>
      </c>
    </row>
    <row r="35" spans="1:17" ht="14.25" customHeight="1">
      <c r="A35" s="437" t="s">
        <v>251</v>
      </c>
      <c r="B35" s="438" t="s">
        <v>2424</v>
      </c>
      <c r="C35" s="437">
        <v>27270</v>
      </c>
      <c r="D35" s="437">
        <v>24270</v>
      </c>
      <c r="E35" s="437">
        <v>24950</v>
      </c>
      <c r="F35" s="437">
        <v>6600</v>
      </c>
      <c r="G35" s="445">
        <v>16990</v>
      </c>
      <c r="M35" s="437" t="s">
        <v>2667</v>
      </c>
      <c r="N35" s="437" t="s">
        <v>2668</v>
      </c>
      <c r="O35" s="437" t="s">
        <v>2669</v>
      </c>
      <c r="P35" s="437" t="s">
        <v>2670</v>
      </c>
      <c r="Q35" s="437" t="s">
        <v>2671</v>
      </c>
    </row>
    <row r="36" spans="1:17" ht="14.25" customHeight="1">
      <c r="A36" s="437" t="s">
        <v>251</v>
      </c>
      <c r="B36" s="438" t="s">
        <v>2435</v>
      </c>
      <c r="C36" s="437">
        <v>23490</v>
      </c>
      <c r="D36" s="437">
        <v>23020</v>
      </c>
      <c r="E36" s="437">
        <v>25230</v>
      </c>
      <c r="F36" s="437">
        <v>6780</v>
      </c>
      <c r="G36" s="445">
        <v>16120</v>
      </c>
      <c r="M36" s="437" t="s">
        <v>2672</v>
      </c>
      <c r="N36" s="437" t="s">
        <v>2673</v>
      </c>
      <c r="O36" s="437" t="s">
        <v>2674</v>
      </c>
      <c r="P36" s="437" t="s">
        <v>2675</v>
      </c>
      <c r="Q36" s="437" t="s">
        <v>2676</v>
      </c>
    </row>
    <row r="37" spans="1:17" ht="14.25" customHeight="1">
      <c r="A37" s="437" t="s">
        <v>251</v>
      </c>
      <c r="B37" s="438" t="s">
        <v>2446</v>
      </c>
      <c r="C37" s="437">
        <v>24380</v>
      </c>
      <c r="D37" s="437">
        <v>22240</v>
      </c>
      <c r="E37" s="437">
        <v>25980</v>
      </c>
      <c r="F37" s="437">
        <v>8160</v>
      </c>
      <c r="G37" s="445">
        <v>15570</v>
      </c>
      <c r="M37" s="437" t="s">
        <v>2677</v>
      </c>
      <c r="N37" s="437" t="s">
        <v>2678</v>
      </c>
      <c r="O37" s="437" t="s">
        <v>2679</v>
      </c>
      <c r="P37" s="437" t="s">
        <v>2680</v>
      </c>
      <c r="Q37" s="437" t="s">
        <v>2681</v>
      </c>
    </row>
    <row r="38" spans="1:17" ht="14.25" customHeight="1">
      <c r="A38" s="437" t="s">
        <v>251</v>
      </c>
      <c r="B38" s="438" t="s">
        <v>2456</v>
      </c>
      <c r="C38" s="437">
        <v>23120</v>
      </c>
      <c r="D38" s="437">
        <v>24630</v>
      </c>
      <c r="E38" s="437">
        <v>25030</v>
      </c>
      <c r="F38" s="437">
        <v>7710</v>
      </c>
      <c r="G38" s="445">
        <v>17240</v>
      </c>
      <c r="M38" s="437" t="s">
        <v>2682</v>
      </c>
      <c r="N38" s="437" t="s">
        <v>2683</v>
      </c>
      <c r="O38" s="437" t="s">
        <v>2684</v>
      </c>
      <c r="P38" s="437" t="s">
        <v>2685</v>
      </c>
      <c r="Q38" s="437" t="s">
        <v>2686</v>
      </c>
    </row>
    <row r="39" spans="1:17" ht="14.25" customHeight="1">
      <c r="A39" s="437" t="s">
        <v>251</v>
      </c>
      <c r="B39" s="438" t="s">
        <v>2466</v>
      </c>
      <c r="C39" s="437">
        <v>22330</v>
      </c>
      <c r="D39" s="437">
        <v>21140</v>
      </c>
      <c r="E39" s="437">
        <v>23970</v>
      </c>
      <c r="F39" s="437">
        <v>7940</v>
      </c>
      <c r="G39" s="445">
        <v>14790</v>
      </c>
      <c r="M39" s="437" t="s">
        <v>2687</v>
      </c>
      <c r="N39" s="437" t="s">
        <v>2688</v>
      </c>
      <c r="O39" s="437" t="s">
        <v>2689</v>
      </c>
      <c r="P39" s="437" t="s">
        <v>2690</v>
      </c>
      <c r="Q39" s="437" t="s">
        <v>2691</v>
      </c>
    </row>
    <row r="40" spans="1:17" ht="14.25" customHeight="1">
      <c r="A40" s="437" t="s">
        <v>251</v>
      </c>
      <c r="B40" s="438" t="s">
        <v>2476</v>
      </c>
      <c r="C40" s="437">
        <v>24740</v>
      </c>
      <c r="D40" s="437">
        <v>24690</v>
      </c>
      <c r="E40" s="437">
        <v>22610</v>
      </c>
      <c r="F40" s="437"/>
      <c r="G40" s="445">
        <v>17280</v>
      </c>
      <c r="M40" s="437" t="s">
        <v>2692</v>
      </c>
      <c r="N40" s="437" t="s">
        <v>2693</v>
      </c>
      <c r="O40" s="437" t="s">
        <v>2694</v>
      </c>
      <c r="P40" s="437" t="s">
        <v>2695</v>
      </c>
      <c r="Q40" s="437" t="s">
        <v>2696</v>
      </c>
    </row>
    <row r="41" spans="1:17" ht="14.25" customHeight="1">
      <c r="A41" s="437" t="s">
        <v>251</v>
      </c>
      <c r="B41" s="438" t="s">
        <v>2486</v>
      </c>
      <c r="C41" s="437">
        <v>21220</v>
      </c>
      <c r="D41" s="437">
        <v>21120</v>
      </c>
      <c r="E41" s="437">
        <v>22590</v>
      </c>
      <c r="F41" s="437"/>
      <c r="G41" s="445">
        <v>14780</v>
      </c>
      <c r="M41" s="441" t="s">
        <v>2697</v>
      </c>
      <c r="N41" s="437" t="s">
        <v>2698</v>
      </c>
      <c r="O41" s="437" t="s">
        <v>2699</v>
      </c>
      <c r="P41" s="437" t="s">
        <v>2700</v>
      </c>
      <c r="Q41" s="437" t="s">
        <v>2701</v>
      </c>
    </row>
    <row r="42" spans="1:17" ht="14.25" customHeight="1">
      <c r="A42" s="437" t="s">
        <v>251</v>
      </c>
      <c r="B42" s="438" t="s">
        <v>2495</v>
      </c>
      <c r="C42" s="437">
        <v>24800</v>
      </c>
      <c r="D42" s="437">
        <v>22280</v>
      </c>
      <c r="E42" s="437">
        <v>24350</v>
      </c>
      <c r="F42" s="437"/>
      <c r="G42" s="445">
        <v>15590</v>
      </c>
      <c r="N42" s="437" t="s">
        <v>2702</v>
      </c>
      <c r="O42" s="437" t="s">
        <v>2703</v>
      </c>
      <c r="P42" s="437" t="s">
        <v>2704</v>
      </c>
      <c r="Q42" s="437" t="s">
        <v>2705</v>
      </c>
    </row>
    <row r="43" spans="1:17" ht="14.25" customHeight="1">
      <c r="A43" s="437" t="s">
        <v>251</v>
      </c>
      <c r="B43" s="438" t="s">
        <v>2505</v>
      </c>
      <c r="C43" s="437">
        <v>21210</v>
      </c>
      <c r="D43" s="437">
        <v>21160</v>
      </c>
      <c r="E43" s="437">
        <v>22650</v>
      </c>
      <c r="F43" s="437"/>
      <c r="G43" s="445">
        <v>14800</v>
      </c>
      <c r="N43" s="437" t="s">
        <v>2706</v>
      </c>
      <c r="O43" s="437" t="s">
        <v>2707</v>
      </c>
      <c r="P43" s="437" t="s">
        <v>2708</v>
      </c>
      <c r="Q43" s="437" t="s">
        <v>2709</v>
      </c>
    </row>
    <row r="44" spans="1:17" ht="14.25" customHeight="1">
      <c r="A44" s="437" t="s">
        <v>251</v>
      </c>
      <c r="B44" s="438" t="s">
        <v>2515</v>
      </c>
      <c r="C44" s="437">
        <v>22370</v>
      </c>
      <c r="D44" s="437">
        <v>23140</v>
      </c>
      <c r="E44" s="437">
        <v>25090</v>
      </c>
      <c r="F44" s="437"/>
      <c r="G44" s="445">
        <v>16190</v>
      </c>
      <c r="N44" s="437" t="s">
        <v>2710</v>
      </c>
      <c r="O44" s="437" t="s">
        <v>2711</v>
      </c>
      <c r="P44" s="441" t="s">
        <v>2712</v>
      </c>
      <c r="Q44" s="437" t="s">
        <v>2713</v>
      </c>
    </row>
    <row r="45" spans="1:17" ht="14.25" customHeight="1">
      <c r="A45" s="437" t="s">
        <v>251</v>
      </c>
      <c r="B45" s="438" t="s">
        <v>2525</v>
      </c>
      <c r="C45" s="437">
        <v>21240</v>
      </c>
      <c r="D45" s="437">
        <v>27050</v>
      </c>
      <c r="E45" s="437">
        <v>28000</v>
      </c>
      <c r="F45" s="437"/>
      <c r="G45" s="445">
        <v>18940</v>
      </c>
      <c r="N45" s="437" t="s">
        <v>2714</v>
      </c>
      <c r="O45" s="441" t="s">
        <v>2715</v>
      </c>
      <c r="Q45" s="437" t="s">
        <v>2716</v>
      </c>
    </row>
    <row r="46" spans="1:17" ht="14.25" customHeight="1">
      <c r="A46" s="437" t="s">
        <v>251</v>
      </c>
      <c r="B46" s="438" t="s">
        <v>2535</v>
      </c>
      <c r="C46" s="437">
        <v>23240</v>
      </c>
      <c r="D46" s="437">
        <v>23000</v>
      </c>
      <c r="E46" s="437">
        <v>24980</v>
      </c>
      <c r="F46" s="437"/>
      <c r="G46" s="445">
        <v>16100</v>
      </c>
      <c r="N46" s="437" t="s">
        <v>2717</v>
      </c>
      <c r="Q46" s="437" t="s">
        <v>2718</v>
      </c>
    </row>
    <row r="47" spans="1:17" ht="14.25" customHeight="1">
      <c r="A47" s="437" t="s">
        <v>251</v>
      </c>
      <c r="B47" s="438" t="s">
        <v>2545</v>
      </c>
      <c r="C47" s="437">
        <v>27150</v>
      </c>
      <c r="D47" s="437">
        <v>23310</v>
      </c>
      <c r="E47" s="437">
        <v>25150</v>
      </c>
      <c r="F47" s="437"/>
      <c r="G47" s="445">
        <v>16310</v>
      </c>
      <c r="N47" s="437" t="s">
        <v>2719</v>
      </c>
      <c r="Q47" s="437" t="s">
        <v>2720</v>
      </c>
    </row>
    <row r="48" spans="1:17" ht="14.25" customHeight="1">
      <c r="A48" s="437" t="s">
        <v>251</v>
      </c>
      <c r="B48" s="438" t="s">
        <v>2555</v>
      </c>
      <c r="C48" s="437">
        <v>23100</v>
      </c>
      <c r="D48" s="437">
        <v>21110</v>
      </c>
      <c r="E48" s="437">
        <v>23080</v>
      </c>
      <c r="F48" s="437"/>
      <c r="G48" s="445">
        <v>14780</v>
      </c>
      <c r="N48" s="437" t="s">
        <v>2721</v>
      </c>
      <c r="Q48" s="437" t="s">
        <v>2722</v>
      </c>
    </row>
    <row r="49" spans="1:17" ht="14.25" customHeight="1">
      <c r="A49" s="437" t="s">
        <v>251</v>
      </c>
      <c r="B49" s="438" t="s">
        <v>2565</v>
      </c>
      <c r="C49" s="437">
        <v>23400</v>
      </c>
      <c r="D49" s="437">
        <v>22920</v>
      </c>
      <c r="E49" s="437">
        <v>24900</v>
      </c>
      <c r="F49" s="437"/>
      <c r="G49" s="445">
        <v>16040</v>
      </c>
      <c r="N49" s="437" t="s">
        <v>2723</v>
      </c>
      <c r="Q49" s="437" t="s">
        <v>2724</v>
      </c>
    </row>
    <row r="50" spans="1:17" ht="14.25" customHeight="1">
      <c r="A50" s="437" t="s">
        <v>251</v>
      </c>
      <c r="B50" s="438" t="s">
        <v>2574</v>
      </c>
      <c r="C50" s="437">
        <v>21200</v>
      </c>
      <c r="D50" s="437">
        <v>26540</v>
      </c>
      <c r="E50" s="437">
        <v>23200</v>
      </c>
      <c r="F50" s="437"/>
      <c r="G50" s="445">
        <v>18580</v>
      </c>
      <c r="N50" s="437" t="s">
        <v>2725</v>
      </c>
      <c r="Q50" s="438" t="s">
        <v>2726</v>
      </c>
    </row>
    <row r="51" spans="1:17" ht="14.25" customHeight="1">
      <c r="A51" s="437" t="s">
        <v>251</v>
      </c>
      <c r="B51" s="438" t="s">
        <v>2582</v>
      </c>
      <c r="C51" s="437">
        <v>23000</v>
      </c>
      <c r="D51" s="437">
        <v>23460</v>
      </c>
      <c r="E51" s="437">
        <v>25290</v>
      </c>
      <c r="F51" s="437"/>
      <c r="G51" s="445">
        <v>16420</v>
      </c>
      <c r="N51" s="437" t="s">
        <v>2727</v>
      </c>
      <c r="Q51" s="441" t="s">
        <v>2728</v>
      </c>
    </row>
    <row r="52" spans="1:17" ht="14.25" customHeight="1">
      <c r="A52" s="437" t="s">
        <v>251</v>
      </c>
      <c r="B52" s="438" t="s">
        <v>2590</v>
      </c>
      <c r="C52" s="437">
        <v>26660</v>
      </c>
      <c r="D52" s="437">
        <v>22350</v>
      </c>
      <c r="E52" s="437">
        <v>22920</v>
      </c>
      <c r="F52" s="437"/>
      <c r="G52" s="445">
        <v>15640</v>
      </c>
      <c r="N52" s="437" t="s">
        <v>2729</v>
      </c>
    </row>
    <row r="53" spans="1:17" ht="14.25" customHeight="1">
      <c r="A53" s="437" t="s">
        <v>251</v>
      </c>
      <c r="B53" s="438" t="s">
        <v>2598</v>
      </c>
      <c r="C53" s="437">
        <v>23580</v>
      </c>
      <c r="D53" s="437"/>
      <c r="E53" s="437">
        <v>24280</v>
      </c>
      <c r="F53" s="437"/>
      <c r="G53" s="445"/>
      <c r="N53" s="437" t="s">
        <v>2730</v>
      </c>
    </row>
    <row r="54" spans="1:17" ht="14.25" customHeight="1">
      <c r="A54" s="446" t="s">
        <v>251</v>
      </c>
      <c r="B54" s="440" t="s">
        <v>2606</v>
      </c>
      <c r="C54" s="441">
        <v>22460</v>
      </c>
      <c r="D54" s="441"/>
      <c r="E54" s="441"/>
      <c r="F54" s="441"/>
      <c r="G54" s="447"/>
      <c r="N54" s="437" t="s">
        <v>2731</v>
      </c>
    </row>
    <row r="55" spans="1:17" ht="14.25" customHeight="1">
      <c r="A55" s="435" t="s">
        <v>259</v>
      </c>
      <c r="B55" s="436" t="s">
        <v>2363</v>
      </c>
      <c r="C55" s="437">
        <v>21970</v>
      </c>
      <c r="D55" s="437">
        <v>20370</v>
      </c>
      <c r="E55" s="437">
        <v>20180</v>
      </c>
      <c r="F55" s="437">
        <v>5730</v>
      </c>
      <c r="G55" s="437">
        <v>13820</v>
      </c>
      <c r="N55" s="437" t="s">
        <v>2732</v>
      </c>
    </row>
    <row r="56" spans="1:17" ht="14.25" customHeight="1">
      <c r="A56" s="437" t="s">
        <v>259</v>
      </c>
      <c r="B56" s="437" t="s">
        <v>2376</v>
      </c>
      <c r="C56" s="437">
        <v>20470</v>
      </c>
      <c r="D56" s="437">
        <v>20700</v>
      </c>
      <c r="E56" s="437">
        <v>20380</v>
      </c>
      <c r="F56" s="437">
        <v>4760</v>
      </c>
      <c r="G56" s="437">
        <v>14050</v>
      </c>
      <c r="N56" s="437" t="s">
        <v>2733</v>
      </c>
    </row>
    <row r="57" spans="1:17" ht="14.25" customHeight="1">
      <c r="A57" s="437" t="s">
        <v>259</v>
      </c>
      <c r="B57" s="437" t="s">
        <v>2390</v>
      </c>
      <c r="C57" s="437">
        <v>20790</v>
      </c>
      <c r="D57" s="437">
        <v>21370</v>
      </c>
      <c r="E57" s="437">
        <v>20890</v>
      </c>
      <c r="F57" s="437">
        <v>4910</v>
      </c>
      <c r="G57" s="437">
        <v>14510</v>
      </c>
      <c r="N57" s="437" t="s">
        <v>2734</v>
      </c>
    </row>
    <row r="58" spans="1:17" ht="14.25" customHeight="1">
      <c r="A58" s="437" t="s">
        <v>259</v>
      </c>
      <c r="B58" s="437" t="s">
        <v>2402</v>
      </c>
      <c r="C58" s="437">
        <v>21460</v>
      </c>
      <c r="D58" s="437">
        <v>20920</v>
      </c>
      <c r="E58" s="437">
        <v>23410</v>
      </c>
      <c r="F58" s="437">
        <v>5100</v>
      </c>
      <c r="G58" s="437">
        <v>14200</v>
      </c>
      <c r="N58" s="437" t="s">
        <v>2735</v>
      </c>
    </row>
    <row r="59" spans="1:17" ht="14.25" customHeight="1">
      <c r="A59" s="437" t="s">
        <v>259</v>
      </c>
      <c r="B59" s="437" t="s">
        <v>2414</v>
      </c>
      <c r="C59" s="437">
        <v>21000</v>
      </c>
      <c r="D59" s="437">
        <v>21550</v>
      </c>
      <c r="E59" s="437">
        <v>21150</v>
      </c>
      <c r="F59" s="437">
        <v>5250</v>
      </c>
      <c r="G59" s="437">
        <v>14630</v>
      </c>
      <c r="N59" s="437" t="s">
        <v>2736</v>
      </c>
    </row>
    <row r="60" spans="1:17" ht="14.25" customHeight="1">
      <c r="A60" s="437" t="s">
        <v>259</v>
      </c>
      <c r="B60" s="437" t="s">
        <v>2425</v>
      </c>
      <c r="C60" s="437">
        <v>21640</v>
      </c>
      <c r="D60" s="437">
        <v>21260</v>
      </c>
      <c r="E60" s="437">
        <v>24040</v>
      </c>
      <c r="F60" s="437">
        <v>4470</v>
      </c>
      <c r="G60" s="437">
        <v>14430</v>
      </c>
      <c r="N60" s="437" t="s">
        <v>2737</v>
      </c>
    </row>
    <row r="61" spans="1:17" ht="14.25" customHeight="1">
      <c r="A61" s="437" t="s">
        <v>259</v>
      </c>
      <c r="B61" s="437" t="s">
        <v>2436</v>
      </c>
      <c r="C61" s="437">
        <v>21330</v>
      </c>
      <c r="D61" s="437">
        <v>18640</v>
      </c>
      <c r="E61" s="437">
        <v>21190</v>
      </c>
      <c r="F61" s="437">
        <v>4180</v>
      </c>
      <c r="G61" s="437">
        <v>12650</v>
      </c>
      <c r="N61" s="437" t="s">
        <v>2738</v>
      </c>
    </row>
    <row r="62" spans="1:17" ht="14.25" customHeight="1">
      <c r="A62" s="437" t="s">
        <v>259</v>
      </c>
      <c r="B62" s="437" t="s">
        <v>2447</v>
      </c>
      <c r="C62" s="437">
        <v>18710</v>
      </c>
      <c r="D62" s="437">
        <v>19400</v>
      </c>
      <c r="E62" s="437">
        <v>23750</v>
      </c>
      <c r="F62" s="437">
        <v>4860</v>
      </c>
      <c r="G62" s="437">
        <v>13170</v>
      </c>
      <c r="N62" s="437" t="s">
        <v>2739</v>
      </c>
    </row>
    <row r="63" spans="1:17" ht="14.25" customHeight="1">
      <c r="A63" s="437" t="s">
        <v>259</v>
      </c>
      <c r="B63" s="437" t="s">
        <v>2457</v>
      </c>
      <c r="C63" s="437">
        <v>19480</v>
      </c>
      <c r="D63" s="437">
        <v>16830</v>
      </c>
      <c r="E63" s="437">
        <v>21590</v>
      </c>
      <c r="F63" s="437">
        <v>4560</v>
      </c>
      <c r="G63" s="437">
        <v>11420</v>
      </c>
      <c r="N63" s="437" t="s">
        <v>2740</v>
      </c>
    </row>
    <row r="64" spans="1:17" ht="14.25" customHeight="1">
      <c r="A64" s="437" t="s">
        <v>259</v>
      </c>
      <c r="B64" s="437" t="s">
        <v>2467</v>
      </c>
      <c r="C64" s="437">
        <v>16920</v>
      </c>
      <c r="D64" s="437">
        <v>19190</v>
      </c>
      <c r="E64" s="437">
        <v>22200</v>
      </c>
      <c r="F64" s="437">
        <v>4390</v>
      </c>
      <c r="G64" s="437">
        <v>13030</v>
      </c>
      <c r="N64" s="441" t="s">
        <v>2741</v>
      </c>
    </row>
    <row r="65" spans="1:7" s="426" customFormat="1" ht="14.25" customHeight="1">
      <c r="A65" s="437" t="s">
        <v>259</v>
      </c>
      <c r="B65" s="437" t="s">
        <v>2477</v>
      </c>
      <c r="C65" s="437">
        <v>19290</v>
      </c>
      <c r="D65" s="437">
        <v>17020</v>
      </c>
      <c r="E65" s="437">
        <v>19880</v>
      </c>
      <c r="F65" s="437">
        <v>4070</v>
      </c>
      <c r="G65" s="437">
        <v>11550</v>
      </c>
    </row>
    <row r="66" spans="1:7" s="426" customFormat="1" ht="14.25" customHeight="1">
      <c r="A66" s="437" t="s">
        <v>259</v>
      </c>
      <c r="B66" s="437" t="s">
        <v>2487</v>
      </c>
      <c r="C66" s="437">
        <v>17090</v>
      </c>
      <c r="D66" s="437">
        <v>18340</v>
      </c>
      <c r="E66" s="437">
        <v>21830</v>
      </c>
      <c r="F66" s="437">
        <v>4690</v>
      </c>
      <c r="G66" s="437">
        <v>12450</v>
      </c>
    </row>
    <row r="67" spans="1:7" s="426" customFormat="1" ht="14.25" customHeight="1">
      <c r="A67" s="437" t="s">
        <v>259</v>
      </c>
      <c r="B67" s="437" t="s">
        <v>2496</v>
      </c>
      <c r="C67" s="437">
        <v>18420</v>
      </c>
      <c r="D67" s="437">
        <v>16360</v>
      </c>
      <c r="E67" s="437">
        <v>20020</v>
      </c>
      <c r="F67" s="437">
        <v>5150</v>
      </c>
      <c r="G67" s="437">
        <v>11110</v>
      </c>
    </row>
    <row r="68" spans="1:7" s="426" customFormat="1" ht="14.25" customHeight="1">
      <c r="A68" s="437" t="s">
        <v>259</v>
      </c>
      <c r="B68" s="437" t="s">
        <v>2506</v>
      </c>
      <c r="C68" s="437">
        <v>16450</v>
      </c>
      <c r="D68" s="437">
        <v>18430</v>
      </c>
      <c r="E68" s="437">
        <v>21010</v>
      </c>
      <c r="F68" s="437">
        <v>4720</v>
      </c>
      <c r="G68" s="437">
        <v>12510</v>
      </c>
    </row>
    <row r="69" spans="1:7" s="426" customFormat="1" ht="14.25" customHeight="1">
      <c r="A69" s="437" t="s">
        <v>259</v>
      </c>
      <c r="B69" s="437" t="s">
        <v>2516</v>
      </c>
      <c r="C69" s="437">
        <v>18510</v>
      </c>
      <c r="D69" s="437">
        <v>16300</v>
      </c>
      <c r="E69" s="437">
        <v>18830</v>
      </c>
      <c r="F69" s="437">
        <v>5400</v>
      </c>
      <c r="G69" s="437">
        <v>11070</v>
      </c>
    </row>
    <row r="70" spans="1:7" s="426" customFormat="1" ht="14.25" customHeight="1">
      <c r="A70" s="437" t="s">
        <v>259</v>
      </c>
      <c r="B70" s="437" t="s">
        <v>2526</v>
      </c>
      <c r="C70" s="437">
        <v>16370</v>
      </c>
      <c r="D70" s="437">
        <v>18620</v>
      </c>
      <c r="E70" s="437">
        <v>21100</v>
      </c>
      <c r="F70" s="437">
        <v>5700</v>
      </c>
      <c r="G70" s="437">
        <v>12640</v>
      </c>
    </row>
    <row r="71" spans="1:7" s="426" customFormat="1" ht="14.25" customHeight="1">
      <c r="A71" s="437" t="s">
        <v>259</v>
      </c>
      <c r="B71" s="437" t="s">
        <v>2536</v>
      </c>
      <c r="C71" s="437">
        <v>18700</v>
      </c>
      <c r="D71" s="437">
        <v>16290</v>
      </c>
      <c r="E71" s="437">
        <v>18760</v>
      </c>
      <c r="F71" s="437">
        <v>4780</v>
      </c>
      <c r="G71" s="437">
        <v>11050</v>
      </c>
    </row>
    <row r="72" spans="1:7" s="426" customFormat="1" ht="14.25" customHeight="1">
      <c r="A72" s="437" t="s">
        <v>259</v>
      </c>
      <c r="B72" s="437" t="s">
        <v>2546</v>
      </c>
      <c r="C72" s="437">
        <v>16340</v>
      </c>
      <c r="D72" s="437">
        <v>17520</v>
      </c>
      <c r="E72" s="437">
        <v>21170</v>
      </c>
      <c r="F72" s="437"/>
      <c r="G72" s="437">
        <v>11900</v>
      </c>
    </row>
    <row r="73" spans="1:7" s="426" customFormat="1" ht="14.25" customHeight="1">
      <c r="A73" s="437" t="s">
        <v>259</v>
      </c>
      <c r="B73" s="437" t="s">
        <v>2556</v>
      </c>
      <c r="C73" s="437">
        <v>17610</v>
      </c>
      <c r="D73" s="437">
        <v>18520</v>
      </c>
      <c r="E73" s="437">
        <v>18720</v>
      </c>
      <c r="F73" s="437"/>
      <c r="G73" s="437">
        <v>12570</v>
      </c>
    </row>
    <row r="74" spans="1:7" s="426" customFormat="1" ht="14.25" customHeight="1">
      <c r="A74" s="437" t="s">
        <v>259</v>
      </c>
      <c r="B74" s="437" t="s">
        <v>2566</v>
      </c>
      <c r="C74" s="437">
        <v>18600</v>
      </c>
      <c r="D74" s="437">
        <v>16480</v>
      </c>
      <c r="E74" s="437">
        <v>20100</v>
      </c>
      <c r="F74" s="437"/>
      <c r="G74" s="437">
        <v>11190</v>
      </c>
    </row>
    <row r="75" spans="1:7" s="426" customFormat="1" ht="14.25" customHeight="1">
      <c r="A75" s="437" t="s">
        <v>259</v>
      </c>
      <c r="B75" s="437" t="s">
        <v>2575</v>
      </c>
      <c r="C75" s="437">
        <v>16570</v>
      </c>
      <c r="D75" s="437">
        <v>17530</v>
      </c>
      <c r="E75" s="437">
        <v>21030</v>
      </c>
      <c r="F75" s="437"/>
      <c r="G75" s="437">
        <v>11900</v>
      </c>
    </row>
    <row r="76" spans="1:7" s="426" customFormat="1" ht="14.25" customHeight="1">
      <c r="A76" s="437" t="s">
        <v>259</v>
      </c>
      <c r="B76" s="437" t="s">
        <v>2583</v>
      </c>
      <c r="C76" s="437">
        <v>17610</v>
      </c>
      <c r="D76" s="437">
        <v>20800</v>
      </c>
      <c r="E76" s="437">
        <v>18920</v>
      </c>
      <c r="F76" s="437"/>
      <c r="G76" s="437">
        <v>14120</v>
      </c>
    </row>
    <row r="77" spans="1:7" s="426" customFormat="1" ht="14.25" customHeight="1">
      <c r="A77" s="437" t="s">
        <v>259</v>
      </c>
      <c r="B77" s="437" t="s">
        <v>2591</v>
      </c>
      <c r="C77" s="437">
        <v>20890</v>
      </c>
      <c r="D77" s="437">
        <v>19740</v>
      </c>
      <c r="E77" s="437">
        <v>20110</v>
      </c>
      <c r="F77" s="437"/>
      <c r="G77" s="437">
        <v>13400</v>
      </c>
    </row>
    <row r="78" spans="1:7" s="426" customFormat="1" ht="14.25" customHeight="1">
      <c r="A78" s="437" t="s">
        <v>259</v>
      </c>
      <c r="B78" s="437" t="s">
        <v>2599</v>
      </c>
      <c r="C78" s="437">
        <v>19820</v>
      </c>
      <c r="D78" s="437">
        <v>19780</v>
      </c>
      <c r="E78" s="437">
        <v>18560</v>
      </c>
      <c r="F78" s="437"/>
      <c r="G78" s="437">
        <v>13430</v>
      </c>
    </row>
    <row r="79" spans="1:7" s="426" customFormat="1" ht="14.25" customHeight="1">
      <c r="A79" s="437" t="s">
        <v>259</v>
      </c>
      <c r="B79" s="437" t="s">
        <v>2607</v>
      </c>
      <c r="C79" s="437">
        <v>21660</v>
      </c>
      <c r="D79" s="437">
        <v>18000</v>
      </c>
      <c r="E79" s="437">
        <v>22570</v>
      </c>
      <c r="F79" s="437"/>
      <c r="G79" s="437">
        <v>12220</v>
      </c>
    </row>
    <row r="80" spans="1:7" s="426" customFormat="1" ht="14.25" customHeight="1">
      <c r="A80" s="437" t="s">
        <v>259</v>
      </c>
      <c r="B80" s="437" t="s">
        <v>2614</v>
      </c>
      <c r="C80" s="437">
        <v>19850</v>
      </c>
      <c r="D80" s="437"/>
      <c r="E80" s="437">
        <v>21700</v>
      </c>
      <c r="F80" s="437"/>
      <c r="G80" s="437"/>
    </row>
    <row r="81" spans="1:7" s="426" customFormat="1" ht="14.25" customHeight="1">
      <c r="A81" s="437" t="s">
        <v>259</v>
      </c>
      <c r="B81" s="437" t="s">
        <v>2621</v>
      </c>
      <c r="C81" s="437">
        <v>18080</v>
      </c>
      <c r="D81" s="437"/>
      <c r="E81" s="437">
        <v>20900</v>
      </c>
      <c r="F81" s="437"/>
      <c r="G81" s="437"/>
    </row>
    <row r="82" spans="1:7" s="426" customFormat="1" ht="14.25" customHeight="1">
      <c r="A82" s="437" t="s">
        <v>259</v>
      </c>
      <c r="B82" s="437" t="s">
        <v>2628</v>
      </c>
      <c r="C82" s="437"/>
      <c r="D82" s="437"/>
      <c r="E82" s="437">
        <v>20840</v>
      </c>
      <c r="F82" s="437"/>
      <c r="G82" s="437"/>
    </row>
    <row r="83" spans="1:7" s="426" customFormat="1" ht="14.25" customHeight="1">
      <c r="A83" s="437" t="s">
        <v>259</v>
      </c>
      <c r="B83" s="437" t="s">
        <v>2635</v>
      </c>
      <c r="C83" s="437"/>
      <c r="D83" s="437"/>
      <c r="E83" s="437"/>
      <c r="F83" s="437">
        <v>4770</v>
      </c>
      <c r="G83" s="437"/>
    </row>
    <row r="84" spans="1:7" s="426" customFormat="1" ht="14.25" customHeight="1">
      <c r="A84" s="437" t="s">
        <v>259</v>
      </c>
      <c r="B84" s="437" t="s">
        <v>2642</v>
      </c>
      <c r="C84" s="437"/>
      <c r="D84" s="437"/>
      <c r="E84" s="437"/>
      <c r="F84" s="437">
        <v>4600</v>
      </c>
      <c r="G84" s="437"/>
    </row>
    <row r="85" spans="1:7" s="426" customFormat="1" ht="14.25" customHeight="1">
      <c r="A85" s="437" t="s">
        <v>259</v>
      </c>
      <c r="B85" s="437" t="s">
        <v>2649</v>
      </c>
      <c r="C85" s="437"/>
      <c r="D85" s="437"/>
      <c r="E85" s="437"/>
      <c r="F85" s="437">
        <v>4680</v>
      </c>
      <c r="G85" s="437"/>
    </row>
    <row r="86" spans="1:7" s="426" customFormat="1" ht="14.25" customHeight="1">
      <c r="A86" s="439" t="s">
        <v>259</v>
      </c>
      <c r="B86" s="442" t="s">
        <v>2656</v>
      </c>
      <c r="C86" s="443">
        <v>16610</v>
      </c>
      <c r="D86" s="443">
        <v>16540</v>
      </c>
      <c r="E86" s="443">
        <v>18850</v>
      </c>
      <c r="F86" s="443"/>
      <c r="G86" s="443">
        <v>11220</v>
      </c>
    </row>
    <row r="87" spans="1:7" s="426" customFormat="1" ht="14.25" customHeight="1">
      <c r="A87" s="435" t="s">
        <v>267</v>
      </c>
      <c r="B87" s="436" t="s">
        <v>2364</v>
      </c>
      <c r="C87" s="436">
        <v>15240</v>
      </c>
      <c r="D87" s="436">
        <v>15170</v>
      </c>
      <c r="E87" s="436">
        <v>18260</v>
      </c>
      <c r="F87" s="436">
        <v>3830</v>
      </c>
      <c r="G87" s="444">
        <v>10020</v>
      </c>
    </row>
    <row r="88" spans="1:7" s="426" customFormat="1" ht="14.25" customHeight="1">
      <c r="A88" s="437" t="s">
        <v>267</v>
      </c>
      <c r="B88" s="437" t="s">
        <v>2377</v>
      </c>
      <c r="C88" s="437">
        <v>17310</v>
      </c>
      <c r="D88" s="437">
        <v>17220</v>
      </c>
      <c r="E88" s="437">
        <v>18610</v>
      </c>
      <c r="F88" s="437">
        <v>3990</v>
      </c>
      <c r="G88" s="445">
        <v>11380</v>
      </c>
    </row>
    <row r="89" spans="1:7" s="426" customFormat="1" ht="14.25" customHeight="1">
      <c r="A89" s="437" t="s">
        <v>267</v>
      </c>
      <c r="B89" s="437" t="s">
        <v>2391</v>
      </c>
      <c r="C89" s="437">
        <v>15600</v>
      </c>
      <c r="D89" s="437">
        <v>15550</v>
      </c>
      <c r="E89" s="437">
        <v>19200</v>
      </c>
      <c r="F89" s="437">
        <v>4110</v>
      </c>
      <c r="G89" s="445">
        <v>10270</v>
      </c>
    </row>
    <row r="90" spans="1:7" s="426" customFormat="1" ht="14.25" customHeight="1">
      <c r="A90" s="437" t="s">
        <v>267</v>
      </c>
      <c r="B90" s="437" t="s">
        <v>2403</v>
      </c>
      <c r="C90" s="437">
        <v>17330</v>
      </c>
      <c r="D90" s="437">
        <v>17240</v>
      </c>
      <c r="E90" s="437">
        <v>18570</v>
      </c>
      <c r="F90" s="437">
        <v>4070</v>
      </c>
      <c r="G90" s="445">
        <v>11390</v>
      </c>
    </row>
    <row r="91" spans="1:7" s="426" customFormat="1" ht="14.25" customHeight="1">
      <c r="A91" s="437" t="s">
        <v>267</v>
      </c>
      <c r="B91" s="437" t="s">
        <v>2415</v>
      </c>
      <c r="C91" s="437">
        <v>16330</v>
      </c>
      <c r="D91" s="437">
        <v>16260</v>
      </c>
      <c r="E91" s="437">
        <v>16800</v>
      </c>
      <c r="F91" s="437">
        <v>3410</v>
      </c>
      <c r="G91" s="445">
        <v>10740</v>
      </c>
    </row>
    <row r="92" spans="1:7" s="426" customFormat="1" ht="14.25" customHeight="1">
      <c r="A92" s="437" t="s">
        <v>267</v>
      </c>
      <c r="B92" s="437" t="s">
        <v>2426</v>
      </c>
      <c r="C92" s="437">
        <v>15570</v>
      </c>
      <c r="D92" s="437">
        <v>15500</v>
      </c>
      <c r="E92" s="437">
        <v>17360</v>
      </c>
      <c r="F92" s="437">
        <v>3510</v>
      </c>
      <c r="G92" s="445">
        <v>10240</v>
      </c>
    </row>
    <row r="93" spans="1:7" s="426" customFormat="1" ht="14.25" customHeight="1">
      <c r="A93" s="437" t="s">
        <v>267</v>
      </c>
      <c r="B93" s="437" t="s">
        <v>2437</v>
      </c>
      <c r="C93" s="437">
        <v>14000</v>
      </c>
      <c r="D93" s="437">
        <v>13930</v>
      </c>
      <c r="E93" s="437">
        <v>18200</v>
      </c>
      <c r="F93" s="437">
        <v>3640</v>
      </c>
      <c r="G93" s="445">
        <v>9210</v>
      </c>
    </row>
    <row r="94" spans="1:7" s="426" customFormat="1" ht="14.25" customHeight="1">
      <c r="A94" s="437" t="s">
        <v>267</v>
      </c>
      <c r="B94" s="437" t="s">
        <v>2448</v>
      </c>
      <c r="C94" s="437">
        <v>14530</v>
      </c>
      <c r="D94" s="437">
        <v>14470</v>
      </c>
      <c r="E94" s="437">
        <v>18240</v>
      </c>
      <c r="F94" s="437">
        <v>3180</v>
      </c>
      <c r="G94" s="445">
        <v>9560</v>
      </c>
    </row>
    <row r="95" spans="1:7" s="426" customFormat="1" ht="14.25" customHeight="1">
      <c r="A95" s="437" t="s">
        <v>267</v>
      </c>
      <c r="B95" s="437" t="s">
        <v>2458</v>
      </c>
      <c r="C95" s="437">
        <v>17330</v>
      </c>
      <c r="D95" s="437">
        <v>17260</v>
      </c>
      <c r="E95" s="437">
        <v>18420</v>
      </c>
      <c r="F95" s="437">
        <v>3060</v>
      </c>
      <c r="G95" s="445">
        <v>11410</v>
      </c>
    </row>
    <row r="96" spans="1:7" s="426" customFormat="1" ht="14.25" customHeight="1">
      <c r="A96" s="437" t="s">
        <v>267</v>
      </c>
      <c r="B96" s="437" t="s">
        <v>2468</v>
      </c>
      <c r="C96" s="437">
        <v>15030</v>
      </c>
      <c r="D96" s="437">
        <v>14970</v>
      </c>
      <c r="E96" s="437">
        <v>17580</v>
      </c>
      <c r="F96" s="437">
        <v>2970</v>
      </c>
      <c r="G96" s="445">
        <v>9890</v>
      </c>
    </row>
    <row r="97" spans="1:7" s="426" customFormat="1" ht="14.25" customHeight="1">
      <c r="A97" s="437" t="s">
        <v>267</v>
      </c>
      <c r="B97" s="437" t="s">
        <v>2478</v>
      </c>
      <c r="C97" s="437">
        <v>17400</v>
      </c>
      <c r="D97" s="437">
        <v>17330</v>
      </c>
      <c r="E97" s="437">
        <v>16430</v>
      </c>
      <c r="F97" s="437">
        <v>2950</v>
      </c>
      <c r="G97" s="445">
        <v>11450</v>
      </c>
    </row>
    <row r="98" spans="1:7" s="426" customFormat="1" ht="14.25" customHeight="1">
      <c r="A98" s="437" t="s">
        <v>267</v>
      </c>
      <c r="B98" s="437" t="s">
        <v>2488</v>
      </c>
      <c r="C98" s="437">
        <v>15200</v>
      </c>
      <c r="D98" s="437">
        <v>15120</v>
      </c>
      <c r="E98" s="437">
        <v>17550</v>
      </c>
      <c r="F98" s="437">
        <v>3080</v>
      </c>
      <c r="G98" s="445">
        <v>9990</v>
      </c>
    </row>
    <row r="99" spans="1:7" s="426" customFormat="1" ht="14.25" customHeight="1">
      <c r="A99" s="437" t="s">
        <v>267</v>
      </c>
      <c r="B99" s="437" t="s">
        <v>2497</v>
      </c>
      <c r="C99" s="437">
        <v>17520</v>
      </c>
      <c r="D99" s="437">
        <v>17430</v>
      </c>
      <c r="E99" s="437">
        <v>16350</v>
      </c>
      <c r="F99" s="437">
        <v>3260</v>
      </c>
      <c r="G99" s="445">
        <v>11510</v>
      </c>
    </row>
    <row r="100" spans="1:7" s="426" customFormat="1" ht="14.25" customHeight="1">
      <c r="A100" s="437" t="s">
        <v>267</v>
      </c>
      <c r="B100" s="437" t="s">
        <v>2507</v>
      </c>
      <c r="C100" s="437">
        <v>15340</v>
      </c>
      <c r="D100" s="437">
        <v>15260</v>
      </c>
      <c r="E100" s="437">
        <v>15930</v>
      </c>
      <c r="F100" s="437">
        <v>2740</v>
      </c>
      <c r="G100" s="445">
        <v>10080</v>
      </c>
    </row>
    <row r="101" spans="1:7" s="426" customFormat="1" ht="14.25" customHeight="1">
      <c r="A101" s="437" t="s">
        <v>267</v>
      </c>
      <c r="B101" s="437" t="s">
        <v>2517</v>
      </c>
      <c r="C101" s="437">
        <v>14620</v>
      </c>
      <c r="D101" s="437">
        <v>14560</v>
      </c>
      <c r="E101" s="437">
        <v>15570</v>
      </c>
      <c r="F101" s="437">
        <v>3500</v>
      </c>
      <c r="G101" s="445">
        <v>9630</v>
      </c>
    </row>
    <row r="102" spans="1:7" s="426" customFormat="1" ht="14.25" customHeight="1">
      <c r="A102" s="437" t="s">
        <v>267</v>
      </c>
      <c r="B102" s="437" t="s">
        <v>2527</v>
      </c>
      <c r="C102" s="437">
        <v>13680</v>
      </c>
      <c r="D102" s="437">
        <v>13610</v>
      </c>
      <c r="E102" s="437">
        <v>15690</v>
      </c>
      <c r="F102" s="437">
        <v>2870</v>
      </c>
      <c r="G102" s="445">
        <v>8990</v>
      </c>
    </row>
    <row r="103" spans="1:7" s="426" customFormat="1" ht="14.25" customHeight="1">
      <c r="A103" s="437" t="s">
        <v>267</v>
      </c>
      <c r="B103" s="437" t="s">
        <v>2537</v>
      </c>
      <c r="C103" s="437">
        <v>14620</v>
      </c>
      <c r="D103" s="437">
        <v>14540</v>
      </c>
      <c r="E103" s="437">
        <v>15240</v>
      </c>
      <c r="F103" s="437">
        <v>2840</v>
      </c>
      <c r="G103" s="445">
        <v>9610</v>
      </c>
    </row>
    <row r="104" spans="1:7" s="426" customFormat="1" ht="14.25" customHeight="1">
      <c r="A104" s="437" t="s">
        <v>267</v>
      </c>
      <c r="B104" s="437" t="s">
        <v>2547</v>
      </c>
      <c r="C104" s="437">
        <v>13610</v>
      </c>
      <c r="D104" s="437">
        <v>13540</v>
      </c>
      <c r="E104" s="437">
        <v>15750</v>
      </c>
      <c r="F104" s="437">
        <v>2770</v>
      </c>
      <c r="G104" s="445">
        <v>8940</v>
      </c>
    </row>
    <row r="105" spans="1:7" s="426" customFormat="1" ht="14.25" customHeight="1">
      <c r="A105" s="437" t="s">
        <v>267</v>
      </c>
      <c r="B105" s="437" t="s">
        <v>2557</v>
      </c>
      <c r="C105" s="437">
        <v>13310</v>
      </c>
      <c r="D105" s="437">
        <v>13240</v>
      </c>
      <c r="E105" s="437">
        <v>16280</v>
      </c>
      <c r="F105" s="437">
        <v>3210</v>
      </c>
      <c r="G105" s="445">
        <v>8750</v>
      </c>
    </row>
    <row r="106" spans="1:7" s="426" customFormat="1" ht="14.25" customHeight="1">
      <c r="A106" s="437" t="s">
        <v>267</v>
      </c>
      <c r="B106" s="437" t="s">
        <v>2567</v>
      </c>
      <c r="C106" s="437">
        <v>13010</v>
      </c>
      <c r="D106" s="437">
        <v>12930</v>
      </c>
      <c r="E106" s="437">
        <v>14960</v>
      </c>
      <c r="F106" s="437">
        <v>3530</v>
      </c>
      <c r="G106" s="445">
        <v>8550</v>
      </c>
    </row>
    <row r="107" spans="1:7" s="426" customFormat="1" ht="14.25" customHeight="1">
      <c r="A107" s="437" t="s">
        <v>267</v>
      </c>
      <c r="B107" s="437" t="s">
        <v>2576</v>
      </c>
      <c r="C107" s="437">
        <v>13070</v>
      </c>
      <c r="D107" s="437">
        <v>13000</v>
      </c>
      <c r="E107" s="437">
        <v>15910</v>
      </c>
      <c r="F107" s="437">
        <v>3990</v>
      </c>
      <c r="G107" s="445">
        <v>8580</v>
      </c>
    </row>
    <row r="108" spans="1:7" s="426" customFormat="1" ht="14.25" customHeight="1">
      <c r="A108" s="437" t="s">
        <v>267</v>
      </c>
      <c r="B108" s="437" t="s">
        <v>2584</v>
      </c>
      <c r="C108" s="437">
        <v>12640</v>
      </c>
      <c r="D108" s="437">
        <v>12580</v>
      </c>
      <c r="E108" s="437">
        <v>15730</v>
      </c>
      <c r="F108" s="437"/>
      <c r="G108" s="445">
        <v>8310</v>
      </c>
    </row>
    <row r="109" spans="1:7" s="426" customFormat="1" ht="14.25" customHeight="1">
      <c r="A109" s="437" t="s">
        <v>267</v>
      </c>
      <c r="B109" s="437" t="s">
        <v>2592</v>
      </c>
      <c r="C109" s="437">
        <v>13130</v>
      </c>
      <c r="D109" s="437">
        <v>13070</v>
      </c>
      <c r="E109" s="437">
        <v>15000</v>
      </c>
      <c r="F109" s="437"/>
      <c r="G109" s="445">
        <v>8630</v>
      </c>
    </row>
    <row r="110" spans="1:7" s="426" customFormat="1" ht="14.25" customHeight="1">
      <c r="A110" s="437" t="s">
        <v>267</v>
      </c>
      <c r="B110" s="437" t="s">
        <v>2600</v>
      </c>
      <c r="C110" s="437">
        <v>13560</v>
      </c>
      <c r="D110" s="437">
        <v>13490</v>
      </c>
      <c r="E110" s="437">
        <v>16300</v>
      </c>
      <c r="F110" s="437"/>
      <c r="G110" s="445">
        <v>8920</v>
      </c>
    </row>
    <row r="111" spans="1:7" s="426" customFormat="1" ht="14.25" customHeight="1">
      <c r="A111" s="437" t="s">
        <v>267</v>
      </c>
      <c r="B111" s="437" t="s">
        <v>2608</v>
      </c>
      <c r="C111" s="437">
        <v>12440</v>
      </c>
      <c r="D111" s="437">
        <v>12380</v>
      </c>
      <c r="E111" s="437">
        <v>17850</v>
      </c>
      <c r="F111" s="437"/>
      <c r="G111" s="445">
        <v>8180</v>
      </c>
    </row>
    <row r="112" spans="1:7" s="426" customFormat="1" ht="14.25" customHeight="1">
      <c r="A112" s="437" t="s">
        <v>267</v>
      </c>
      <c r="B112" s="437" t="s">
        <v>2615</v>
      </c>
      <c r="C112" s="437">
        <v>13260</v>
      </c>
      <c r="D112" s="437">
        <v>13180</v>
      </c>
      <c r="E112" s="437">
        <v>19740</v>
      </c>
      <c r="F112" s="437"/>
      <c r="G112" s="445">
        <v>8710</v>
      </c>
    </row>
    <row r="113" spans="1:7" s="426" customFormat="1" ht="14.25" customHeight="1">
      <c r="A113" s="437" t="s">
        <v>267</v>
      </c>
      <c r="B113" s="437" t="s">
        <v>2622</v>
      </c>
      <c r="C113" s="437">
        <v>15520</v>
      </c>
      <c r="D113" s="437">
        <v>15450</v>
      </c>
      <c r="E113" s="437"/>
      <c r="F113" s="437"/>
      <c r="G113" s="445">
        <v>10210</v>
      </c>
    </row>
    <row r="114" spans="1:7" s="426" customFormat="1" ht="14.25" customHeight="1">
      <c r="A114" s="437" t="s">
        <v>267</v>
      </c>
      <c r="B114" s="437" t="s">
        <v>2629</v>
      </c>
      <c r="C114" s="437">
        <v>13110</v>
      </c>
      <c r="D114" s="437">
        <v>13050</v>
      </c>
      <c r="E114" s="437"/>
      <c r="F114" s="437"/>
      <c r="G114" s="445">
        <v>8620</v>
      </c>
    </row>
    <row r="115" spans="1:7" s="426" customFormat="1" ht="14.25" customHeight="1">
      <c r="A115" s="437" t="s">
        <v>267</v>
      </c>
      <c r="B115" s="437" t="s">
        <v>2636</v>
      </c>
      <c r="C115" s="437">
        <v>12460</v>
      </c>
      <c r="D115" s="437">
        <v>12390</v>
      </c>
      <c r="E115" s="437"/>
      <c r="F115" s="437"/>
      <c r="G115" s="445">
        <v>8190</v>
      </c>
    </row>
    <row r="116" spans="1:7" s="426" customFormat="1" ht="14.25" customHeight="1">
      <c r="A116" s="437" t="s">
        <v>267</v>
      </c>
      <c r="B116" s="437" t="s">
        <v>2643</v>
      </c>
      <c r="C116" s="437">
        <v>13580</v>
      </c>
      <c r="D116" s="437">
        <v>13520</v>
      </c>
      <c r="E116" s="437"/>
      <c r="F116" s="437"/>
      <c r="G116" s="445">
        <v>8930</v>
      </c>
    </row>
    <row r="117" spans="1:7" s="426" customFormat="1" ht="14.25" customHeight="1">
      <c r="A117" s="437" t="s">
        <v>267</v>
      </c>
      <c r="B117" s="437" t="s">
        <v>2650</v>
      </c>
      <c r="C117" s="437">
        <v>17120</v>
      </c>
      <c r="D117" s="437">
        <v>17040</v>
      </c>
      <c r="E117" s="437"/>
      <c r="F117" s="437"/>
      <c r="G117" s="445">
        <v>11260</v>
      </c>
    </row>
    <row r="118" spans="1:7" s="426" customFormat="1" ht="14.25" customHeight="1">
      <c r="A118" s="437" t="s">
        <v>267</v>
      </c>
      <c r="B118" s="437" t="s">
        <v>2657</v>
      </c>
      <c r="C118" s="437">
        <v>14860</v>
      </c>
      <c r="D118" s="437">
        <v>14790</v>
      </c>
      <c r="E118" s="437"/>
      <c r="F118" s="437"/>
      <c r="G118" s="445">
        <v>9780</v>
      </c>
    </row>
    <row r="119" spans="1:7" s="426" customFormat="1" ht="14.25" customHeight="1">
      <c r="A119" s="437" t="s">
        <v>267</v>
      </c>
      <c r="B119" s="437" t="s">
        <v>2662</v>
      </c>
      <c r="C119" s="437">
        <v>16470</v>
      </c>
      <c r="D119" s="437">
        <v>16400</v>
      </c>
      <c r="E119" s="437"/>
      <c r="F119" s="437"/>
      <c r="G119" s="445">
        <v>10840</v>
      </c>
    </row>
    <row r="120" spans="1:7" s="426" customFormat="1" ht="14.25" customHeight="1">
      <c r="A120" s="437" t="s">
        <v>267</v>
      </c>
      <c r="B120" s="437" t="s">
        <v>2667</v>
      </c>
      <c r="C120" s="437"/>
      <c r="D120" s="437"/>
      <c r="E120" s="437"/>
      <c r="F120" s="437">
        <v>4160</v>
      </c>
      <c r="G120" s="445"/>
    </row>
    <row r="121" spans="1:7" s="426" customFormat="1" ht="14.25" customHeight="1">
      <c r="A121" s="437" t="s">
        <v>267</v>
      </c>
      <c r="B121" s="437" t="s">
        <v>2672</v>
      </c>
      <c r="C121" s="437"/>
      <c r="D121" s="437"/>
      <c r="E121" s="437"/>
      <c r="F121" s="437">
        <v>3880</v>
      </c>
      <c r="G121" s="445"/>
    </row>
    <row r="122" spans="1:7" s="426" customFormat="1" ht="14.25" customHeight="1">
      <c r="A122" s="437" t="s">
        <v>267</v>
      </c>
      <c r="B122" s="437" t="s">
        <v>2677</v>
      </c>
      <c r="C122" s="437">
        <v>13750</v>
      </c>
      <c r="D122" s="437">
        <v>13680</v>
      </c>
      <c r="E122" s="437">
        <v>16460</v>
      </c>
      <c r="F122" s="437">
        <v>2880</v>
      </c>
      <c r="G122" s="445">
        <v>9040</v>
      </c>
    </row>
    <row r="123" spans="1:7" s="426" customFormat="1" ht="14.25" customHeight="1">
      <c r="A123" s="437" t="s">
        <v>267</v>
      </c>
      <c r="B123" s="437" t="s">
        <v>2682</v>
      </c>
      <c r="C123" s="437">
        <v>13590</v>
      </c>
      <c r="D123" s="437">
        <v>13520</v>
      </c>
      <c r="E123" s="437">
        <v>16290</v>
      </c>
      <c r="F123" s="437">
        <v>2790</v>
      </c>
      <c r="G123" s="445">
        <v>8930</v>
      </c>
    </row>
    <row r="124" spans="1:7" s="426" customFormat="1" ht="14.25" customHeight="1">
      <c r="A124" s="437" t="s">
        <v>267</v>
      </c>
      <c r="B124" s="437" t="s">
        <v>2687</v>
      </c>
      <c r="C124" s="437">
        <v>13400</v>
      </c>
      <c r="D124" s="437">
        <v>13320</v>
      </c>
      <c r="E124" s="437">
        <v>16100</v>
      </c>
      <c r="F124" s="437">
        <v>2320</v>
      </c>
      <c r="G124" s="445">
        <v>8800</v>
      </c>
    </row>
    <row r="125" spans="1:7" s="426" customFormat="1" ht="14.25" customHeight="1">
      <c r="A125" s="437" t="s">
        <v>267</v>
      </c>
      <c r="B125" s="437" t="s">
        <v>2692</v>
      </c>
      <c r="C125" s="437">
        <v>12860</v>
      </c>
      <c r="D125" s="437">
        <v>12790</v>
      </c>
      <c r="E125" s="437">
        <v>15370</v>
      </c>
      <c r="F125" s="437">
        <v>2280</v>
      </c>
      <c r="G125" s="445">
        <v>8450</v>
      </c>
    </row>
    <row r="126" spans="1:7" s="426" customFormat="1" ht="14.25" customHeight="1">
      <c r="A126" s="446" t="s">
        <v>267</v>
      </c>
      <c r="B126" s="441" t="s">
        <v>2697</v>
      </c>
      <c r="C126" s="441">
        <v>12960</v>
      </c>
      <c r="D126" s="441">
        <v>12890</v>
      </c>
      <c r="E126" s="441">
        <v>15530</v>
      </c>
      <c r="F126" s="441">
        <v>2910</v>
      </c>
      <c r="G126" s="447">
        <v>8520</v>
      </c>
    </row>
    <row r="127" spans="1:7" s="426" customFormat="1" ht="14.25" customHeight="1">
      <c r="A127" s="435" t="s">
        <v>273</v>
      </c>
      <c r="B127" s="436" t="s">
        <v>2365</v>
      </c>
      <c r="C127" s="437">
        <v>12280</v>
      </c>
      <c r="D127" s="437">
        <v>12250</v>
      </c>
      <c r="E127" s="437">
        <v>15130</v>
      </c>
      <c r="F127" s="437">
        <v>2710</v>
      </c>
      <c r="G127" s="437">
        <v>7870</v>
      </c>
    </row>
    <row r="128" spans="1:7" s="426" customFormat="1" ht="14.25" customHeight="1">
      <c r="A128" s="437" t="s">
        <v>273</v>
      </c>
      <c r="B128" s="437" t="s">
        <v>2378</v>
      </c>
      <c r="C128" s="437">
        <v>13180</v>
      </c>
      <c r="D128" s="437">
        <v>13150</v>
      </c>
      <c r="E128" s="437">
        <v>16190</v>
      </c>
      <c r="F128" s="437">
        <v>2820</v>
      </c>
      <c r="G128" s="437">
        <v>8460</v>
      </c>
    </row>
    <row r="129" spans="1:7" s="426" customFormat="1" ht="14.25" customHeight="1">
      <c r="A129" s="437" t="s">
        <v>273</v>
      </c>
      <c r="B129" s="437" t="s">
        <v>2392</v>
      </c>
      <c r="C129" s="437">
        <v>10950</v>
      </c>
      <c r="D129" s="437">
        <v>10920</v>
      </c>
      <c r="E129" s="437">
        <v>13820</v>
      </c>
      <c r="F129" s="437">
        <v>2500</v>
      </c>
      <c r="G129" s="437">
        <v>7020</v>
      </c>
    </row>
    <row r="130" spans="1:7" s="426" customFormat="1" ht="14.25" customHeight="1">
      <c r="A130" s="437" t="s">
        <v>273</v>
      </c>
      <c r="B130" s="437" t="s">
        <v>2404</v>
      </c>
      <c r="C130" s="437">
        <v>10910</v>
      </c>
      <c r="D130" s="437">
        <v>10860</v>
      </c>
      <c r="E130" s="437">
        <v>13730</v>
      </c>
      <c r="F130" s="437">
        <v>2760</v>
      </c>
      <c r="G130" s="437">
        <v>6990</v>
      </c>
    </row>
    <row r="131" spans="1:7" s="426" customFormat="1" ht="14.25" customHeight="1">
      <c r="A131" s="437" t="s">
        <v>273</v>
      </c>
      <c r="B131" s="437" t="s">
        <v>2416</v>
      </c>
      <c r="C131" s="437">
        <v>12910</v>
      </c>
      <c r="D131" s="437">
        <v>12870</v>
      </c>
      <c r="E131" s="437">
        <v>15720</v>
      </c>
      <c r="F131" s="437">
        <v>2750</v>
      </c>
      <c r="G131" s="437">
        <v>8280</v>
      </c>
    </row>
    <row r="132" spans="1:7" s="426" customFormat="1" ht="14.25" customHeight="1">
      <c r="A132" s="437" t="s">
        <v>273</v>
      </c>
      <c r="B132" s="437" t="s">
        <v>2427</v>
      </c>
      <c r="C132" s="437">
        <v>11910</v>
      </c>
      <c r="D132" s="437">
        <v>11860</v>
      </c>
      <c r="E132" s="437">
        <v>14730</v>
      </c>
      <c r="F132" s="437">
        <v>2360</v>
      </c>
      <c r="G132" s="437">
        <v>7630</v>
      </c>
    </row>
    <row r="133" spans="1:7" s="426" customFormat="1" ht="14.25" customHeight="1">
      <c r="A133" s="437" t="s">
        <v>273</v>
      </c>
      <c r="B133" s="437" t="s">
        <v>2438</v>
      </c>
      <c r="C133" s="437">
        <v>12270</v>
      </c>
      <c r="D133" s="437">
        <v>12210</v>
      </c>
      <c r="E133" s="437">
        <v>15010</v>
      </c>
      <c r="F133" s="437">
        <v>2580</v>
      </c>
      <c r="G133" s="437">
        <v>7860</v>
      </c>
    </row>
    <row r="134" spans="1:7" s="426" customFormat="1" ht="14.25" customHeight="1">
      <c r="A134" s="437" t="s">
        <v>273</v>
      </c>
      <c r="B134" s="437" t="s">
        <v>2449</v>
      </c>
      <c r="C134" s="437">
        <v>10800</v>
      </c>
      <c r="D134" s="437">
        <v>10780</v>
      </c>
      <c r="E134" s="437">
        <v>13640</v>
      </c>
      <c r="F134" s="437">
        <v>2110</v>
      </c>
      <c r="G134" s="437">
        <v>6930</v>
      </c>
    </row>
    <row r="135" spans="1:7" s="426" customFormat="1" ht="14.25" customHeight="1">
      <c r="A135" s="437" t="s">
        <v>273</v>
      </c>
      <c r="B135" s="437" t="s">
        <v>2459</v>
      </c>
      <c r="C135" s="437">
        <v>10430</v>
      </c>
      <c r="D135" s="437">
        <v>10390</v>
      </c>
      <c r="E135" s="437">
        <v>13140</v>
      </c>
      <c r="F135" s="437">
        <v>2240</v>
      </c>
      <c r="G135" s="437">
        <v>6680</v>
      </c>
    </row>
    <row r="136" spans="1:7" s="426" customFormat="1" ht="14.25" customHeight="1">
      <c r="A136" s="437" t="s">
        <v>273</v>
      </c>
      <c r="B136" s="437" t="s">
        <v>2469</v>
      </c>
      <c r="C136" s="437">
        <v>11930</v>
      </c>
      <c r="D136" s="437">
        <v>11880</v>
      </c>
      <c r="E136" s="437">
        <v>14770</v>
      </c>
      <c r="F136" s="437">
        <v>1970</v>
      </c>
      <c r="G136" s="437">
        <v>7640</v>
      </c>
    </row>
    <row r="137" spans="1:7" s="426" customFormat="1" ht="14.25" customHeight="1">
      <c r="A137" s="437" t="s">
        <v>273</v>
      </c>
      <c r="B137" s="437" t="s">
        <v>2479</v>
      </c>
      <c r="C137" s="437">
        <v>10470</v>
      </c>
      <c r="D137" s="437">
        <v>10430</v>
      </c>
      <c r="E137" s="437">
        <v>13190</v>
      </c>
      <c r="F137" s="437">
        <v>1990</v>
      </c>
      <c r="G137" s="437">
        <v>6710</v>
      </c>
    </row>
    <row r="138" spans="1:7" s="426" customFormat="1" ht="14.25" customHeight="1">
      <c r="A138" s="437" t="s">
        <v>273</v>
      </c>
      <c r="B138" s="437" t="s">
        <v>2489</v>
      </c>
      <c r="C138" s="437">
        <v>10410</v>
      </c>
      <c r="D138" s="437">
        <v>10380</v>
      </c>
      <c r="E138" s="437">
        <v>13130</v>
      </c>
      <c r="F138" s="437">
        <v>2030</v>
      </c>
      <c r="G138" s="437">
        <v>6680</v>
      </c>
    </row>
    <row r="139" spans="1:7" s="426" customFormat="1" ht="14.25" customHeight="1">
      <c r="A139" s="437" t="s">
        <v>273</v>
      </c>
      <c r="B139" s="437" t="s">
        <v>2498</v>
      </c>
      <c r="C139" s="437">
        <v>9460</v>
      </c>
      <c r="D139" s="437">
        <v>9410</v>
      </c>
      <c r="E139" s="437">
        <v>12050</v>
      </c>
      <c r="F139" s="437">
        <v>2140</v>
      </c>
      <c r="G139" s="437">
        <v>6050</v>
      </c>
    </row>
    <row r="140" spans="1:7" s="426" customFormat="1" ht="14.25" customHeight="1">
      <c r="A140" s="437" t="s">
        <v>273</v>
      </c>
      <c r="B140" s="437" t="s">
        <v>2508</v>
      </c>
      <c r="C140" s="437">
        <v>11030</v>
      </c>
      <c r="D140" s="437">
        <v>10980</v>
      </c>
      <c r="E140" s="437">
        <v>13880</v>
      </c>
      <c r="F140" s="437">
        <v>2210</v>
      </c>
      <c r="G140" s="437">
        <v>7060</v>
      </c>
    </row>
    <row r="141" spans="1:7" s="426" customFormat="1" ht="14.25" customHeight="1">
      <c r="A141" s="437" t="s">
        <v>273</v>
      </c>
      <c r="B141" s="437" t="s">
        <v>2518</v>
      </c>
      <c r="C141" s="437">
        <v>11200</v>
      </c>
      <c r="D141" s="437">
        <v>11150</v>
      </c>
      <c r="E141" s="437">
        <v>14100</v>
      </c>
      <c r="F141" s="437">
        <v>2470</v>
      </c>
      <c r="G141" s="437">
        <v>7170</v>
      </c>
    </row>
    <row r="142" spans="1:7" s="426" customFormat="1" ht="14.25" customHeight="1">
      <c r="A142" s="437" t="s">
        <v>273</v>
      </c>
      <c r="B142" s="437" t="s">
        <v>2528</v>
      </c>
      <c r="C142" s="437">
        <v>10780</v>
      </c>
      <c r="D142" s="437">
        <v>10730</v>
      </c>
      <c r="E142" s="437">
        <v>13540</v>
      </c>
      <c r="F142" s="437">
        <v>2280</v>
      </c>
      <c r="G142" s="437">
        <v>6900</v>
      </c>
    </row>
    <row r="143" spans="1:7" s="426" customFormat="1" ht="14.25" customHeight="1">
      <c r="A143" s="437" t="s">
        <v>273</v>
      </c>
      <c r="B143" s="437" t="s">
        <v>2538</v>
      </c>
      <c r="C143" s="437">
        <v>11550</v>
      </c>
      <c r="D143" s="437">
        <v>11490</v>
      </c>
      <c r="E143" s="437">
        <v>14480</v>
      </c>
      <c r="F143" s="437">
        <v>2070</v>
      </c>
      <c r="G143" s="437">
        <v>7390</v>
      </c>
    </row>
    <row r="144" spans="1:7" s="426" customFormat="1" ht="14.25" customHeight="1">
      <c r="A144" s="437" t="s">
        <v>273</v>
      </c>
      <c r="B144" s="437" t="s">
        <v>2548</v>
      </c>
      <c r="C144" s="437">
        <v>10720</v>
      </c>
      <c r="D144" s="437">
        <v>10680</v>
      </c>
      <c r="E144" s="437">
        <v>13480</v>
      </c>
      <c r="F144" s="437">
        <v>2440</v>
      </c>
      <c r="G144" s="437">
        <v>6870</v>
      </c>
    </row>
    <row r="145" spans="1:7" s="426" customFormat="1" ht="14.25" customHeight="1">
      <c r="A145" s="437" t="s">
        <v>273</v>
      </c>
      <c r="B145" s="437" t="s">
        <v>2558</v>
      </c>
      <c r="C145" s="437">
        <v>10340</v>
      </c>
      <c r="D145" s="437">
        <v>10290</v>
      </c>
      <c r="E145" s="437">
        <v>12880</v>
      </c>
      <c r="F145" s="437">
        <v>2650</v>
      </c>
      <c r="G145" s="437">
        <v>6620</v>
      </c>
    </row>
    <row r="146" spans="1:7" s="426" customFormat="1" ht="14.25" customHeight="1">
      <c r="A146" s="437" t="s">
        <v>273</v>
      </c>
      <c r="B146" s="437" t="s">
        <v>2568</v>
      </c>
      <c r="C146" s="437">
        <v>11890</v>
      </c>
      <c r="D146" s="437">
        <v>11830</v>
      </c>
      <c r="E146" s="437">
        <v>14670</v>
      </c>
      <c r="F146" s="437"/>
      <c r="G146" s="437">
        <v>7610</v>
      </c>
    </row>
    <row r="147" spans="1:7" s="426" customFormat="1" ht="14.25" customHeight="1">
      <c r="A147" s="437" t="s">
        <v>273</v>
      </c>
      <c r="B147" s="437" t="s">
        <v>2577</v>
      </c>
      <c r="C147" s="437">
        <v>12650</v>
      </c>
      <c r="D147" s="437">
        <v>12600</v>
      </c>
      <c r="E147" s="437">
        <v>15440</v>
      </c>
      <c r="F147" s="437"/>
      <c r="G147" s="437">
        <v>8110</v>
      </c>
    </row>
    <row r="148" spans="1:7" s="426" customFormat="1" ht="14.25" customHeight="1">
      <c r="A148" s="437" t="s">
        <v>273</v>
      </c>
      <c r="B148" s="437" t="s">
        <v>2585</v>
      </c>
      <c r="C148" s="437">
        <v>10370</v>
      </c>
      <c r="D148" s="437">
        <v>10310</v>
      </c>
      <c r="E148" s="437">
        <v>12970</v>
      </c>
      <c r="F148" s="437"/>
      <c r="G148" s="437">
        <v>6630</v>
      </c>
    </row>
    <row r="149" spans="1:7" s="426" customFormat="1" ht="14.25" customHeight="1">
      <c r="A149" s="437" t="s">
        <v>273</v>
      </c>
      <c r="B149" s="437" t="s">
        <v>2593</v>
      </c>
      <c r="C149" s="437">
        <v>11600</v>
      </c>
      <c r="D149" s="437">
        <v>11560</v>
      </c>
      <c r="E149" s="437">
        <v>14540</v>
      </c>
      <c r="F149" s="437">
        <v>2390</v>
      </c>
      <c r="G149" s="437">
        <v>7430</v>
      </c>
    </row>
    <row r="150" spans="1:7" s="426" customFormat="1" ht="14.25" customHeight="1">
      <c r="A150" s="437" t="s">
        <v>273</v>
      </c>
      <c r="B150" s="437" t="s">
        <v>2601</v>
      </c>
      <c r="C150" s="437">
        <v>9950</v>
      </c>
      <c r="D150" s="437">
        <v>9890</v>
      </c>
      <c r="E150" s="437">
        <v>12590</v>
      </c>
      <c r="F150" s="437">
        <v>1970</v>
      </c>
      <c r="G150" s="437">
        <v>6360</v>
      </c>
    </row>
    <row r="151" spans="1:7" s="426" customFormat="1" ht="14.25" customHeight="1">
      <c r="A151" s="437" t="s">
        <v>273</v>
      </c>
      <c r="B151" s="437" t="s">
        <v>2609</v>
      </c>
      <c r="C151" s="437">
        <v>10700</v>
      </c>
      <c r="D151" s="437">
        <v>10650</v>
      </c>
      <c r="E151" s="437">
        <v>13420</v>
      </c>
      <c r="F151" s="437">
        <v>2020</v>
      </c>
      <c r="G151" s="437">
        <v>6850</v>
      </c>
    </row>
    <row r="152" spans="1:7" s="426" customFormat="1" ht="14.25" customHeight="1">
      <c r="A152" s="437" t="s">
        <v>273</v>
      </c>
      <c r="B152" s="437" t="s">
        <v>2616</v>
      </c>
      <c r="C152" s="437">
        <v>10310</v>
      </c>
      <c r="D152" s="437">
        <v>10260</v>
      </c>
      <c r="E152" s="437">
        <v>12820</v>
      </c>
      <c r="F152" s="437">
        <v>1980</v>
      </c>
      <c r="G152" s="437">
        <v>6600</v>
      </c>
    </row>
    <row r="153" spans="1:7" s="426" customFormat="1" ht="14.25" customHeight="1">
      <c r="A153" s="437" t="s">
        <v>273</v>
      </c>
      <c r="B153" s="437" t="s">
        <v>2623</v>
      </c>
      <c r="C153" s="437">
        <v>10880</v>
      </c>
      <c r="D153" s="437">
        <v>10820</v>
      </c>
      <c r="E153" s="437">
        <v>13660</v>
      </c>
      <c r="F153" s="437">
        <v>2260</v>
      </c>
      <c r="G153" s="437">
        <v>6970</v>
      </c>
    </row>
    <row r="154" spans="1:7" s="426" customFormat="1" ht="14.25" customHeight="1">
      <c r="A154" s="437" t="s">
        <v>273</v>
      </c>
      <c r="B154" s="437" t="s">
        <v>2630</v>
      </c>
      <c r="C154" s="437">
        <v>11220</v>
      </c>
      <c r="D154" s="437">
        <v>11160</v>
      </c>
      <c r="E154" s="437">
        <v>14130</v>
      </c>
      <c r="F154" s="437">
        <v>2230</v>
      </c>
      <c r="G154" s="437">
        <v>7180</v>
      </c>
    </row>
    <row r="155" spans="1:7" s="426" customFormat="1" ht="14.25" customHeight="1">
      <c r="A155" s="437" t="s">
        <v>273</v>
      </c>
      <c r="B155" s="437" t="s">
        <v>2637</v>
      </c>
      <c r="C155" s="437">
        <v>10430</v>
      </c>
      <c r="D155" s="437">
        <v>10380</v>
      </c>
      <c r="E155" s="437">
        <v>13140</v>
      </c>
      <c r="F155" s="437">
        <v>2080</v>
      </c>
      <c r="G155" s="437">
        <v>6650</v>
      </c>
    </row>
    <row r="156" spans="1:7" s="426" customFormat="1" ht="14.25" customHeight="1">
      <c r="A156" s="437" t="s">
        <v>273</v>
      </c>
      <c r="B156" s="437" t="s">
        <v>2644</v>
      </c>
      <c r="C156" s="437">
        <v>10440</v>
      </c>
      <c r="D156" s="437">
        <v>10400</v>
      </c>
      <c r="E156" s="437">
        <v>13150</v>
      </c>
      <c r="F156" s="437">
        <v>2490</v>
      </c>
      <c r="G156" s="437">
        <v>6690</v>
      </c>
    </row>
    <row r="157" spans="1:7" s="426" customFormat="1" ht="14.25" customHeight="1">
      <c r="A157" s="437" t="s">
        <v>273</v>
      </c>
      <c r="B157" s="437" t="s">
        <v>2651</v>
      </c>
      <c r="C157" s="437">
        <v>10970</v>
      </c>
      <c r="D157" s="437">
        <v>10920</v>
      </c>
      <c r="E157" s="437">
        <v>13840</v>
      </c>
      <c r="F157" s="437">
        <v>2420</v>
      </c>
      <c r="G157" s="437">
        <v>7020</v>
      </c>
    </row>
    <row r="158" spans="1:7" s="426" customFormat="1" ht="14.25" customHeight="1">
      <c r="A158" s="437" t="s">
        <v>273</v>
      </c>
      <c r="B158" s="437" t="s">
        <v>2658</v>
      </c>
      <c r="C158" s="437">
        <v>9590</v>
      </c>
      <c r="D158" s="437">
        <v>9540</v>
      </c>
      <c r="E158" s="437">
        <v>12210</v>
      </c>
      <c r="F158" s="437">
        <v>2100</v>
      </c>
      <c r="G158" s="437">
        <v>6130</v>
      </c>
    </row>
    <row r="159" spans="1:7" s="426" customFormat="1" ht="14.25" customHeight="1">
      <c r="A159" s="437" t="s">
        <v>273</v>
      </c>
      <c r="B159" s="437" t="s">
        <v>2663</v>
      </c>
      <c r="C159" s="437">
        <v>11190</v>
      </c>
      <c r="D159" s="437">
        <v>11140</v>
      </c>
      <c r="E159" s="437">
        <v>14090</v>
      </c>
      <c r="F159" s="437">
        <v>2470</v>
      </c>
      <c r="G159" s="437">
        <v>7170</v>
      </c>
    </row>
    <row r="160" spans="1:7" s="426" customFormat="1" ht="14.25" customHeight="1">
      <c r="A160" s="437" t="s">
        <v>273</v>
      </c>
      <c r="B160" s="437" t="s">
        <v>2668</v>
      </c>
      <c r="C160" s="437">
        <v>11180</v>
      </c>
      <c r="D160" s="437">
        <v>11140</v>
      </c>
      <c r="E160" s="437">
        <v>14050</v>
      </c>
      <c r="F160" s="437">
        <v>2270</v>
      </c>
      <c r="G160" s="437">
        <v>7170</v>
      </c>
    </row>
    <row r="161" spans="1:7" s="426" customFormat="1" ht="14.25" customHeight="1">
      <c r="A161" s="437" t="s">
        <v>273</v>
      </c>
      <c r="B161" s="437" t="s">
        <v>2673</v>
      </c>
      <c r="C161" s="437">
        <v>11160</v>
      </c>
      <c r="D161" s="437">
        <v>11120</v>
      </c>
      <c r="E161" s="437">
        <v>14020</v>
      </c>
      <c r="F161" s="437">
        <v>2150</v>
      </c>
      <c r="G161" s="437">
        <v>7160</v>
      </c>
    </row>
    <row r="162" spans="1:7" s="426" customFormat="1" ht="14.25" customHeight="1">
      <c r="A162" s="437" t="s">
        <v>273</v>
      </c>
      <c r="B162" s="437" t="s">
        <v>2678</v>
      </c>
      <c r="C162" s="437">
        <v>9620</v>
      </c>
      <c r="D162" s="437">
        <v>9570</v>
      </c>
      <c r="E162" s="437">
        <v>12320</v>
      </c>
      <c r="F162" s="437">
        <v>2010</v>
      </c>
      <c r="G162" s="437">
        <v>6160</v>
      </c>
    </row>
    <row r="163" spans="1:7" s="426" customFormat="1" ht="14.25" customHeight="1">
      <c r="A163" s="437" t="s">
        <v>273</v>
      </c>
      <c r="B163" s="437" t="s">
        <v>2683</v>
      </c>
      <c r="C163" s="437">
        <v>9320</v>
      </c>
      <c r="D163" s="437">
        <v>9270</v>
      </c>
      <c r="E163" s="437">
        <v>11790</v>
      </c>
      <c r="F163" s="437">
        <v>1920</v>
      </c>
      <c r="G163" s="437">
        <v>5960</v>
      </c>
    </row>
    <row r="164" spans="1:7" s="426" customFormat="1" ht="14.25" customHeight="1">
      <c r="A164" s="437" t="s">
        <v>273</v>
      </c>
      <c r="B164" s="437" t="s">
        <v>2688</v>
      </c>
      <c r="C164" s="437"/>
      <c r="D164" s="437"/>
      <c r="E164" s="437"/>
      <c r="F164" s="437">
        <v>1980</v>
      </c>
      <c r="G164" s="437"/>
    </row>
    <row r="165" spans="1:7" s="426" customFormat="1" ht="14.25" customHeight="1">
      <c r="A165" s="437" t="s">
        <v>273</v>
      </c>
      <c r="B165" s="437" t="s">
        <v>2693</v>
      </c>
      <c r="C165" s="437">
        <v>11060</v>
      </c>
      <c r="D165" s="437">
        <v>11030</v>
      </c>
      <c r="E165" s="437">
        <v>13850</v>
      </c>
      <c r="F165" s="437">
        <v>2170</v>
      </c>
      <c r="G165" s="437">
        <v>7090</v>
      </c>
    </row>
    <row r="166" spans="1:7" s="426" customFormat="1" ht="14.25" customHeight="1">
      <c r="A166" s="437" t="s">
        <v>273</v>
      </c>
      <c r="B166" s="437" t="s">
        <v>2698</v>
      </c>
      <c r="C166" s="437">
        <v>11050</v>
      </c>
      <c r="D166" s="437">
        <v>11010</v>
      </c>
      <c r="E166" s="437">
        <v>13920</v>
      </c>
      <c r="F166" s="437">
        <v>2140</v>
      </c>
      <c r="G166" s="437">
        <v>7080</v>
      </c>
    </row>
    <row r="167" spans="1:7" s="426" customFormat="1" ht="14.25" customHeight="1">
      <c r="A167" s="437" t="s">
        <v>273</v>
      </c>
      <c r="B167" s="437" t="s">
        <v>2702</v>
      </c>
      <c r="C167" s="437">
        <v>10930</v>
      </c>
      <c r="D167" s="437">
        <v>10890</v>
      </c>
      <c r="E167" s="437">
        <v>13790</v>
      </c>
      <c r="F167" s="437">
        <v>2010</v>
      </c>
      <c r="G167" s="437">
        <v>7000</v>
      </c>
    </row>
    <row r="168" spans="1:7" s="426" customFormat="1" ht="14.25" customHeight="1">
      <c r="A168" s="437" t="s">
        <v>273</v>
      </c>
      <c r="B168" s="437" t="s">
        <v>2706</v>
      </c>
      <c r="C168" s="437">
        <v>9420</v>
      </c>
      <c r="D168" s="437">
        <v>9380</v>
      </c>
      <c r="E168" s="437">
        <v>11970</v>
      </c>
      <c r="F168" s="437"/>
      <c r="G168" s="437">
        <v>6040</v>
      </c>
    </row>
    <row r="169" spans="1:7" s="426" customFormat="1" ht="14.25" customHeight="1">
      <c r="A169" s="437" t="s">
        <v>273</v>
      </c>
      <c r="B169" s="437" t="s">
        <v>2710</v>
      </c>
      <c r="C169" s="437"/>
      <c r="D169" s="437"/>
      <c r="E169" s="437"/>
      <c r="F169" s="437">
        <v>2880</v>
      </c>
      <c r="G169" s="437"/>
    </row>
    <row r="170" spans="1:7" s="426" customFormat="1" ht="14.25" customHeight="1">
      <c r="A170" s="437" t="s">
        <v>273</v>
      </c>
      <c r="B170" s="437" t="s">
        <v>2714</v>
      </c>
      <c r="C170" s="437"/>
      <c r="D170" s="437"/>
      <c r="E170" s="437"/>
      <c r="F170" s="437">
        <v>2880</v>
      </c>
      <c r="G170" s="437"/>
    </row>
    <row r="171" spans="1:7" s="426" customFormat="1" ht="14.25" customHeight="1">
      <c r="A171" s="437" t="s">
        <v>273</v>
      </c>
      <c r="B171" s="437" t="s">
        <v>2717</v>
      </c>
      <c r="C171" s="437"/>
      <c r="D171" s="437"/>
      <c r="E171" s="437"/>
      <c r="F171" s="437">
        <v>2880</v>
      </c>
      <c r="G171" s="437"/>
    </row>
    <row r="172" spans="1:7" s="426" customFormat="1" ht="14.25" customHeight="1">
      <c r="A172" s="437" t="s">
        <v>273</v>
      </c>
      <c r="B172" s="437" t="s">
        <v>2719</v>
      </c>
      <c r="C172" s="437"/>
      <c r="D172" s="437"/>
      <c r="E172" s="437"/>
      <c r="F172" s="437">
        <v>2880</v>
      </c>
      <c r="G172" s="437"/>
    </row>
    <row r="173" spans="1:7" s="426" customFormat="1" ht="14.25" customHeight="1">
      <c r="A173" s="437" t="s">
        <v>273</v>
      </c>
      <c r="B173" s="437" t="s">
        <v>2721</v>
      </c>
      <c r="C173" s="437"/>
      <c r="D173" s="437"/>
      <c r="E173" s="437"/>
      <c r="F173" s="437">
        <v>2150</v>
      </c>
      <c r="G173" s="437"/>
    </row>
    <row r="174" spans="1:7" s="426" customFormat="1" ht="14.25" customHeight="1">
      <c r="A174" s="437" t="s">
        <v>273</v>
      </c>
      <c r="B174" s="437" t="s">
        <v>2723</v>
      </c>
      <c r="C174" s="437"/>
      <c r="D174" s="437"/>
      <c r="E174" s="437"/>
      <c r="F174" s="437">
        <v>2030</v>
      </c>
      <c r="G174" s="437"/>
    </row>
    <row r="175" spans="1:7" s="426" customFormat="1" ht="14.25" customHeight="1">
      <c r="A175" s="437" t="s">
        <v>273</v>
      </c>
      <c r="B175" s="437" t="s">
        <v>2725</v>
      </c>
      <c r="C175" s="437"/>
      <c r="D175" s="437"/>
      <c r="E175" s="437"/>
      <c r="F175" s="437">
        <v>2780</v>
      </c>
      <c r="G175" s="437"/>
    </row>
    <row r="176" spans="1:7" s="426" customFormat="1" ht="14.25" customHeight="1">
      <c r="A176" s="437" t="s">
        <v>273</v>
      </c>
      <c r="B176" s="437" t="s">
        <v>2727</v>
      </c>
      <c r="C176" s="437"/>
      <c r="D176" s="437"/>
      <c r="E176" s="437"/>
      <c r="F176" s="437">
        <v>2780</v>
      </c>
      <c r="G176" s="437"/>
    </row>
    <row r="177" spans="1:7" s="426" customFormat="1" ht="14.25" customHeight="1">
      <c r="A177" s="437" t="s">
        <v>273</v>
      </c>
      <c r="B177" s="437" t="s">
        <v>2729</v>
      </c>
      <c r="C177" s="437"/>
      <c r="D177" s="437"/>
      <c r="E177" s="437"/>
      <c r="F177" s="437">
        <v>2780</v>
      </c>
      <c r="G177" s="437"/>
    </row>
    <row r="178" spans="1:7" s="426" customFormat="1" ht="14.25" customHeight="1">
      <c r="A178" s="437" t="s">
        <v>273</v>
      </c>
      <c r="B178" s="437" t="s">
        <v>2730</v>
      </c>
      <c r="C178" s="437"/>
      <c r="D178" s="437"/>
      <c r="E178" s="437"/>
      <c r="F178" s="437">
        <v>2060</v>
      </c>
      <c r="G178" s="437"/>
    </row>
    <row r="179" spans="1:7" s="426" customFormat="1" ht="14.25" customHeight="1">
      <c r="A179" s="437" t="s">
        <v>273</v>
      </c>
      <c r="B179" s="437" t="s">
        <v>2731</v>
      </c>
      <c r="C179" s="437"/>
      <c r="D179" s="437"/>
      <c r="E179" s="437"/>
      <c r="F179" s="437">
        <v>2120</v>
      </c>
      <c r="G179" s="437"/>
    </row>
    <row r="180" spans="1:7" s="426" customFormat="1" ht="14.25" customHeight="1">
      <c r="A180" s="437" t="s">
        <v>273</v>
      </c>
      <c r="B180" s="437" t="s">
        <v>2732</v>
      </c>
      <c r="C180" s="437"/>
      <c r="D180" s="437"/>
      <c r="E180" s="437"/>
      <c r="F180" s="437">
        <v>2340</v>
      </c>
      <c r="G180" s="437"/>
    </row>
    <row r="181" spans="1:7" s="426" customFormat="1" ht="14.25" customHeight="1">
      <c r="A181" s="437" t="s">
        <v>273</v>
      </c>
      <c r="B181" s="437" t="s">
        <v>2733</v>
      </c>
      <c r="C181" s="437"/>
      <c r="D181" s="437"/>
      <c r="E181" s="437"/>
      <c r="F181" s="437">
        <v>2340</v>
      </c>
      <c r="G181" s="437"/>
    </row>
    <row r="182" spans="1:7" s="426" customFormat="1" ht="14.25" customHeight="1">
      <c r="A182" s="437" t="s">
        <v>273</v>
      </c>
      <c r="B182" s="437" t="s">
        <v>2734</v>
      </c>
      <c r="C182" s="437"/>
      <c r="D182" s="437"/>
      <c r="E182" s="437"/>
      <c r="F182" s="437">
        <v>2340</v>
      </c>
      <c r="G182" s="437"/>
    </row>
    <row r="183" spans="1:7" s="426" customFormat="1" ht="14.25" customHeight="1">
      <c r="A183" s="437" t="s">
        <v>273</v>
      </c>
      <c r="B183" s="437" t="s">
        <v>2735</v>
      </c>
      <c r="C183" s="437"/>
      <c r="D183" s="437"/>
      <c r="E183" s="437"/>
      <c r="F183" s="437">
        <v>2340</v>
      </c>
      <c r="G183" s="437"/>
    </row>
    <row r="184" spans="1:7" s="426" customFormat="1" ht="14.25" customHeight="1">
      <c r="A184" s="437" t="s">
        <v>273</v>
      </c>
      <c r="B184" s="437" t="s">
        <v>2736</v>
      </c>
      <c r="C184" s="437"/>
      <c r="D184" s="437"/>
      <c r="E184" s="437"/>
      <c r="F184" s="437">
        <v>2340</v>
      </c>
      <c r="G184" s="437"/>
    </row>
    <row r="185" spans="1:7" s="426" customFormat="1" ht="14.25" customHeight="1">
      <c r="A185" s="437" t="s">
        <v>273</v>
      </c>
      <c r="B185" s="437" t="s">
        <v>2737</v>
      </c>
      <c r="C185" s="437"/>
      <c r="D185" s="437"/>
      <c r="E185" s="437"/>
      <c r="F185" s="437">
        <v>2530</v>
      </c>
      <c r="G185" s="437"/>
    </row>
    <row r="186" spans="1:7" s="426" customFormat="1" ht="14.25" customHeight="1">
      <c r="A186" s="437" t="s">
        <v>273</v>
      </c>
      <c r="B186" s="437" t="s">
        <v>2738</v>
      </c>
      <c r="C186" s="437"/>
      <c r="D186" s="437"/>
      <c r="E186" s="437"/>
      <c r="F186" s="437">
        <v>2550</v>
      </c>
      <c r="G186" s="437"/>
    </row>
    <row r="187" spans="1:7" s="426" customFormat="1" ht="14.25" customHeight="1">
      <c r="A187" s="437" t="s">
        <v>273</v>
      </c>
      <c r="B187" s="437" t="s">
        <v>2739</v>
      </c>
      <c r="C187" s="437"/>
      <c r="D187" s="437"/>
      <c r="E187" s="437"/>
      <c r="F187" s="437">
        <v>2070</v>
      </c>
      <c r="G187" s="437"/>
    </row>
    <row r="188" spans="1:7" s="426" customFormat="1" ht="14.25" customHeight="1">
      <c r="A188" s="437" t="s">
        <v>273</v>
      </c>
      <c r="B188" s="437" t="s">
        <v>2740</v>
      </c>
      <c r="C188" s="437"/>
      <c r="D188" s="437"/>
      <c r="E188" s="437"/>
      <c r="F188" s="437">
        <v>2340</v>
      </c>
      <c r="G188" s="437"/>
    </row>
    <row r="189" spans="1:7" s="426" customFormat="1" ht="14.25" customHeight="1">
      <c r="A189" s="439" t="s">
        <v>273</v>
      </c>
      <c r="B189" s="443" t="s">
        <v>2741</v>
      </c>
      <c r="C189" s="443"/>
      <c r="D189" s="443"/>
      <c r="E189" s="443"/>
      <c r="F189" s="443">
        <v>2050</v>
      </c>
      <c r="G189" s="443"/>
    </row>
    <row r="190" spans="1:7" s="426" customFormat="1" ht="14.25" customHeight="1">
      <c r="A190" s="435" t="s">
        <v>278</v>
      </c>
      <c r="B190" s="436" t="s">
        <v>2366</v>
      </c>
      <c r="C190" s="436">
        <v>8830</v>
      </c>
      <c r="D190" s="436">
        <v>8790</v>
      </c>
      <c r="E190" s="436">
        <v>11630</v>
      </c>
      <c r="F190" s="436">
        <v>1790</v>
      </c>
      <c r="G190" s="444">
        <v>5550</v>
      </c>
    </row>
    <row r="191" spans="1:7" s="426" customFormat="1" ht="14.25" customHeight="1">
      <c r="A191" s="437" t="s">
        <v>278</v>
      </c>
      <c r="B191" s="437" t="s">
        <v>2379</v>
      </c>
      <c r="C191" s="437">
        <v>9780</v>
      </c>
      <c r="D191" s="437">
        <v>9710</v>
      </c>
      <c r="E191" s="437">
        <v>12550</v>
      </c>
      <c r="F191" s="437">
        <v>1980</v>
      </c>
      <c r="G191" s="445">
        <v>6130</v>
      </c>
    </row>
    <row r="192" spans="1:7" s="426" customFormat="1" ht="14.25" customHeight="1">
      <c r="A192" s="437" t="s">
        <v>278</v>
      </c>
      <c r="B192" s="437" t="s">
        <v>2393</v>
      </c>
      <c r="C192" s="437">
        <v>8180</v>
      </c>
      <c r="D192" s="437">
        <v>8140</v>
      </c>
      <c r="E192" s="437">
        <v>10870</v>
      </c>
      <c r="F192" s="437">
        <v>1690</v>
      </c>
      <c r="G192" s="445">
        <v>5140</v>
      </c>
    </row>
    <row r="193" spans="1:7" s="426" customFormat="1" ht="14.25" customHeight="1">
      <c r="A193" s="437" t="s">
        <v>278</v>
      </c>
      <c r="B193" s="437" t="s">
        <v>2405</v>
      </c>
      <c r="C193" s="437">
        <v>8440</v>
      </c>
      <c r="D193" s="437">
        <v>8390</v>
      </c>
      <c r="E193" s="437">
        <v>11210</v>
      </c>
      <c r="F193" s="437">
        <v>1600</v>
      </c>
      <c r="G193" s="445">
        <v>5300</v>
      </c>
    </row>
    <row r="194" spans="1:7" s="426" customFormat="1" ht="14.25" customHeight="1">
      <c r="A194" s="437" t="s">
        <v>278</v>
      </c>
      <c r="B194" s="437" t="s">
        <v>2417</v>
      </c>
      <c r="C194" s="437">
        <v>8780</v>
      </c>
      <c r="D194" s="437">
        <v>8730</v>
      </c>
      <c r="E194" s="437">
        <v>11550</v>
      </c>
      <c r="F194" s="437">
        <v>1660</v>
      </c>
      <c r="G194" s="445">
        <v>5520</v>
      </c>
    </row>
    <row r="195" spans="1:7" s="426" customFormat="1" ht="14.25" customHeight="1">
      <c r="A195" s="437" t="s">
        <v>278</v>
      </c>
      <c r="B195" s="437" t="s">
        <v>2428</v>
      </c>
      <c r="C195" s="437">
        <v>8720</v>
      </c>
      <c r="D195" s="437">
        <v>8670</v>
      </c>
      <c r="E195" s="437">
        <v>11450</v>
      </c>
      <c r="F195" s="437">
        <v>1720</v>
      </c>
      <c r="G195" s="445">
        <v>5480</v>
      </c>
    </row>
    <row r="196" spans="1:7" s="426" customFormat="1" ht="14.25" customHeight="1">
      <c r="A196" s="437" t="s">
        <v>278</v>
      </c>
      <c r="B196" s="437" t="s">
        <v>2439</v>
      </c>
      <c r="C196" s="437">
        <v>8460</v>
      </c>
      <c r="D196" s="437">
        <v>8410</v>
      </c>
      <c r="E196" s="437">
        <v>11230</v>
      </c>
      <c r="F196" s="437">
        <v>1730</v>
      </c>
      <c r="G196" s="445">
        <v>5310</v>
      </c>
    </row>
    <row r="197" spans="1:7" s="426" customFormat="1" ht="14.25" customHeight="1">
      <c r="A197" s="437" t="s">
        <v>278</v>
      </c>
      <c r="B197" s="437" t="s">
        <v>2450</v>
      </c>
      <c r="C197" s="437">
        <v>8790</v>
      </c>
      <c r="D197" s="437">
        <v>8730</v>
      </c>
      <c r="E197" s="437">
        <v>11560</v>
      </c>
      <c r="F197" s="437">
        <v>1750</v>
      </c>
      <c r="G197" s="445">
        <v>5520</v>
      </c>
    </row>
    <row r="198" spans="1:7" s="426" customFormat="1" ht="14.25" customHeight="1">
      <c r="A198" s="437" t="s">
        <v>278</v>
      </c>
      <c r="B198" s="437" t="s">
        <v>2460</v>
      </c>
      <c r="C198" s="437">
        <v>8720</v>
      </c>
      <c r="D198" s="437">
        <v>8680</v>
      </c>
      <c r="E198" s="437">
        <v>11470</v>
      </c>
      <c r="F198" s="437"/>
      <c r="G198" s="445">
        <v>5480</v>
      </c>
    </row>
    <row r="199" spans="1:7" s="426" customFormat="1" ht="14.25" customHeight="1">
      <c r="A199" s="437" t="s">
        <v>278</v>
      </c>
      <c r="B199" s="437" t="s">
        <v>2470</v>
      </c>
      <c r="C199" s="437">
        <v>8690</v>
      </c>
      <c r="D199" s="437">
        <v>8630</v>
      </c>
      <c r="E199" s="437">
        <v>11350</v>
      </c>
      <c r="F199" s="437">
        <v>1600</v>
      </c>
      <c r="G199" s="445">
        <v>5450</v>
      </c>
    </row>
    <row r="200" spans="1:7" s="426" customFormat="1" ht="14.25" customHeight="1">
      <c r="A200" s="437" t="s">
        <v>278</v>
      </c>
      <c r="B200" s="437" t="s">
        <v>2480</v>
      </c>
      <c r="C200" s="437"/>
      <c r="D200" s="437"/>
      <c r="E200" s="437"/>
      <c r="F200" s="437">
        <v>1510</v>
      </c>
      <c r="G200" s="445"/>
    </row>
    <row r="201" spans="1:7" s="426" customFormat="1" ht="14.25" customHeight="1">
      <c r="A201" s="437" t="s">
        <v>278</v>
      </c>
      <c r="B201" s="437" t="s">
        <v>2490</v>
      </c>
      <c r="C201" s="437">
        <v>8440</v>
      </c>
      <c r="D201" s="437">
        <v>8390</v>
      </c>
      <c r="E201" s="437">
        <v>10930</v>
      </c>
      <c r="F201" s="437">
        <v>1500</v>
      </c>
      <c r="G201" s="445">
        <v>5300</v>
      </c>
    </row>
    <row r="202" spans="1:7" s="426" customFormat="1" ht="14.25" customHeight="1">
      <c r="A202" s="437" t="s">
        <v>278</v>
      </c>
      <c r="B202" s="437" t="s">
        <v>2499</v>
      </c>
      <c r="C202" s="437">
        <v>8530</v>
      </c>
      <c r="D202" s="437">
        <v>8490</v>
      </c>
      <c r="E202" s="437">
        <v>11160</v>
      </c>
      <c r="F202" s="437">
        <v>1580</v>
      </c>
      <c r="G202" s="445">
        <v>5360</v>
      </c>
    </row>
    <row r="203" spans="1:7" s="426" customFormat="1" ht="14.25" customHeight="1">
      <c r="A203" s="437" t="s">
        <v>278</v>
      </c>
      <c r="B203" s="437" t="s">
        <v>2509</v>
      </c>
      <c r="C203" s="437">
        <v>8130</v>
      </c>
      <c r="D203" s="437">
        <v>8070</v>
      </c>
      <c r="E203" s="437">
        <v>10820</v>
      </c>
      <c r="F203" s="437">
        <v>1690</v>
      </c>
      <c r="G203" s="445">
        <v>5100</v>
      </c>
    </row>
    <row r="204" spans="1:7" s="426" customFormat="1" ht="14.25" customHeight="1">
      <c r="A204" s="437" t="s">
        <v>278</v>
      </c>
      <c r="B204" s="437" t="s">
        <v>2519</v>
      </c>
      <c r="C204" s="437">
        <v>8350</v>
      </c>
      <c r="D204" s="437">
        <v>8290</v>
      </c>
      <c r="E204" s="437">
        <v>11080</v>
      </c>
      <c r="F204" s="437">
        <v>1450</v>
      </c>
      <c r="G204" s="445">
        <v>5240</v>
      </c>
    </row>
    <row r="205" spans="1:7" s="426" customFormat="1" ht="14.25" customHeight="1">
      <c r="A205" s="437" t="s">
        <v>278</v>
      </c>
      <c r="B205" s="437" t="s">
        <v>2529</v>
      </c>
      <c r="C205" s="437">
        <v>7190</v>
      </c>
      <c r="D205" s="437">
        <v>7130</v>
      </c>
      <c r="E205" s="437">
        <v>9490</v>
      </c>
      <c r="F205" s="437">
        <v>1470</v>
      </c>
      <c r="G205" s="445">
        <v>4510</v>
      </c>
    </row>
    <row r="206" spans="1:7" s="426" customFormat="1" ht="14.25" customHeight="1">
      <c r="A206" s="437" t="s">
        <v>278</v>
      </c>
      <c r="B206" s="437" t="s">
        <v>2539</v>
      </c>
      <c r="C206" s="437">
        <v>7000</v>
      </c>
      <c r="D206" s="437">
        <v>6950</v>
      </c>
      <c r="E206" s="437">
        <v>9170</v>
      </c>
      <c r="F206" s="437">
        <v>1400</v>
      </c>
      <c r="G206" s="445">
        <v>4380</v>
      </c>
    </row>
    <row r="207" spans="1:7" s="426" customFormat="1" ht="14.25" customHeight="1">
      <c r="A207" s="437" t="s">
        <v>278</v>
      </c>
      <c r="B207" s="437" t="s">
        <v>2549</v>
      </c>
      <c r="C207" s="437">
        <v>6950</v>
      </c>
      <c r="D207" s="437">
        <v>6900</v>
      </c>
      <c r="E207" s="437">
        <v>9110</v>
      </c>
      <c r="F207" s="437">
        <v>1790</v>
      </c>
      <c r="G207" s="445">
        <v>4360</v>
      </c>
    </row>
    <row r="208" spans="1:7" s="426" customFormat="1" ht="14.25" customHeight="1">
      <c r="A208" s="437" t="s">
        <v>278</v>
      </c>
      <c r="B208" s="437" t="s">
        <v>2559</v>
      </c>
      <c r="C208" s="437">
        <v>9470</v>
      </c>
      <c r="D208" s="437">
        <v>9410</v>
      </c>
      <c r="E208" s="437">
        <v>12330</v>
      </c>
      <c r="F208" s="437">
        <v>1770</v>
      </c>
      <c r="G208" s="445">
        <v>5940</v>
      </c>
    </row>
    <row r="209" spans="1:7" s="426" customFormat="1" ht="14.25" customHeight="1">
      <c r="A209" s="437" t="s">
        <v>278</v>
      </c>
      <c r="B209" s="437" t="s">
        <v>2569</v>
      </c>
      <c r="C209" s="437">
        <v>8740</v>
      </c>
      <c r="D209" s="437">
        <v>8700</v>
      </c>
      <c r="E209" s="437">
        <v>11500</v>
      </c>
      <c r="F209" s="437">
        <v>1730</v>
      </c>
      <c r="G209" s="445">
        <v>5490</v>
      </c>
    </row>
    <row r="210" spans="1:7" s="426" customFormat="1" ht="14.25" customHeight="1">
      <c r="A210" s="437" t="s">
        <v>278</v>
      </c>
      <c r="B210" s="437" t="s">
        <v>2578</v>
      </c>
      <c r="C210" s="437">
        <v>8710</v>
      </c>
      <c r="D210" s="437">
        <v>8660</v>
      </c>
      <c r="E210" s="437">
        <v>11440</v>
      </c>
      <c r="F210" s="437">
        <v>1740</v>
      </c>
      <c r="G210" s="445">
        <v>5470</v>
      </c>
    </row>
    <row r="211" spans="1:7" s="426" customFormat="1" ht="14.25" customHeight="1">
      <c r="A211" s="437" t="s">
        <v>278</v>
      </c>
      <c r="B211" s="437" t="s">
        <v>2586</v>
      </c>
      <c r="C211" s="437">
        <v>9480</v>
      </c>
      <c r="D211" s="437">
        <v>9430</v>
      </c>
      <c r="E211" s="437">
        <v>12360</v>
      </c>
      <c r="F211" s="437">
        <v>1820</v>
      </c>
      <c r="G211" s="445">
        <v>5950</v>
      </c>
    </row>
    <row r="212" spans="1:7" s="426" customFormat="1" ht="14.25" customHeight="1">
      <c r="A212" s="437" t="s">
        <v>278</v>
      </c>
      <c r="B212" s="437" t="s">
        <v>2594</v>
      </c>
      <c r="C212" s="437">
        <v>9070</v>
      </c>
      <c r="D212" s="437">
        <v>9020</v>
      </c>
      <c r="E212" s="437">
        <v>11720</v>
      </c>
      <c r="F212" s="437">
        <v>1850</v>
      </c>
      <c r="G212" s="445">
        <v>5700</v>
      </c>
    </row>
    <row r="213" spans="1:7" s="426" customFormat="1" ht="14.25" customHeight="1">
      <c r="A213" s="437" t="s">
        <v>278</v>
      </c>
      <c r="B213" s="437" t="s">
        <v>2602</v>
      </c>
      <c r="C213" s="437">
        <v>9030</v>
      </c>
      <c r="D213" s="437">
        <v>8980</v>
      </c>
      <c r="E213" s="437">
        <v>11670</v>
      </c>
      <c r="F213" s="437">
        <v>1690</v>
      </c>
      <c r="G213" s="445">
        <v>5670</v>
      </c>
    </row>
    <row r="214" spans="1:7" s="426" customFormat="1" ht="14.25" customHeight="1">
      <c r="A214" s="437" t="s">
        <v>278</v>
      </c>
      <c r="B214" s="437" t="s">
        <v>2610</v>
      </c>
      <c r="C214" s="437">
        <v>8090</v>
      </c>
      <c r="D214" s="437">
        <v>8030</v>
      </c>
      <c r="E214" s="437">
        <v>10780</v>
      </c>
      <c r="F214" s="437">
        <v>1570</v>
      </c>
      <c r="G214" s="445">
        <v>5070</v>
      </c>
    </row>
    <row r="215" spans="1:7" s="426" customFormat="1" ht="14.25" customHeight="1">
      <c r="A215" s="437" t="s">
        <v>278</v>
      </c>
      <c r="B215" s="437" t="s">
        <v>2617</v>
      </c>
      <c r="C215" s="437">
        <v>7950</v>
      </c>
      <c r="D215" s="437">
        <v>7900</v>
      </c>
      <c r="E215" s="437">
        <v>10560</v>
      </c>
      <c r="F215" s="437">
        <v>1630</v>
      </c>
      <c r="G215" s="445">
        <v>4990</v>
      </c>
    </row>
    <row r="216" spans="1:7" s="426" customFormat="1" ht="14.25" customHeight="1">
      <c r="A216" s="437" t="s">
        <v>278</v>
      </c>
      <c r="B216" s="437" t="s">
        <v>2624</v>
      </c>
      <c r="C216" s="437">
        <v>8490</v>
      </c>
      <c r="D216" s="437">
        <v>8440</v>
      </c>
      <c r="E216" s="437">
        <v>11260</v>
      </c>
      <c r="F216" s="437">
        <v>1690</v>
      </c>
      <c r="G216" s="445">
        <v>5330</v>
      </c>
    </row>
    <row r="217" spans="1:7" s="426" customFormat="1" ht="14.25" customHeight="1">
      <c r="A217" s="437" t="s">
        <v>278</v>
      </c>
      <c r="B217" s="437" t="s">
        <v>2631</v>
      </c>
      <c r="C217" s="437">
        <v>8200</v>
      </c>
      <c r="D217" s="437">
        <v>8150</v>
      </c>
      <c r="E217" s="437">
        <v>10910</v>
      </c>
      <c r="F217" s="437">
        <v>1670</v>
      </c>
      <c r="G217" s="445">
        <v>5150</v>
      </c>
    </row>
    <row r="218" spans="1:7" s="426" customFormat="1" ht="14.25" customHeight="1">
      <c r="A218" s="437" t="s">
        <v>278</v>
      </c>
      <c r="B218" s="437" t="s">
        <v>2638</v>
      </c>
      <c r="C218" s="437"/>
      <c r="D218" s="437"/>
      <c r="E218" s="437"/>
      <c r="F218" s="437">
        <v>2040</v>
      </c>
      <c r="G218" s="445"/>
    </row>
    <row r="219" spans="1:7" s="426" customFormat="1" ht="14.25" customHeight="1">
      <c r="A219" s="437" t="s">
        <v>278</v>
      </c>
      <c r="B219" s="437" t="s">
        <v>2645</v>
      </c>
      <c r="C219" s="437"/>
      <c r="D219" s="437"/>
      <c r="E219" s="437"/>
      <c r="F219" s="437">
        <v>2040</v>
      </c>
      <c r="G219" s="445"/>
    </row>
    <row r="220" spans="1:7" s="426" customFormat="1" ht="14.25" customHeight="1">
      <c r="A220" s="437" t="s">
        <v>278</v>
      </c>
      <c r="B220" s="437" t="s">
        <v>2652</v>
      </c>
      <c r="C220" s="437"/>
      <c r="D220" s="437"/>
      <c r="E220" s="437"/>
      <c r="F220" s="437">
        <v>2040</v>
      </c>
      <c r="G220" s="445"/>
    </row>
    <row r="221" spans="1:7" s="426" customFormat="1" ht="14.25" customHeight="1">
      <c r="A221" s="437" t="s">
        <v>278</v>
      </c>
      <c r="B221" s="437" t="s">
        <v>2659</v>
      </c>
      <c r="C221" s="437"/>
      <c r="D221" s="437"/>
      <c r="E221" s="437"/>
      <c r="F221" s="437">
        <v>2040</v>
      </c>
      <c r="G221" s="445"/>
    </row>
    <row r="222" spans="1:7" s="426" customFormat="1" ht="14.25" customHeight="1">
      <c r="A222" s="437" t="s">
        <v>278</v>
      </c>
      <c r="B222" s="437" t="s">
        <v>2664</v>
      </c>
      <c r="C222" s="437"/>
      <c r="D222" s="437"/>
      <c r="E222" s="437"/>
      <c r="F222" s="437">
        <v>2040</v>
      </c>
      <c r="G222" s="445"/>
    </row>
    <row r="223" spans="1:7" s="426" customFormat="1" ht="14.25" customHeight="1">
      <c r="A223" s="437" t="s">
        <v>278</v>
      </c>
      <c r="B223" s="437" t="s">
        <v>2669</v>
      </c>
      <c r="C223" s="437"/>
      <c r="D223" s="437"/>
      <c r="E223" s="437"/>
      <c r="F223" s="437">
        <v>1930</v>
      </c>
      <c r="G223" s="445"/>
    </row>
    <row r="224" spans="1:7" s="426" customFormat="1" ht="14.25" customHeight="1">
      <c r="A224" s="437" t="s">
        <v>278</v>
      </c>
      <c r="B224" s="437" t="s">
        <v>2674</v>
      </c>
      <c r="C224" s="437"/>
      <c r="D224" s="437"/>
      <c r="E224" s="437"/>
      <c r="F224" s="437">
        <v>1930</v>
      </c>
      <c r="G224" s="445"/>
    </row>
    <row r="225" spans="1:7" s="426" customFormat="1" ht="14.25" customHeight="1">
      <c r="A225" s="437" t="s">
        <v>278</v>
      </c>
      <c r="B225" s="437" t="s">
        <v>2679</v>
      </c>
      <c r="C225" s="437"/>
      <c r="D225" s="437"/>
      <c r="E225" s="437"/>
      <c r="F225" s="437">
        <v>1930</v>
      </c>
      <c r="G225" s="445"/>
    </row>
    <row r="226" spans="1:7" s="426" customFormat="1" ht="14.25" customHeight="1">
      <c r="A226" s="437" t="s">
        <v>278</v>
      </c>
      <c r="B226" s="437" t="s">
        <v>2684</v>
      </c>
      <c r="C226" s="437"/>
      <c r="D226" s="437"/>
      <c r="E226" s="437"/>
      <c r="F226" s="437">
        <v>1700</v>
      </c>
      <c r="G226" s="445"/>
    </row>
    <row r="227" spans="1:7" s="426" customFormat="1" ht="14.25" customHeight="1">
      <c r="A227" s="437" t="s">
        <v>278</v>
      </c>
      <c r="B227" s="437" t="s">
        <v>2689</v>
      </c>
      <c r="C227" s="437"/>
      <c r="D227" s="437"/>
      <c r="E227" s="437"/>
      <c r="F227" s="437">
        <v>1520</v>
      </c>
      <c r="G227" s="445"/>
    </row>
    <row r="228" spans="1:7" s="426" customFormat="1" ht="14.25" customHeight="1">
      <c r="A228" s="437" t="s">
        <v>278</v>
      </c>
      <c r="B228" s="437" t="s">
        <v>2694</v>
      </c>
      <c r="C228" s="437"/>
      <c r="D228" s="437"/>
      <c r="E228" s="437"/>
      <c r="F228" s="437">
        <v>1520</v>
      </c>
      <c r="G228" s="445"/>
    </row>
    <row r="229" spans="1:7" s="426" customFormat="1" ht="14.25" customHeight="1">
      <c r="A229" s="437" t="s">
        <v>278</v>
      </c>
      <c r="B229" s="437" t="s">
        <v>2699</v>
      </c>
      <c r="C229" s="437"/>
      <c r="D229" s="437"/>
      <c r="E229" s="437"/>
      <c r="F229" s="437">
        <v>1520</v>
      </c>
      <c r="G229" s="445"/>
    </row>
    <row r="230" spans="1:7" s="426" customFormat="1" ht="14.25" customHeight="1">
      <c r="A230" s="437" t="s">
        <v>278</v>
      </c>
      <c r="B230" s="437" t="s">
        <v>2703</v>
      </c>
      <c r="C230" s="437"/>
      <c r="D230" s="437"/>
      <c r="E230" s="437"/>
      <c r="F230" s="437">
        <v>1820</v>
      </c>
      <c r="G230" s="445"/>
    </row>
    <row r="231" spans="1:7" s="426" customFormat="1" ht="14.25" customHeight="1">
      <c r="A231" s="437" t="s">
        <v>278</v>
      </c>
      <c r="B231" s="437" t="s">
        <v>2707</v>
      </c>
      <c r="C231" s="437"/>
      <c r="D231" s="437"/>
      <c r="E231" s="437"/>
      <c r="F231" s="437">
        <v>1760</v>
      </c>
      <c r="G231" s="445"/>
    </row>
    <row r="232" spans="1:7" s="426" customFormat="1" ht="14.25" customHeight="1">
      <c r="A232" s="437" t="s">
        <v>278</v>
      </c>
      <c r="B232" s="437" t="s">
        <v>2711</v>
      </c>
      <c r="C232" s="437"/>
      <c r="D232" s="437"/>
      <c r="E232" s="437"/>
      <c r="F232" s="437">
        <v>1840</v>
      </c>
      <c r="G232" s="445"/>
    </row>
    <row r="233" spans="1:7" s="426" customFormat="1" ht="14.25" customHeight="1">
      <c r="A233" s="446" t="s">
        <v>278</v>
      </c>
      <c r="B233" s="441" t="s">
        <v>2715</v>
      </c>
      <c r="C233" s="441"/>
      <c r="D233" s="441"/>
      <c r="E233" s="441"/>
      <c r="F233" s="441">
        <v>1770</v>
      </c>
      <c r="G233" s="447"/>
    </row>
    <row r="234" spans="1:7" s="426" customFormat="1" ht="14.25" customHeight="1">
      <c r="A234" s="435" t="s">
        <v>284</v>
      </c>
      <c r="B234" s="436" t="s">
        <v>2367</v>
      </c>
      <c r="C234" s="437">
        <v>6980</v>
      </c>
      <c r="D234" s="437">
        <v>6970</v>
      </c>
      <c r="E234" s="437">
        <v>8720</v>
      </c>
      <c r="F234" s="437">
        <v>1350</v>
      </c>
      <c r="G234" s="437">
        <v>4280</v>
      </c>
    </row>
    <row r="235" spans="1:7" s="426" customFormat="1" ht="14.25" customHeight="1">
      <c r="A235" s="437" t="s">
        <v>284</v>
      </c>
      <c r="B235" s="437" t="s">
        <v>2380</v>
      </c>
      <c r="C235" s="437">
        <v>7620</v>
      </c>
      <c r="D235" s="437">
        <v>7580</v>
      </c>
      <c r="E235" s="437">
        <v>9360</v>
      </c>
      <c r="F235" s="437">
        <v>1490</v>
      </c>
      <c r="G235" s="437">
        <v>4650</v>
      </c>
    </row>
    <row r="236" spans="1:7" s="426" customFormat="1" ht="14.25" customHeight="1">
      <c r="A236" s="437" t="s">
        <v>284</v>
      </c>
      <c r="B236" s="437" t="s">
        <v>2394</v>
      </c>
      <c r="C236" s="437">
        <v>6650</v>
      </c>
      <c r="D236" s="437">
        <v>6630</v>
      </c>
      <c r="E236" s="437">
        <v>8330</v>
      </c>
      <c r="F236" s="437">
        <v>1250</v>
      </c>
      <c r="G236" s="437">
        <v>4070</v>
      </c>
    </row>
    <row r="237" spans="1:7" s="426" customFormat="1" ht="14.25" customHeight="1">
      <c r="A237" s="437" t="s">
        <v>284</v>
      </c>
      <c r="B237" s="437" t="s">
        <v>2406</v>
      </c>
      <c r="C237" s="437">
        <v>5850</v>
      </c>
      <c r="D237" s="437">
        <v>5820</v>
      </c>
      <c r="E237" s="437">
        <v>7260</v>
      </c>
      <c r="F237" s="437">
        <v>1140</v>
      </c>
      <c r="G237" s="437">
        <v>3570</v>
      </c>
    </row>
    <row r="238" spans="1:7" s="426" customFormat="1" ht="14.25" customHeight="1">
      <c r="A238" s="437" t="s">
        <v>284</v>
      </c>
      <c r="B238" s="437" t="s">
        <v>2418</v>
      </c>
      <c r="C238" s="437">
        <v>6920</v>
      </c>
      <c r="D238" s="437">
        <v>6890</v>
      </c>
      <c r="E238" s="437">
        <v>8640</v>
      </c>
      <c r="F238" s="437">
        <v>1310</v>
      </c>
      <c r="G238" s="437">
        <v>4230</v>
      </c>
    </row>
    <row r="239" spans="1:7" s="426" customFormat="1" ht="14.25" customHeight="1">
      <c r="A239" s="437" t="s">
        <v>284</v>
      </c>
      <c r="B239" s="437" t="s">
        <v>2429</v>
      </c>
      <c r="C239" s="437">
        <v>6780</v>
      </c>
      <c r="D239" s="437">
        <v>6750</v>
      </c>
      <c r="E239" s="437">
        <v>8440</v>
      </c>
      <c r="F239" s="437">
        <v>1160</v>
      </c>
      <c r="G239" s="437">
        <v>4140</v>
      </c>
    </row>
    <row r="240" spans="1:7" s="426" customFormat="1" ht="14.25" customHeight="1">
      <c r="A240" s="437" t="s">
        <v>284</v>
      </c>
      <c r="B240" s="437" t="s">
        <v>2440</v>
      </c>
      <c r="C240" s="437">
        <v>5420</v>
      </c>
      <c r="D240" s="437">
        <v>5380</v>
      </c>
      <c r="E240" s="437">
        <v>6640</v>
      </c>
      <c r="F240" s="437">
        <v>1020</v>
      </c>
      <c r="G240" s="437">
        <v>3300</v>
      </c>
    </row>
    <row r="241" spans="1:7" s="426" customFormat="1" ht="14.25" customHeight="1">
      <c r="A241" s="437" t="s">
        <v>284</v>
      </c>
      <c r="B241" s="437" t="s">
        <v>2451</v>
      </c>
      <c r="C241" s="437">
        <v>6660</v>
      </c>
      <c r="D241" s="437">
        <v>6640</v>
      </c>
      <c r="E241" s="437">
        <v>8340</v>
      </c>
      <c r="F241" s="437">
        <v>1130</v>
      </c>
      <c r="G241" s="437">
        <v>4080</v>
      </c>
    </row>
    <row r="242" spans="1:7" s="426" customFormat="1" ht="14.25" customHeight="1">
      <c r="A242" s="437" t="s">
        <v>284</v>
      </c>
      <c r="B242" s="437" t="s">
        <v>2461</v>
      </c>
      <c r="C242" s="437">
        <v>6580</v>
      </c>
      <c r="D242" s="437">
        <v>6550</v>
      </c>
      <c r="E242" s="437">
        <v>8090</v>
      </c>
      <c r="F242" s="437">
        <v>1240</v>
      </c>
      <c r="G242" s="437">
        <v>4020</v>
      </c>
    </row>
    <row r="243" spans="1:7" s="426" customFormat="1" ht="14.25" customHeight="1">
      <c r="A243" s="437" t="s">
        <v>284</v>
      </c>
      <c r="B243" s="437" t="s">
        <v>2471</v>
      </c>
      <c r="C243" s="437">
        <v>6000</v>
      </c>
      <c r="D243" s="437">
        <v>5970</v>
      </c>
      <c r="E243" s="437">
        <v>7370</v>
      </c>
      <c r="F243" s="437">
        <v>1070</v>
      </c>
      <c r="G243" s="437">
        <v>3670</v>
      </c>
    </row>
    <row r="244" spans="1:7" s="426" customFormat="1" ht="14.25" customHeight="1">
      <c r="A244" s="437" t="s">
        <v>284</v>
      </c>
      <c r="B244" s="437" t="s">
        <v>2481</v>
      </c>
      <c r="C244" s="437">
        <v>5840</v>
      </c>
      <c r="D244" s="437">
        <v>5810</v>
      </c>
      <c r="E244" s="437">
        <v>7240</v>
      </c>
      <c r="F244" s="437">
        <v>1100</v>
      </c>
      <c r="G244" s="437">
        <v>3560</v>
      </c>
    </row>
    <row r="245" spans="1:7" s="426" customFormat="1" ht="14.25" customHeight="1">
      <c r="A245" s="437" t="s">
        <v>284</v>
      </c>
      <c r="B245" s="437" t="s">
        <v>2491</v>
      </c>
      <c r="C245" s="437">
        <v>6040</v>
      </c>
      <c r="D245" s="437">
        <v>6000</v>
      </c>
      <c r="E245" s="437">
        <v>7420</v>
      </c>
      <c r="F245" s="437">
        <v>1140</v>
      </c>
      <c r="G245" s="437">
        <v>3690</v>
      </c>
    </row>
    <row r="246" spans="1:7" s="426" customFormat="1" ht="14.25" customHeight="1">
      <c r="A246" s="437" t="s">
        <v>284</v>
      </c>
      <c r="B246" s="437" t="s">
        <v>2500</v>
      </c>
      <c r="C246" s="437">
        <v>5890</v>
      </c>
      <c r="D246" s="437">
        <v>5860</v>
      </c>
      <c r="E246" s="437">
        <v>7300</v>
      </c>
      <c r="F246" s="437">
        <v>1110</v>
      </c>
      <c r="G246" s="437">
        <v>3590</v>
      </c>
    </row>
    <row r="247" spans="1:7" s="426" customFormat="1" ht="14.25" customHeight="1">
      <c r="A247" s="437" t="s">
        <v>284</v>
      </c>
      <c r="B247" s="437" t="s">
        <v>2510</v>
      </c>
      <c r="C247" s="437">
        <v>6480</v>
      </c>
      <c r="D247" s="437">
        <v>6450</v>
      </c>
      <c r="E247" s="437">
        <v>8010</v>
      </c>
      <c r="F247" s="437">
        <v>1170</v>
      </c>
      <c r="G247" s="437">
        <v>3960</v>
      </c>
    </row>
    <row r="248" spans="1:7" s="426" customFormat="1" ht="14.25" customHeight="1">
      <c r="A248" s="437" t="s">
        <v>284</v>
      </c>
      <c r="B248" s="437" t="s">
        <v>2520</v>
      </c>
      <c r="C248" s="437">
        <v>6860</v>
      </c>
      <c r="D248" s="437">
        <v>6840</v>
      </c>
      <c r="E248" s="437">
        <v>8520</v>
      </c>
      <c r="F248" s="437">
        <v>1240</v>
      </c>
      <c r="G248" s="437">
        <v>4200</v>
      </c>
    </row>
    <row r="249" spans="1:7" s="426" customFormat="1" ht="14.25" customHeight="1">
      <c r="A249" s="437" t="s">
        <v>284</v>
      </c>
      <c r="B249" s="437" t="s">
        <v>2530</v>
      </c>
      <c r="C249" s="437">
        <v>7180</v>
      </c>
      <c r="D249" s="437">
        <v>7140</v>
      </c>
      <c r="E249" s="437">
        <v>8900</v>
      </c>
      <c r="F249" s="437">
        <v>1350</v>
      </c>
      <c r="G249" s="437">
        <v>4380</v>
      </c>
    </row>
    <row r="250" spans="1:7" s="426" customFormat="1" ht="14.25" customHeight="1">
      <c r="A250" s="437" t="s">
        <v>284</v>
      </c>
      <c r="B250" s="437" t="s">
        <v>2540</v>
      </c>
      <c r="C250" s="437">
        <v>6880</v>
      </c>
      <c r="D250" s="437">
        <v>6860</v>
      </c>
      <c r="E250" s="437">
        <v>8550</v>
      </c>
      <c r="F250" s="437">
        <v>1220</v>
      </c>
      <c r="G250" s="437">
        <v>4210</v>
      </c>
    </row>
    <row r="251" spans="1:7" s="426" customFormat="1" ht="14.25" customHeight="1">
      <c r="A251" s="437" t="s">
        <v>284</v>
      </c>
      <c r="B251" s="437" t="s">
        <v>2550</v>
      </c>
      <c r="C251" s="437"/>
      <c r="D251" s="437"/>
      <c r="E251" s="437"/>
      <c r="F251" s="437">
        <v>1100</v>
      </c>
      <c r="G251" s="437"/>
    </row>
    <row r="252" spans="1:7" s="426" customFormat="1" ht="14.25" customHeight="1">
      <c r="A252" s="437" t="s">
        <v>284</v>
      </c>
      <c r="B252" s="437" t="s">
        <v>2560</v>
      </c>
      <c r="C252" s="437">
        <v>7240</v>
      </c>
      <c r="D252" s="437">
        <v>7200</v>
      </c>
      <c r="E252" s="437">
        <v>9040</v>
      </c>
      <c r="F252" s="437">
        <v>1380</v>
      </c>
      <c r="G252" s="437">
        <v>4420</v>
      </c>
    </row>
    <row r="253" spans="1:7" s="426" customFormat="1" ht="14.25" customHeight="1">
      <c r="A253" s="437" t="s">
        <v>284</v>
      </c>
      <c r="B253" s="437" t="s">
        <v>2570</v>
      </c>
      <c r="C253" s="437">
        <v>6670</v>
      </c>
      <c r="D253" s="437">
        <v>6650</v>
      </c>
      <c r="E253" s="437">
        <v>8350</v>
      </c>
      <c r="F253" s="437">
        <v>1260</v>
      </c>
      <c r="G253" s="437">
        <v>4080</v>
      </c>
    </row>
    <row r="254" spans="1:7" s="426" customFormat="1" ht="14.25" customHeight="1">
      <c r="A254" s="437" t="s">
        <v>284</v>
      </c>
      <c r="B254" s="437" t="s">
        <v>2579</v>
      </c>
      <c r="C254" s="437">
        <v>7630</v>
      </c>
      <c r="D254" s="437">
        <v>7590</v>
      </c>
      <c r="E254" s="437">
        <v>9380</v>
      </c>
      <c r="F254" s="437">
        <v>1320</v>
      </c>
      <c r="G254" s="437">
        <v>4660</v>
      </c>
    </row>
    <row r="255" spans="1:7" s="426" customFormat="1" ht="14.25" customHeight="1">
      <c r="A255" s="437" t="s">
        <v>284</v>
      </c>
      <c r="B255" s="437" t="s">
        <v>2587</v>
      </c>
      <c r="C255" s="437">
        <v>6940</v>
      </c>
      <c r="D255" s="437">
        <v>6890</v>
      </c>
      <c r="E255" s="437">
        <v>8650</v>
      </c>
      <c r="F255" s="437">
        <v>1210</v>
      </c>
      <c r="G255" s="437">
        <v>4230</v>
      </c>
    </row>
    <row r="256" spans="1:7" s="426" customFormat="1" ht="14.25" customHeight="1">
      <c r="A256" s="437" t="s">
        <v>284</v>
      </c>
      <c r="B256" s="437" t="s">
        <v>2595</v>
      </c>
      <c r="C256" s="437">
        <v>7520</v>
      </c>
      <c r="D256" s="437">
        <v>7490</v>
      </c>
      <c r="E256" s="437">
        <v>9240</v>
      </c>
      <c r="F256" s="437">
        <v>1270</v>
      </c>
      <c r="G256" s="437">
        <v>4590</v>
      </c>
    </row>
    <row r="257" spans="1:7" s="426" customFormat="1" ht="14.25" customHeight="1">
      <c r="A257" s="437" t="s">
        <v>284</v>
      </c>
      <c r="B257" s="437" t="s">
        <v>2603</v>
      </c>
      <c r="C257" s="437">
        <v>6280</v>
      </c>
      <c r="D257" s="437">
        <v>6230</v>
      </c>
      <c r="E257" s="437">
        <v>7740</v>
      </c>
      <c r="F257" s="437">
        <v>1080</v>
      </c>
      <c r="G257" s="437">
        <v>3830</v>
      </c>
    </row>
    <row r="258" spans="1:7" s="426" customFormat="1" ht="14.25" customHeight="1">
      <c r="A258" s="437" t="s">
        <v>284</v>
      </c>
      <c r="B258" s="437" t="s">
        <v>2611</v>
      </c>
      <c r="C258" s="437">
        <v>6190</v>
      </c>
      <c r="D258" s="437">
        <v>6160</v>
      </c>
      <c r="E258" s="437">
        <v>7680</v>
      </c>
      <c r="F258" s="437">
        <v>1170</v>
      </c>
      <c r="G258" s="437">
        <v>3780</v>
      </c>
    </row>
    <row r="259" spans="1:7" s="426" customFormat="1" ht="14.25" customHeight="1">
      <c r="A259" s="437" t="s">
        <v>284</v>
      </c>
      <c r="B259" s="437" t="s">
        <v>2618</v>
      </c>
      <c r="C259" s="437">
        <v>7610</v>
      </c>
      <c r="D259" s="437">
        <v>7570</v>
      </c>
      <c r="E259" s="437">
        <v>9350</v>
      </c>
      <c r="F259" s="437">
        <v>1350</v>
      </c>
      <c r="G259" s="437">
        <v>4650</v>
      </c>
    </row>
    <row r="260" spans="1:7" s="426" customFormat="1" ht="14.25" customHeight="1">
      <c r="A260" s="437" t="s">
        <v>284</v>
      </c>
      <c r="B260" s="437" t="s">
        <v>2625</v>
      </c>
      <c r="C260" s="437">
        <v>6920</v>
      </c>
      <c r="D260" s="437">
        <v>6880</v>
      </c>
      <c r="E260" s="437">
        <v>8380</v>
      </c>
      <c r="F260" s="437">
        <v>1160</v>
      </c>
      <c r="G260" s="437">
        <v>4220</v>
      </c>
    </row>
    <row r="261" spans="1:7" s="426" customFormat="1" ht="14.25" customHeight="1">
      <c r="A261" s="437" t="s">
        <v>284</v>
      </c>
      <c r="B261" s="437" t="s">
        <v>2632</v>
      </c>
      <c r="C261" s="437">
        <v>6850</v>
      </c>
      <c r="D261" s="437">
        <v>6810</v>
      </c>
      <c r="E261" s="437">
        <v>8290</v>
      </c>
      <c r="F261" s="437">
        <v>1130</v>
      </c>
      <c r="G261" s="437">
        <v>4180</v>
      </c>
    </row>
    <row r="262" spans="1:7" s="426" customFormat="1" ht="14.25" customHeight="1">
      <c r="A262" s="437" t="s">
        <v>284</v>
      </c>
      <c r="B262" s="437" t="s">
        <v>2639</v>
      </c>
      <c r="C262" s="437">
        <v>5860</v>
      </c>
      <c r="D262" s="437">
        <v>5820</v>
      </c>
      <c r="E262" s="437">
        <v>7640</v>
      </c>
      <c r="F262" s="437">
        <v>1070</v>
      </c>
      <c r="G262" s="437">
        <v>3570</v>
      </c>
    </row>
    <row r="263" spans="1:7" s="426" customFormat="1" ht="14.25" customHeight="1">
      <c r="A263" s="437" t="s">
        <v>284</v>
      </c>
      <c r="B263" s="437" t="s">
        <v>2646</v>
      </c>
      <c r="C263" s="437">
        <v>5870</v>
      </c>
      <c r="D263" s="437">
        <v>5840</v>
      </c>
      <c r="E263" s="437">
        <v>7270</v>
      </c>
      <c r="F263" s="437">
        <v>1190</v>
      </c>
      <c r="G263" s="437">
        <v>3580</v>
      </c>
    </row>
    <row r="264" spans="1:7" s="426" customFormat="1" ht="14.25" customHeight="1">
      <c r="A264" s="437" t="s">
        <v>284</v>
      </c>
      <c r="B264" s="437" t="s">
        <v>2653</v>
      </c>
      <c r="C264" s="437">
        <v>6190</v>
      </c>
      <c r="D264" s="437">
        <v>6150</v>
      </c>
      <c r="E264" s="437">
        <v>7660</v>
      </c>
      <c r="F264" s="437">
        <v>1160</v>
      </c>
      <c r="G264" s="437">
        <v>3770</v>
      </c>
    </row>
    <row r="265" spans="1:7" s="426" customFormat="1" ht="14.25" customHeight="1">
      <c r="A265" s="437" t="s">
        <v>284</v>
      </c>
      <c r="B265" s="437" t="s">
        <v>2660</v>
      </c>
      <c r="C265" s="437"/>
      <c r="D265" s="437"/>
      <c r="E265" s="437"/>
      <c r="F265" s="437">
        <v>1500</v>
      </c>
      <c r="G265" s="437"/>
    </row>
    <row r="266" spans="1:7" s="426" customFormat="1" ht="14.25" customHeight="1">
      <c r="A266" s="437" t="s">
        <v>284</v>
      </c>
      <c r="B266" s="437" t="s">
        <v>2665</v>
      </c>
      <c r="C266" s="437"/>
      <c r="D266" s="437"/>
      <c r="E266" s="437"/>
      <c r="F266" s="437">
        <v>1500</v>
      </c>
      <c r="G266" s="437"/>
    </row>
    <row r="267" spans="1:7" s="426" customFormat="1" ht="14.25" customHeight="1">
      <c r="A267" s="437" t="s">
        <v>284</v>
      </c>
      <c r="B267" s="437" t="s">
        <v>2670</v>
      </c>
      <c r="C267" s="437"/>
      <c r="D267" s="437"/>
      <c r="E267" s="437"/>
      <c r="F267" s="437">
        <v>1500</v>
      </c>
      <c r="G267" s="437"/>
    </row>
    <row r="268" spans="1:7" s="426" customFormat="1" ht="14.25" customHeight="1">
      <c r="A268" s="437" t="s">
        <v>284</v>
      </c>
      <c r="B268" s="437" t="s">
        <v>2675</v>
      </c>
      <c r="C268" s="437"/>
      <c r="D268" s="437"/>
      <c r="E268" s="437"/>
      <c r="F268" s="437">
        <v>1290</v>
      </c>
      <c r="G268" s="437"/>
    </row>
    <row r="269" spans="1:7" s="426" customFormat="1" ht="14.25" customHeight="1">
      <c r="A269" s="437" t="s">
        <v>284</v>
      </c>
      <c r="B269" s="437" t="s">
        <v>2680</v>
      </c>
      <c r="C269" s="437"/>
      <c r="D269" s="437"/>
      <c r="E269" s="437"/>
      <c r="F269" s="437">
        <v>1150</v>
      </c>
      <c r="G269" s="437"/>
    </row>
    <row r="270" spans="1:7" s="426" customFormat="1" ht="14.25" customHeight="1">
      <c r="A270" s="437" t="s">
        <v>284</v>
      </c>
      <c r="B270" s="437" t="s">
        <v>2685</v>
      </c>
      <c r="C270" s="437"/>
      <c r="D270" s="437"/>
      <c r="E270" s="437"/>
      <c r="F270" s="437">
        <v>1380</v>
      </c>
      <c r="G270" s="437"/>
    </row>
    <row r="271" spans="1:7" s="426" customFormat="1" ht="14.25" customHeight="1">
      <c r="A271" s="437" t="s">
        <v>284</v>
      </c>
      <c r="B271" s="437" t="s">
        <v>2690</v>
      </c>
      <c r="C271" s="437"/>
      <c r="D271" s="437"/>
      <c r="E271" s="437"/>
      <c r="F271" s="437">
        <v>1460</v>
      </c>
      <c r="G271" s="437"/>
    </row>
    <row r="272" spans="1:7" s="426" customFormat="1" ht="14.25" customHeight="1">
      <c r="A272" s="437" t="s">
        <v>284</v>
      </c>
      <c r="B272" s="437" t="s">
        <v>2695</v>
      </c>
      <c r="C272" s="437"/>
      <c r="D272" s="437"/>
      <c r="E272" s="437"/>
      <c r="F272" s="437">
        <v>1460</v>
      </c>
      <c r="G272" s="437"/>
    </row>
    <row r="273" spans="1:7" s="426" customFormat="1" ht="14.25" customHeight="1">
      <c r="A273" s="437" t="s">
        <v>284</v>
      </c>
      <c r="B273" s="437" t="s">
        <v>2700</v>
      </c>
      <c r="C273" s="437"/>
      <c r="D273" s="437"/>
      <c r="E273" s="437"/>
      <c r="F273" s="437">
        <v>1490</v>
      </c>
      <c r="G273" s="437"/>
    </row>
    <row r="274" spans="1:7" s="426" customFormat="1" ht="14.25" customHeight="1">
      <c r="A274" s="437" t="s">
        <v>284</v>
      </c>
      <c r="B274" s="437" t="s">
        <v>2704</v>
      </c>
      <c r="C274" s="437"/>
      <c r="D274" s="437"/>
      <c r="E274" s="437"/>
      <c r="F274" s="437">
        <v>1490</v>
      </c>
      <c r="G274" s="437"/>
    </row>
    <row r="275" spans="1:7" s="426" customFormat="1" ht="14.25" customHeight="1">
      <c r="A275" s="437" t="s">
        <v>284</v>
      </c>
      <c r="B275" s="437" t="s">
        <v>2708</v>
      </c>
      <c r="C275" s="437"/>
      <c r="D275" s="437"/>
      <c r="E275" s="437"/>
      <c r="F275" s="437">
        <v>1220</v>
      </c>
      <c r="G275" s="437"/>
    </row>
    <row r="276" spans="1:7" s="426" customFormat="1" ht="14.25" customHeight="1">
      <c r="A276" s="439" t="s">
        <v>284</v>
      </c>
      <c r="B276" s="442" t="s">
        <v>2712</v>
      </c>
      <c r="C276" s="443"/>
      <c r="D276" s="443"/>
      <c r="E276" s="443"/>
      <c r="F276" s="443">
        <v>1380</v>
      </c>
      <c r="G276" s="443"/>
    </row>
    <row r="277" spans="1:7" s="426" customFormat="1" ht="14.25" customHeight="1">
      <c r="A277" s="435" t="s">
        <v>288</v>
      </c>
      <c r="B277" s="436" t="s">
        <v>2368</v>
      </c>
      <c r="C277" s="436">
        <v>5790</v>
      </c>
      <c r="D277" s="436">
        <v>5740</v>
      </c>
      <c r="E277" s="436">
        <v>6730</v>
      </c>
      <c r="F277" s="436">
        <v>1110</v>
      </c>
      <c r="G277" s="444">
        <v>3460</v>
      </c>
    </row>
    <row r="278" spans="1:7" s="426" customFormat="1" ht="14.25" customHeight="1">
      <c r="A278" s="437" t="s">
        <v>288</v>
      </c>
      <c r="B278" s="437" t="s">
        <v>2381</v>
      </c>
      <c r="C278" s="437">
        <v>5740</v>
      </c>
      <c r="D278" s="437">
        <v>5670</v>
      </c>
      <c r="E278" s="437">
        <v>6680</v>
      </c>
      <c r="F278" s="437">
        <v>1070</v>
      </c>
      <c r="G278" s="445">
        <v>3420</v>
      </c>
    </row>
    <row r="279" spans="1:7" s="426" customFormat="1" ht="14.25" customHeight="1">
      <c r="A279" s="437" t="s">
        <v>288</v>
      </c>
      <c r="B279" s="437" t="s">
        <v>2395</v>
      </c>
      <c r="C279" s="437">
        <v>4760</v>
      </c>
      <c r="D279" s="437">
        <v>4720</v>
      </c>
      <c r="E279" s="437">
        <v>5540</v>
      </c>
      <c r="F279" s="437">
        <v>810</v>
      </c>
      <c r="G279" s="445">
        <v>2850</v>
      </c>
    </row>
    <row r="280" spans="1:7" s="426" customFormat="1" ht="14.25" customHeight="1">
      <c r="A280" s="437" t="s">
        <v>288</v>
      </c>
      <c r="B280" s="437" t="s">
        <v>2407</v>
      </c>
      <c r="C280" s="437">
        <v>4010</v>
      </c>
      <c r="D280" s="437">
        <v>3950</v>
      </c>
      <c r="E280" s="437">
        <v>4710</v>
      </c>
      <c r="F280" s="437">
        <v>800</v>
      </c>
      <c r="G280" s="445">
        <v>2390</v>
      </c>
    </row>
    <row r="281" spans="1:7" s="426" customFormat="1" ht="14.25" customHeight="1">
      <c r="A281" s="437" t="s">
        <v>288</v>
      </c>
      <c r="B281" s="437" t="s">
        <v>2419</v>
      </c>
      <c r="C281" s="437">
        <v>4480</v>
      </c>
      <c r="D281" s="437">
        <v>4420</v>
      </c>
      <c r="E281" s="437">
        <v>5230</v>
      </c>
      <c r="F281" s="437">
        <v>870</v>
      </c>
      <c r="G281" s="445">
        <v>2660</v>
      </c>
    </row>
    <row r="282" spans="1:7" s="426" customFormat="1" ht="14.25" customHeight="1">
      <c r="A282" s="437" t="s">
        <v>288</v>
      </c>
      <c r="B282" s="437" t="s">
        <v>2430</v>
      </c>
      <c r="C282" s="437">
        <v>5360</v>
      </c>
      <c r="D282" s="437">
        <v>5300</v>
      </c>
      <c r="E282" s="437">
        <v>6190</v>
      </c>
      <c r="F282" s="437">
        <v>950</v>
      </c>
      <c r="G282" s="445">
        <v>3190</v>
      </c>
    </row>
    <row r="283" spans="1:7" s="426" customFormat="1" ht="14.25" customHeight="1">
      <c r="A283" s="437" t="s">
        <v>288</v>
      </c>
      <c r="B283" s="437" t="s">
        <v>2441</v>
      </c>
      <c r="C283" s="437">
        <v>4950</v>
      </c>
      <c r="D283" s="437">
        <v>4900</v>
      </c>
      <c r="E283" s="437">
        <v>5720</v>
      </c>
      <c r="F283" s="437">
        <v>920</v>
      </c>
      <c r="G283" s="445">
        <v>2950</v>
      </c>
    </row>
    <row r="284" spans="1:7" s="426" customFormat="1" ht="14.25" customHeight="1">
      <c r="A284" s="437" t="s">
        <v>288</v>
      </c>
      <c r="B284" s="437" t="s">
        <v>2452</v>
      </c>
      <c r="C284" s="437">
        <v>5610</v>
      </c>
      <c r="D284" s="437">
        <v>5560</v>
      </c>
      <c r="E284" s="437">
        <v>6520</v>
      </c>
      <c r="F284" s="437">
        <v>1030</v>
      </c>
      <c r="G284" s="445">
        <v>3360</v>
      </c>
    </row>
    <row r="285" spans="1:7" s="426" customFormat="1" ht="14.25" customHeight="1">
      <c r="A285" s="437" t="s">
        <v>288</v>
      </c>
      <c r="B285" s="437" t="s">
        <v>2462</v>
      </c>
      <c r="C285" s="437">
        <v>5340</v>
      </c>
      <c r="D285" s="437">
        <v>5290</v>
      </c>
      <c r="E285" s="437">
        <v>6170</v>
      </c>
      <c r="F285" s="437">
        <v>1080</v>
      </c>
      <c r="G285" s="445">
        <v>3180</v>
      </c>
    </row>
    <row r="286" spans="1:7" s="426" customFormat="1" ht="14.25" customHeight="1">
      <c r="A286" s="437" t="s">
        <v>288</v>
      </c>
      <c r="B286" s="437" t="s">
        <v>2472</v>
      </c>
      <c r="C286" s="437">
        <v>4890</v>
      </c>
      <c r="D286" s="437">
        <v>4840</v>
      </c>
      <c r="E286" s="437">
        <v>5640</v>
      </c>
      <c r="F286" s="437">
        <v>960</v>
      </c>
      <c r="G286" s="445">
        <v>2910</v>
      </c>
    </row>
    <row r="287" spans="1:7" s="426" customFormat="1" ht="14.25" customHeight="1">
      <c r="A287" s="437" t="s">
        <v>288</v>
      </c>
      <c r="B287" s="437" t="s">
        <v>2482</v>
      </c>
      <c r="C287" s="437">
        <v>4960</v>
      </c>
      <c r="D287" s="437">
        <v>4920</v>
      </c>
      <c r="E287" s="437">
        <v>5730</v>
      </c>
      <c r="F287" s="437">
        <v>930</v>
      </c>
      <c r="G287" s="445">
        <v>2960</v>
      </c>
    </row>
    <row r="288" spans="1:7" s="426" customFormat="1" ht="14.25" customHeight="1">
      <c r="A288" s="437" t="s">
        <v>288</v>
      </c>
      <c r="B288" s="437" t="s">
        <v>2492</v>
      </c>
      <c r="C288" s="437">
        <v>4350</v>
      </c>
      <c r="D288" s="437">
        <v>4300</v>
      </c>
      <c r="E288" s="437">
        <v>4900</v>
      </c>
      <c r="F288" s="437">
        <v>820</v>
      </c>
      <c r="G288" s="445">
        <v>2590</v>
      </c>
    </row>
    <row r="289" spans="1:7" s="426" customFormat="1" ht="14.25" customHeight="1">
      <c r="A289" s="437" t="s">
        <v>288</v>
      </c>
      <c r="B289" s="437" t="s">
        <v>2501</v>
      </c>
      <c r="C289" s="437">
        <v>5230</v>
      </c>
      <c r="D289" s="437">
        <v>5170</v>
      </c>
      <c r="E289" s="437">
        <v>6060</v>
      </c>
      <c r="F289" s="437">
        <v>900</v>
      </c>
      <c r="G289" s="445">
        <v>3120</v>
      </c>
    </row>
    <row r="290" spans="1:7" s="426" customFormat="1" ht="14.25" customHeight="1">
      <c r="A290" s="437" t="s">
        <v>288</v>
      </c>
      <c r="B290" s="437" t="s">
        <v>2511</v>
      </c>
      <c r="C290" s="437">
        <v>5550</v>
      </c>
      <c r="D290" s="437">
        <v>5500</v>
      </c>
      <c r="E290" s="437">
        <v>6440</v>
      </c>
      <c r="F290" s="437">
        <v>960</v>
      </c>
      <c r="G290" s="445">
        <v>3320</v>
      </c>
    </row>
    <row r="291" spans="1:7" s="426" customFormat="1" ht="14.25" customHeight="1">
      <c r="A291" s="437" t="s">
        <v>288</v>
      </c>
      <c r="B291" s="437" t="s">
        <v>2521</v>
      </c>
      <c r="C291" s="437">
        <v>5440</v>
      </c>
      <c r="D291" s="437">
        <v>5400</v>
      </c>
      <c r="E291" s="437">
        <v>6320</v>
      </c>
      <c r="F291" s="437">
        <v>930</v>
      </c>
      <c r="G291" s="445">
        <v>3250</v>
      </c>
    </row>
    <row r="292" spans="1:7" s="426" customFormat="1" ht="14.25" customHeight="1">
      <c r="A292" s="437" t="s">
        <v>288</v>
      </c>
      <c r="B292" s="437" t="s">
        <v>2531</v>
      </c>
      <c r="C292" s="437">
        <v>5400</v>
      </c>
      <c r="D292" s="437">
        <v>5360</v>
      </c>
      <c r="E292" s="437">
        <v>6270</v>
      </c>
      <c r="F292" s="437">
        <v>1040</v>
      </c>
      <c r="G292" s="445">
        <v>3230</v>
      </c>
    </row>
    <row r="293" spans="1:7" s="426" customFormat="1" ht="14.25" customHeight="1">
      <c r="A293" s="437" t="s">
        <v>288</v>
      </c>
      <c r="B293" s="437" t="s">
        <v>2541</v>
      </c>
      <c r="C293" s="437">
        <v>5320</v>
      </c>
      <c r="D293" s="437">
        <v>5270</v>
      </c>
      <c r="E293" s="437">
        <v>6160</v>
      </c>
      <c r="F293" s="437">
        <v>990</v>
      </c>
      <c r="G293" s="445">
        <v>3170</v>
      </c>
    </row>
    <row r="294" spans="1:7" s="426" customFormat="1" ht="14.25" customHeight="1">
      <c r="A294" s="437" t="s">
        <v>288</v>
      </c>
      <c r="B294" s="437" t="s">
        <v>2551</v>
      </c>
      <c r="C294" s="437">
        <v>5260</v>
      </c>
      <c r="D294" s="437">
        <v>5210</v>
      </c>
      <c r="E294" s="437">
        <v>6100</v>
      </c>
      <c r="F294" s="437">
        <v>950</v>
      </c>
      <c r="G294" s="445">
        <v>3150</v>
      </c>
    </row>
    <row r="295" spans="1:7" s="426" customFormat="1" ht="14.25" customHeight="1">
      <c r="A295" s="437" t="s">
        <v>288</v>
      </c>
      <c r="B295" s="437" t="s">
        <v>2561</v>
      </c>
      <c r="C295" s="437">
        <v>5610</v>
      </c>
      <c r="D295" s="437">
        <v>5570</v>
      </c>
      <c r="E295" s="437">
        <v>6530</v>
      </c>
      <c r="F295" s="437">
        <v>960</v>
      </c>
      <c r="G295" s="445">
        <v>3360</v>
      </c>
    </row>
    <row r="296" spans="1:7" s="426" customFormat="1" ht="14.25" customHeight="1">
      <c r="A296" s="437" t="s">
        <v>288</v>
      </c>
      <c r="B296" s="437" t="s">
        <v>2571</v>
      </c>
      <c r="C296" s="437">
        <v>5540</v>
      </c>
      <c r="D296" s="437">
        <v>5490</v>
      </c>
      <c r="E296" s="437">
        <v>6430</v>
      </c>
      <c r="F296" s="437">
        <v>980</v>
      </c>
      <c r="G296" s="445">
        <v>3310</v>
      </c>
    </row>
    <row r="297" spans="1:7" s="426" customFormat="1" ht="14.25" customHeight="1">
      <c r="A297" s="437" t="s">
        <v>288</v>
      </c>
      <c r="B297" s="437" t="s">
        <v>2580</v>
      </c>
      <c r="C297" s="437">
        <v>5480</v>
      </c>
      <c r="D297" s="437">
        <v>5420</v>
      </c>
      <c r="E297" s="437">
        <v>6370</v>
      </c>
      <c r="F297" s="437">
        <v>990</v>
      </c>
      <c r="G297" s="445">
        <v>3270</v>
      </c>
    </row>
    <row r="298" spans="1:7" s="426" customFormat="1" ht="14.25" customHeight="1">
      <c r="A298" s="437" t="s">
        <v>288</v>
      </c>
      <c r="B298" s="437" t="s">
        <v>2588</v>
      </c>
      <c r="C298" s="437">
        <v>5090</v>
      </c>
      <c r="D298" s="437">
        <v>5050</v>
      </c>
      <c r="E298" s="437">
        <v>5910</v>
      </c>
      <c r="F298" s="437">
        <v>900</v>
      </c>
      <c r="G298" s="445">
        <v>3040</v>
      </c>
    </row>
    <row r="299" spans="1:7" s="426" customFormat="1" ht="14.25" customHeight="1">
      <c r="A299" s="437" t="s">
        <v>288</v>
      </c>
      <c r="B299" s="451" t="s">
        <v>2596</v>
      </c>
      <c r="C299" s="437">
        <v>5430</v>
      </c>
      <c r="D299" s="437">
        <v>5380</v>
      </c>
      <c r="E299" s="437">
        <v>6280</v>
      </c>
      <c r="F299" s="437">
        <v>1000</v>
      </c>
      <c r="G299" s="445">
        <v>3240</v>
      </c>
    </row>
    <row r="300" spans="1:7" s="426" customFormat="1" ht="14.25" customHeight="1">
      <c r="A300" s="437" t="s">
        <v>288</v>
      </c>
      <c r="B300" s="451" t="s">
        <v>2604</v>
      </c>
      <c r="C300" s="437">
        <v>4740</v>
      </c>
      <c r="D300" s="437">
        <v>4680</v>
      </c>
      <c r="E300" s="437">
        <v>5450</v>
      </c>
      <c r="F300" s="437">
        <v>900</v>
      </c>
      <c r="G300" s="445">
        <v>2830</v>
      </c>
    </row>
    <row r="301" spans="1:7" s="426" customFormat="1" ht="14.25" customHeight="1">
      <c r="A301" s="437" t="s">
        <v>288</v>
      </c>
      <c r="B301" s="451" t="s">
        <v>2612</v>
      </c>
      <c r="C301" s="437">
        <v>4870</v>
      </c>
      <c r="D301" s="437">
        <v>4810</v>
      </c>
      <c r="E301" s="437">
        <v>5560</v>
      </c>
      <c r="F301" s="437">
        <v>990</v>
      </c>
      <c r="G301" s="445">
        <v>2910</v>
      </c>
    </row>
    <row r="302" spans="1:7" s="426" customFormat="1" ht="14.25" customHeight="1">
      <c r="A302" s="437" t="s">
        <v>288</v>
      </c>
      <c r="B302" s="437" t="s">
        <v>2619</v>
      </c>
      <c r="C302" s="437">
        <v>5520</v>
      </c>
      <c r="D302" s="437">
        <v>5470</v>
      </c>
      <c r="E302" s="437">
        <v>6410</v>
      </c>
      <c r="F302" s="437">
        <v>950</v>
      </c>
      <c r="G302" s="445">
        <v>3300</v>
      </c>
    </row>
    <row r="303" spans="1:7" s="426" customFormat="1" ht="14.25" customHeight="1">
      <c r="A303" s="437" t="s">
        <v>288</v>
      </c>
      <c r="B303" s="437" t="s">
        <v>2626</v>
      </c>
      <c r="C303" s="437">
        <v>5630</v>
      </c>
      <c r="D303" s="437">
        <v>5590</v>
      </c>
      <c r="E303" s="437">
        <v>6550</v>
      </c>
      <c r="F303" s="437">
        <v>1010</v>
      </c>
      <c r="G303" s="445">
        <v>3370</v>
      </c>
    </row>
    <row r="304" spans="1:7" s="426" customFormat="1" ht="14.25" customHeight="1">
      <c r="A304" s="437" t="s">
        <v>288</v>
      </c>
      <c r="B304" s="437" t="s">
        <v>2633</v>
      </c>
      <c r="C304" s="437">
        <v>5680</v>
      </c>
      <c r="D304" s="437">
        <v>5620</v>
      </c>
      <c r="E304" s="437">
        <v>6620</v>
      </c>
      <c r="F304" s="437">
        <v>1050</v>
      </c>
      <c r="G304" s="445">
        <v>3390</v>
      </c>
    </row>
    <row r="305" spans="1:7" s="426" customFormat="1" ht="14.25" customHeight="1">
      <c r="A305" s="437" t="s">
        <v>288</v>
      </c>
      <c r="B305" s="437" t="s">
        <v>2640</v>
      </c>
      <c r="C305" s="437">
        <v>5590</v>
      </c>
      <c r="D305" s="437">
        <v>5530</v>
      </c>
      <c r="E305" s="437">
        <v>6460</v>
      </c>
      <c r="F305" s="437">
        <v>900</v>
      </c>
      <c r="G305" s="445">
        <v>3340</v>
      </c>
    </row>
    <row r="306" spans="1:7" s="426" customFormat="1" ht="14.25" customHeight="1">
      <c r="A306" s="437" t="s">
        <v>288</v>
      </c>
      <c r="B306" s="437" t="s">
        <v>2647</v>
      </c>
      <c r="C306" s="437">
        <v>5560</v>
      </c>
      <c r="D306" s="437">
        <v>5510</v>
      </c>
      <c r="E306" s="437">
        <v>6440</v>
      </c>
      <c r="F306" s="437">
        <v>900</v>
      </c>
      <c r="G306" s="445">
        <v>3320</v>
      </c>
    </row>
    <row r="307" spans="1:7" s="426" customFormat="1" ht="14.25" customHeight="1">
      <c r="A307" s="437" t="s">
        <v>288</v>
      </c>
      <c r="B307" s="437" t="s">
        <v>2654</v>
      </c>
      <c r="C307" s="437">
        <v>5650</v>
      </c>
      <c r="D307" s="437">
        <v>5600</v>
      </c>
      <c r="E307" s="437">
        <v>6590</v>
      </c>
      <c r="F307" s="437">
        <v>930</v>
      </c>
      <c r="G307" s="445">
        <v>3380</v>
      </c>
    </row>
    <row r="308" spans="1:7" s="426" customFormat="1" ht="14.25" customHeight="1">
      <c r="A308" s="437" t="s">
        <v>288</v>
      </c>
      <c r="B308" s="437" t="s">
        <v>2661</v>
      </c>
      <c r="C308" s="437">
        <v>5620</v>
      </c>
      <c r="D308" s="437">
        <v>5580</v>
      </c>
      <c r="E308" s="437">
        <v>6540</v>
      </c>
      <c r="F308" s="437">
        <v>910</v>
      </c>
      <c r="G308" s="445">
        <v>3370</v>
      </c>
    </row>
    <row r="309" spans="1:7" s="426" customFormat="1" ht="14.25" customHeight="1">
      <c r="A309" s="437" t="s">
        <v>288</v>
      </c>
      <c r="B309" s="437" t="s">
        <v>2666</v>
      </c>
      <c r="C309" s="437">
        <v>5060</v>
      </c>
      <c r="D309" s="437">
        <v>5020</v>
      </c>
      <c r="E309" s="437">
        <v>6370</v>
      </c>
      <c r="F309" s="437">
        <v>800</v>
      </c>
      <c r="G309" s="445">
        <v>3020</v>
      </c>
    </row>
    <row r="310" spans="1:7" s="426" customFormat="1" ht="14.25" customHeight="1">
      <c r="A310" s="437" t="s">
        <v>288</v>
      </c>
      <c r="B310" s="437" t="s">
        <v>2671</v>
      </c>
      <c r="C310" s="437">
        <v>5150</v>
      </c>
      <c r="D310" s="437">
        <v>5110</v>
      </c>
      <c r="E310" s="437">
        <v>6500</v>
      </c>
      <c r="F310" s="437">
        <v>880</v>
      </c>
      <c r="G310" s="445">
        <v>3080</v>
      </c>
    </row>
    <row r="311" spans="1:7" s="426" customFormat="1" ht="14.25" customHeight="1">
      <c r="A311" s="437" t="s">
        <v>288</v>
      </c>
      <c r="B311" s="437" t="s">
        <v>2676</v>
      </c>
      <c r="C311" s="437">
        <v>4750</v>
      </c>
      <c r="D311" s="437">
        <v>4710</v>
      </c>
      <c r="E311" s="437">
        <v>5510</v>
      </c>
      <c r="F311" s="437">
        <v>880</v>
      </c>
      <c r="G311" s="445">
        <v>2840</v>
      </c>
    </row>
    <row r="312" spans="1:7" s="426" customFormat="1" ht="14.25" customHeight="1">
      <c r="A312" s="437" t="s">
        <v>288</v>
      </c>
      <c r="B312" s="437" t="s">
        <v>2681</v>
      </c>
      <c r="C312" s="437">
        <v>4690</v>
      </c>
      <c r="D312" s="437">
        <v>4640</v>
      </c>
      <c r="E312" s="437">
        <v>5420</v>
      </c>
      <c r="F312" s="437">
        <v>800</v>
      </c>
      <c r="G312" s="445">
        <v>2800</v>
      </c>
    </row>
    <row r="313" spans="1:7" s="426" customFormat="1" ht="14.25" customHeight="1">
      <c r="A313" s="437" t="s">
        <v>288</v>
      </c>
      <c r="B313" s="437" t="s">
        <v>2686</v>
      </c>
      <c r="C313" s="437">
        <v>4810</v>
      </c>
      <c r="D313" s="437">
        <v>4760</v>
      </c>
      <c r="E313" s="437">
        <v>5550</v>
      </c>
      <c r="F313" s="437">
        <v>920</v>
      </c>
      <c r="G313" s="445">
        <v>2870</v>
      </c>
    </row>
    <row r="314" spans="1:7" s="426" customFormat="1" ht="14.25" customHeight="1">
      <c r="A314" s="437" t="s">
        <v>288</v>
      </c>
      <c r="B314" s="437" t="s">
        <v>2691</v>
      </c>
      <c r="C314" s="437"/>
      <c r="D314" s="437"/>
      <c r="E314" s="437"/>
      <c r="F314" s="437">
        <v>1020</v>
      </c>
      <c r="G314" s="445"/>
    </row>
    <row r="315" spans="1:7" s="426" customFormat="1" ht="14.25" customHeight="1">
      <c r="A315" s="437" t="s">
        <v>288</v>
      </c>
      <c r="B315" s="437" t="s">
        <v>2696</v>
      </c>
      <c r="C315" s="437"/>
      <c r="D315" s="437"/>
      <c r="E315" s="437"/>
      <c r="F315" s="437">
        <v>1050</v>
      </c>
      <c r="G315" s="445"/>
    </row>
    <row r="316" spans="1:7" s="426" customFormat="1" ht="14.25" customHeight="1">
      <c r="A316" s="437" t="s">
        <v>288</v>
      </c>
      <c r="B316" s="437" t="s">
        <v>2701</v>
      </c>
      <c r="C316" s="437"/>
      <c r="D316" s="437"/>
      <c r="E316" s="437"/>
      <c r="F316" s="437">
        <v>900</v>
      </c>
      <c r="G316" s="445"/>
    </row>
    <row r="317" spans="1:7" s="426" customFormat="1" ht="14.25" customHeight="1">
      <c r="A317" s="437" t="s">
        <v>288</v>
      </c>
      <c r="B317" s="437" t="s">
        <v>2705</v>
      </c>
      <c r="C317" s="437"/>
      <c r="D317" s="437"/>
      <c r="E317" s="437"/>
      <c r="F317" s="437">
        <v>920</v>
      </c>
      <c r="G317" s="445"/>
    </row>
    <row r="318" spans="1:7" s="426" customFormat="1" ht="14.25" customHeight="1">
      <c r="A318" s="437" t="s">
        <v>288</v>
      </c>
      <c r="B318" s="437" t="s">
        <v>2709</v>
      </c>
      <c r="C318" s="437"/>
      <c r="D318" s="437"/>
      <c r="E318" s="437"/>
      <c r="F318" s="437">
        <v>1080</v>
      </c>
      <c r="G318" s="445"/>
    </row>
    <row r="319" spans="1:7" s="426" customFormat="1" ht="14.25" customHeight="1">
      <c r="A319" s="437" t="s">
        <v>288</v>
      </c>
      <c r="B319" s="437" t="s">
        <v>2713</v>
      </c>
      <c r="C319" s="437"/>
      <c r="D319" s="437"/>
      <c r="E319" s="437"/>
      <c r="F319" s="437">
        <v>1020</v>
      </c>
      <c r="G319" s="445"/>
    </row>
    <row r="320" spans="1:7" s="426" customFormat="1" ht="14.25" customHeight="1">
      <c r="A320" s="437" t="s">
        <v>288</v>
      </c>
      <c r="B320" s="437" t="s">
        <v>2716</v>
      </c>
      <c r="C320" s="437"/>
      <c r="D320" s="437"/>
      <c r="E320" s="437"/>
      <c r="F320" s="437">
        <v>1050</v>
      </c>
      <c r="G320" s="445"/>
    </row>
    <row r="321" spans="1:7" s="426" customFormat="1" ht="14.25" customHeight="1">
      <c r="A321" s="437" t="s">
        <v>288</v>
      </c>
      <c r="B321" s="437" t="s">
        <v>2718</v>
      </c>
      <c r="C321" s="437"/>
      <c r="D321" s="437"/>
      <c r="E321" s="437"/>
      <c r="F321" s="437">
        <v>960</v>
      </c>
      <c r="G321" s="445"/>
    </row>
    <row r="322" spans="1:7" s="426" customFormat="1" ht="14.25" customHeight="1">
      <c r="A322" s="437" t="s">
        <v>288</v>
      </c>
      <c r="B322" s="437" t="s">
        <v>2720</v>
      </c>
      <c r="C322" s="437"/>
      <c r="D322" s="437"/>
      <c r="E322" s="437"/>
      <c r="F322" s="437">
        <v>960</v>
      </c>
      <c r="G322" s="445"/>
    </row>
    <row r="323" spans="1:7" s="426" customFormat="1" ht="14.25" customHeight="1">
      <c r="A323" s="437" t="s">
        <v>288</v>
      </c>
      <c r="B323" s="437" t="s">
        <v>2722</v>
      </c>
      <c r="C323" s="437"/>
      <c r="D323" s="437"/>
      <c r="E323" s="437"/>
      <c r="F323" s="437">
        <v>880</v>
      </c>
      <c r="G323" s="445"/>
    </row>
    <row r="324" spans="1:7" s="426" customFormat="1" ht="14.25" customHeight="1">
      <c r="A324" s="437" t="s">
        <v>288</v>
      </c>
      <c r="B324" s="437" t="s">
        <v>2724</v>
      </c>
      <c r="C324" s="437"/>
      <c r="D324" s="437"/>
      <c r="E324" s="437"/>
      <c r="F324" s="437">
        <v>930</v>
      </c>
      <c r="G324" s="445"/>
    </row>
    <row r="325" spans="1:7" s="426" customFormat="1" ht="14.25" customHeight="1">
      <c r="A325" s="437" t="s">
        <v>288</v>
      </c>
      <c r="B325" s="438" t="s">
        <v>2726</v>
      </c>
      <c r="C325" s="437"/>
      <c r="D325" s="437"/>
      <c r="E325" s="437"/>
      <c r="F325" s="437">
        <v>900</v>
      </c>
      <c r="G325" s="445"/>
    </row>
    <row r="326" spans="1:7" s="426" customFormat="1" ht="14.25" customHeight="1">
      <c r="A326" s="446" t="s">
        <v>288</v>
      </c>
      <c r="B326" s="441" t="s">
        <v>2728</v>
      </c>
      <c r="C326" s="441"/>
      <c r="D326" s="441"/>
      <c r="E326" s="441"/>
      <c r="F326" s="441">
        <v>790</v>
      </c>
      <c r="G326" s="447"/>
    </row>
    <row r="327" spans="1:7" s="426" customFormat="1" ht="14.25" customHeight="1">
      <c r="A327" s="435" t="s">
        <v>292</v>
      </c>
      <c r="B327" s="436" t="s">
        <v>2369</v>
      </c>
      <c r="C327" s="437">
        <v>3750</v>
      </c>
      <c r="D327" s="437">
        <v>3710</v>
      </c>
      <c r="E327" s="437">
        <v>4080</v>
      </c>
      <c r="F327" s="437">
        <v>860</v>
      </c>
      <c r="G327" s="437">
        <v>2210</v>
      </c>
    </row>
    <row r="328" spans="1:7" s="426" customFormat="1" ht="14.25" customHeight="1">
      <c r="A328" s="437" t="s">
        <v>292</v>
      </c>
      <c r="B328" s="437" t="s">
        <v>2382</v>
      </c>
      <c r="C328" s="437">
        <v>3330</v>
      </c>
      <c r="D328" s="437">
        <v>3290</v>
      </c>
      <c r="E328" s="437">
        <v>3610</v>
      </c>
      <c r="F328" s="437">
        <v>850</v>
      </c>
      <c r="G328" s="437">
        <v>1960</v>
      </c>
    </row>
    <row r="329" spans="1:7" s="426" customFormat="1" ht="14.25" customHeight="1">
      <c r="A329" s="437" t="s">
        <v>292</v>
      </c>
      <c r="B329" s="437" t="s">
        <v>2396</v>
      </c>
      <c r="C329" s="437">
        <v>2730</v>
      </c>
      <c r="D329" s="437">
        <v>2690</v>
      </c>
      <c r="E329" s="437">
        <v>3100</v>
      </c>
      <c r="F329" s="437">
        <v>660</v>
      </c>
      <c r="G329" s="437">
        <v>1610</v>
      </c>
    </row>
    <row r="330" spans="1:7" s="426" customFormat="1" ht="14.25" customHeight="1">
      <c r="A330" s="437" t="s">
        <v>292</v>
      </c>
      <c r="B330" s="437" t="s">
        <v>2408</v>
      </c>
      <c r="C330" s="437">
        <v>3270</v>
      </c>
      <c r="D330" s="437">
        <v>3240</v>
      </c>
      <c r="E330" s="437">
        <v>3560</v>
      </c>
      <c r="F330" s="437">
        <v>680</v>
      </c>
      <c r="G330" s="437">
        <v>1940</v>
      </c>
    </row>
    <row r="331" spans="1:7" s="426" customFormat="1" ht="14.25" customHeight="1">
      <c r="A331" s="437" t="s">
        <v>292</v>
      </c>
      <c r="B331" s="437" t="s">
        <v>2420</v>
      </c>
      <c r="C331" s="437">
        <v>3770</v>
      </c>
      <c r="D331" s="437">
        <v>3740</v>
      </c>
      <c r="E331" s="437">
        <v>4110</v>
      </c>
      <c r="F331" s="437">
        <v>730</v>
      </c>
      <c r="G331" s="437">
        <v>2230</v>
      </c>
    </row>
    <row r="332" spans="1:7" s="426" customFormat="1" ht="14.25" customHeight="1">
      <c r="A332" s="437" t="s">
        <v>292</v>
      </c>
      <c r="B332" s="437" t="s">
        <v>2431</v>
      </c>
      <c r="C332" s="437">
        <v>3520</v>
      </c>
      <c r="D332" s="437">
        <v>3480</v>
      </c>
      <c r="E332" s="437">
        <v>3830</v>
      </c>
      <c r="F332" s="437">
        <v>720</v>
      </c>
      <c r="G332" s="437">
        <v>2090</v>
      </c>
    </row>
    <row r="333" spans="1:7" s="426" customFormat="1" ht="14.25" customHeight="1">
      <c r="A333" s="437" t="s">
        <v>292</v>
      </c>
      <c r="B333" s="437" t="s">
        <v>2442</v>
      </c>
      <c r="C333" s="437">
        <v>3840</v>
      </c>
      <c r="D333" s="437">
        <v>3800</v>
      </c>
      <c r="E333" s="437">
        <v>4200</v>
      </c>
      <c r="F333" s="437">
        <v>760</v>
      </c>
      <c r="G333" s="437">
        <v>2270</v>
      </c>
    </row>
    <row r="334" spans="1:7" s="426" customFormat="1" ht="14.25" customHeight="1">
      <c r="A334" s="437" t="s">
        <v>292</v>
      </c>
      <c r="B334" s="437" t="s">
        <v>2453</v>
      </c>
      <c r="C334" s="437">
        <v>3960</v>
      </c>
      <c r="D334" s="437">
        <v>3910</v>
      </c>
      <c r="E334" s="437">
        <v>4340</v>
      </c>
      <c r="F334" s="437">
        <v>780</v>
      </c>
      <c r="G334" s="437">
        <v>2340</v>
      </c>
    </row>
    <row r="335" spans="1:7" s="426" customFormat="1" ht="14.25" customHeight="1">
      <c r="A335" s="437" t="s">
        <v>292</v>
      </c>
      <c r="B335" s="437" t="s">
        <v>2463</v>
      </c>
      <c r="C335" s="437">
        <v>3710</v>
      </c>
      <c r="D335" s="437">
        <v>3670</v>
      </c>
      <c r="E335" s="437">
        <v>4030</v>
      </c>
      <c r="F335" s="437">
        <v>750</v>
      </c>
      <c r="G335" s="437">
        <v>2200</v>
      </c>
    </row>
    <row r="336" spans="1:7" s="426" customFormat="1" ht="14.25" customHeight="1">
      <c r="A336" s="437" t="s">
        <v>292</v>
      </c>
      <c r="B336" s="437" t="s">
        <v>2473</v>
      </c>
      <c r="C336" s="437">
        <v>3570</v>
      </c>
      <c r="D336" s="437">
        <v>3530</v>
      </c>
      <c r="E336" s="437">
        <v>3880</v>
      </c>
      <c r="F336" s="437">
        <v>770</v>
      </c>
      <c r="G336" s="437">
        <v>2110</v>
      </c>
    </row>
    <row r="337" spans="1:10" s="426" customFormat="1" ht="14.25" customHeight="1">
      <c r="A337" s="437" t="s">
        <v>292</v>
      </c>
      <c r="B337" s="437" t="s">
        <v>2483</v>
      </c>
      <c r="C337" s="437">
        <v>3780</v>
      </c>
      <c r="D337" s="437">
        <v>3750</v>
      </c>
      <c r="E337" s="437">
        <v>4130</v>
      </c>
      <c r="F337" s="437">
        <v>750</v>
      </c>
      <c r="G337" s="437">
        <v>2240</v>
      </c>
    </row>
    <row r="338" spans="1:10" s="426" customFormat="1" ht="14.25" customHeight="1">
      <c r="A338" s="437" t="s">
        <v>292</v>
      </c>
      <c r="B338" s="437" t="s">
        <v>2493</v>
      </c>
      <c r="C338" s="437">
        <v>3600</v>
      </c>
      <c r="D338" s="437">
        <v>3570</v>
      </c>
      <c r="E338" s="437">
        <v>3920</v>
      </c>
      <c r="F338" s="437">
        <v>790</v>
      </c>
      <c r="G338" s="437">
        <v>2140</v>
      </c>
    </row>
    <row r="339" spans="1:10" s="426" customFormat="1" ht="14.25" customHeight="1">
      <c r="A339" s="437" t="s">
        <v>292</v>
      </c>
      <c r="B339" s="437" t="s">
        <v>2502</v>
      </c>
      <c r="C339" s="437">
        <v>3540</v>
      </c>
      <c r="D339" s="437">
        <v>3500</v>
      </c>
      <c r="E339" s="437">
        <v>3850</v>
      </c>
      <c r="F339" s="437">
        <v>780</v>
      </c>
      <c r="G339" s="437">
        <v>2100</v>
      </c>
    </row>
    <row r="340" spans="1:10" s="426" customFormat="1" ht="14.25" customHeight="1">
      <c r="A340" s="437" t="s">
        <v>292</v>
      </c>
      <c r="B340" s="437" t="s">
        <v>2512</v>
      </c>
      <c r="C340" s="437">
        <v>3850</v>
      </c>
      <c r="D340" s="437">
        <v>3810</v>
      </c>
      <c r="E340" s="437">
        <v>4210</v>
      </c>
      <c r="F340" s="437">
        <v>750</v>
      </c>
      <c r="G340" s="437">
        <v>2280</v>
      </c>
    </row>
    <row r="341" spans="1:10" s="426" customFormat="1" ht="14.25" customHeight="1">
      <c r="A341" s="437" t="s">
        <v>292</v>
      </c>
      <c r="B341" s="437" t="s">
        <v>2522</v>
      </c>
      <c r="C341" s="437">
        <v>3780</v>
      </c>
      <c r="D341" s="437">
        <v>3750</v>
      </c>
      <c r="E341" s="437">
        <v>4140</v>
      </c>
      <c r="F341" s="437">
        <v>720</v>
      </c>
      <c r="G341" s="437">
        <v>2240</v>
      </c>
    </row>
    <row r="342" spans="1:10" s="426" customFormat="1" ht="14.25" customHeight="1">
      <c r="A342" s="437" t="s">
        <v>292</v>
      </c>
      <c r="B342" s="437" t="s">
        <v>2532</v>
      </c>
      <c r="C342" s="437">
        <v>3670</v>
      </c>
      <c r="D342" s="437">
        <v>3620</v>
      </c>
      <c r="E342" s="437">
        <v>3990</v>
      </c>
      <c r="F342" s="437">
        <v>760</v>
      </c>
      <c r="G342" s="437">
        <v>2170</v>
      </c>
    </row>
    <row r="343" spans="1:10" s="426" customFormat="1" ht="14.25" customHeight="1">
      <c r="A343" s="437" t="s">
        <v>292</v>
      </c>
      <c r="B343" s="437" t="s">
        <v>2542</v>
      </c>
      <c r="C343" s="437">
        <v>3760</v>
      </c>
      <c r="D343" s="437">
        <v>3720</v>
      </c>
      <c r="E343" s="437">
        <v>4090</v>
      </c>
      <c r="F343" s="437">
        <v>780</v>
      </c>
      <c r="G343" s="437">
        <v>2220</v>
      </c>
    </row>
    <row r="344" spans="1:10" s="426" customFormat="1" ht="14.25" customHeight="1">
      <c r="A344" s="437" t="s">
        <v>292</v>
      </c>
      <c r="B344" s="437" t="s">
        <v>2552</v>
      </c>
      <c r="C344" s="437">
        <v>3680</v>
      </c>
      <c r="D344" s="437">
        <v>3640</v>
      </c>
      <c r="E344" s="437">
        <v>4010</v>
      </c>
      <c r="F344" s="437">
        <v>750</v>
      </c>
      <c r="G344" s="437">
        <v>2180</v>
      </c>
    </row>
    <row r="345" spans="1:10">
      <c r="A345" s="437" t="s">
        <v>292</v>
      </c>
      <c r="B345" s="437" t="s">
        <v>2562</v>
      </c>
      <c r="C345" s="437">
        <v>3190</v>
      </c>
      <c r="D345" s="437">
        <v>3140</v>
      </c>
      <c r="E345" s="437">
        <v>3450</v>
      </c>
      <c r="F345" s="437">
        <v>720</v>
      </c>
      <c r="G345" s="437">
        <v>1880</v>
      </c>
      <c r="J345" s="426"/>
    </row>
    <row r="346" spans="1:10">
      <c r="A346" s="437" t="s">
        <v>292</v>
      </c>
      <c r="B346" s="437" t="s">
        <v>2572</v>
      </c>
      <c r="C346" s="437">
        <v>3630</v>
      </c>
      <c r="D346" s="437">
        <v>3590</v>
      </c>
      <c r="E346" s="437">
        <v>3940</v>
      </c>
      <c r="F346" s="437">
        <v>730</v>
      </c>
      <c r="G346" s="437">
        <v>2150</v>
      </c>
      <c r="J346" s="426"/>
    </row>
    <row r="347" spans="1:10">
      <c r="A347" s="437" t="s">
        <v>292</v>
      </c>
      <c r="B347" s="437" t="s">
        <v>2581</v>
      </c>
      <c r="C347" s="437">
        <v>3860</v>
      </c>
      <c r="D347" s="437">
        <v>3820</v>
      </c>
      <c r="E347" s="437">
        <v>4220</v>
      </c>
      <c r="F347" s="437">
        <v>750</v>
      </c>
      <c r="G347" s="437">
        <v>2280</v>
      </c>
      <c r="J347" s="426"/>
    </row>
    <row r="348" spans="1:10">
      <c r="A348" s="437" t="s">
        <v>292</v>
      </c>
      <c r="B348" s="437" t="s">
        <v>2589</v>
      </c>
      <c r="C348" s="437">
        <v>4000</v>
      </c>
      <c r="D348" s="437">
        <v>3950</v>
      </c>
      <c r="E348" s="437">
        <v>4430</v>
      </c>
      <c r="F348" s="437">
        <v>760</v>
      </c>
      <c r="G348" s="437">
        <v>2360</v>
      </c>
      <c r="J348" s="426"/>
    </row>
    <row r="349" spans="1:10">
      <c r="A349" s="437" t="s">
        <v>292</v>
      </c>
      <c r="B349" s="437" t="s">
        <v>2597</v>
      </c>
      <c r="C349" s="437">
        <v>3820</v>
      </c>
      <c r="D349" s="437">
        <v>3780</v>
      </c>
      <c r="E349" s="437">
        <v>4170</v>
      </c>
      <c r="F349" s="437">
        <v>710</v>
      </c>
      <c r="G349" s="437">
        <v>2260</v>
      </c>
      <c r="J349" s="426"/>
    </row>
    <row r="350" spans="1:10">
      <c r="A350" s="437" t="s">
        <v>292</v>
      </c>
      <c r="B350" s="437" t="s">
        <v>2605</v>
      </c>
      <c r="C350" s="437">
        <v>3760</v>
      </c>
      <c r="D350" s="437">
        <v>3730</v>
      </c>
      <c r="E350" s="437">
        <v>4100</v>
      </c>
      <c r="F350" s="437">
        <v>800</v>
      </c>
      <c r="G350" s="437">
        <v>2230</v>
      </c>
      <c r="J350" s="426"/>
    </row>
    <row r="351" spans="1:10">
      <c r="A351" s="437" t="s">
        <v>292</v>
      </c>
      <c r="B351" s="437" t="s">
        <v>2613</v>
      </c>
      <c r="C351" s="437">
        <v>3610</v>
      </c>
      <c r="D351" s="437">
        <v>3580</v>
      </c>
      <c r="E351" s="437">
        <v>3930</v>
      </c>
      <c r="F351" s="437">
        <v>700</v>
      </c>
      <c r="G351" s="437">
        <v>2140</v>
      </c>
      <c r="J351" s="426"/>
    </row>
    <row r="352" spans="1:10">
      <c r="A352" s="437" t="s">
        <v>292</v>
      </c>
      <c r="B352" s="437" t="s">
        <v>2620</v>
      </c>
      <c r="C352" s="437">
        <v>3670</v>
      </c>
      <c r="D352" s="437">
        <v>3630</v>
      </c>
      <c r="E352" s="437">
        <v>4000</v>
      </c>
      <c r="F352" s="437">
        <v>750</v>
      </c>
      <c r="G352" s="437">
        <v>2180</v>
      </c>
    </row>
    <row r="353" spans="1:7" s="427" customFormat="1">
      <c r="A353" s="437" t="s">
        <v>292</v>
      </c>
      <c r="B353" s="437" t="s">
        <v>2627</v>
      </c>
      <c r="C353" s="437">
        <v>3190</v>
      </c>
      <c r="D353" s="437">
        <v>3150</v>
      </c>
      <c r="E353" s="437">
        <v>3640</v>
      </c>
      <c r="F353" s="437">
        <v>630</v>
      </c>
      <c r="G353" s="437">
        <v>1890</v>
      </c>
    </row>
    <row r="354" spans="1:7" s="427" customFormat="1">
      <c r="A354" s="437" t="s">
        <v>292</v>
      </c>
      <c r="B354" s="437" t="s">
        <v>2634</v>
      </c>
      <c r="C354" s="437">
        <v>3450</v>
      </c>
      <c r="D354" s="437">
        <v>3420</v>
      </c>
      <c r="E354" s="437">
        <v>3960</v>
      </c>
      <c r="F354" s="437">
        <v>660</v>
      </c>
      <c r="G354" s="437">
        <v>2050</v>
      </c>
    </row>
    <row r="355" spans="1:7" s="427" customFormat="1">
      <c r="A355" s="437" t="s">
        <v>292</v>
      </c>
      <c r="B355" s="437" t="s">
        <v>2641</v>
      </c>
      <c r="C355" s="437">
        <v>3650</v>
      </c>
      <c r="D355" s="437">
        <v>3610</v>
      </c>
      <c r="E355" s="437">
        <v>4200</v>
      </c>
      <c r="F355" s="437">
        <v>640</v>
      </c>
      <c r="G355" s="437">
        <v>2160</v>
      </c>
    </row>
    <row r="356" spans="1:7" s="427" customFormat="1">
      <c r="A356" s="437" t="s">
        <v>292</v>
      </c>
      <c r="B356" s="437" t="s">
        <v>2648</v>
      </c>
      <c r="C356" s="437">
        <v>3260</v>
      </c>
      <c r="D356" s="437">
        <v>3230</v>
      </c>
      <c r="E356" s="437">
        <v>3740</v>
      </c>
      <c r="F356" s="437">
        <v>600</v>
      </c>
      <c r="G356" s="437">
        <v>1930</v>
      </c>
    </row>
    <row r="357" spans="1:7" s="427" customFormat="1">
      <c r="A357" s="439" t="s">
        <v>292</v>
      </c>
      <c r="B357" s="443" t="s">
        <v>2655</v>
      </c>
      <c r="C357" s="443">
        <v>3690</v>
      </c>
      <c r="D357" s="443">
        <v>3650</v>
      </c>
      <c r="E357" s="443">
        <v>4020</v>
      </c>
      <c r="F357" s="443">
        <v>700</v>
      </c>
      <c r="G357" s="443">
        <v>2190</v>
      </c>
    </row>
    <row r="358" spans="1:7" s="427" customFormat="1">
      <c r="A358" s="435" t="s">
        <v>296</v>
      </c>
      <c r="B358" s="436" t="s">
        <v>2370</v>
      </c>
      <c r="C358" s="436">
        <v>2080</v>
      </c>
      <c r="D358" s="436">
        <v>2040</v>
      </c>
      <c r="E358" s="436">
        <v>2010</v>
      </c>
      <c r="F358" s="436">
        <v>530</v>
      </c>
      <c r="G358" s="444">
        <v>1230</v>
      </c>
    </row>
    <row r="359" spans="1:7" s="427" customFormat="1">
      <c r="A359" s="437" t="s">
        <v>296</v>
      </c>
      <c r="B359" s="437" t="s">
        <v>2383</v>
      </c>
      <c r="C359" s="437">
        <v>1850</v>
      </c>
      <c r="D359" s="437">
        <v>1820</v>
      </c>
      <c r="E359" s="437">
        <v>1780</v>
      </c>
      <c r="F359" s="437">
        <v>520</v>
      </c>
      <c r="G359" s="445">
        <v>1100</v>
      </c>
    </row>
    <row r="360" spans="1:7" s="427" customFormat="1">
      <c r="A360" s="437" t="s">
        <v>296</v>
      </c>
      <c r="B360" s="437" t="s">
        <v>2397</v>
      </c>
      <c r="C360" s="437">
        <v>2020</v>
      </c>
      <c r="D360" s="437">
        <v>1990</v>
      </c>
      <c r="E360" s="437">
        <v>1950</v>
      </c>
      <c r="F360" s="437">
        <v>500</v>
      </c>
      <c r="G360" s="445">
        <v>1200</v>
      </c>
    </row>
    <row r="361" spans="1:7" s="427" customFormat="1">
      <c r="A361" s="437" t="s">
        <v>296</v>
      </c>
      <c r="B361" s="437" t="s">
        <v>2409</v>
      </c>
      <c r="C361" s="437">
        <v>2260</v>
      </c>
      <c r="D361" s="437">
        <v>2220</v>
      </c>
      <c r="E361" s="437">
        <v>2180</v>
      </c>
      <c r="F361" s="437">
        <v>580</v>
      </c>
      <c r="G361" s="445">
        <v>1340</v>
      </c>
    </row>
    <row r="362" spans="1:7" s="427" customFormat="1">
      <c r="A362" s="437" t="s">
        <v>296</v>
      </c>
      <c r="B362" s="437" t="s">
        <v>2421</v>
      </c>
      <c r="C362" s="437">
        <v>2650</v>
      </c>
      <c r="D362" s="437">
        <v>2610</v>
      </c>
      <c r="E362" s="437">
        <v>2570</v>
      </c>
      <c r="F362" s="437">
        <v>630</v>
      </c>
      <c r="G362" s="445">
        <v>1570</v>
      </c>
    </row>
    <row r="363" spans="1:7" s="427" customFormat="1">
      <c r="A363" s="437" t="s">
        <v>296</v>
      </c>
      <c r="B363" s="437" t="s">
        <v>2432</v>
      </c>
      <c r="C363" s="437">
        <v>2390</v>
      </c>
      <c r="D363" s="437">
        <v>2360</v>
      </c>
      <c r="E363" s="437">
        <v>2320</v>
      </c>
      <c r="F363" s="437">
        <v>600</v>
      </c>
      <c r="G363" s="445">
        <v>1420</v>
      </c>
    </row>
    <row r="364" spans="1:7" s="427" customFormat="1">
      <c r="A364" s="437" t="s">
        <v>296</v>
      </c>
      <c r="B364" s="437" t="s">
        <v>2443</v>
      </c>
      <c r="C364" s="437">
        <v>2050</v>
      </c>
      <c r="D364" s="437">
        <v>2030</v>
      </c>
      <c r="E364" s="437">
        <v>1990</v>
      </c>
      <c r="F364" s="437">
        <v>550</v>
      </c>
      <c r="G364" s="445">
        <v>1220</v>
      </c>
    </row>
    <row r="365" spans="1:7" s="427" customFormat="1">
      <c r="A365" s="437" t="s">
        <v>296</v>
      </c>
      <c r="B365" s="437" t="s">
        <v>2454</v>
      </c>
      <c r="C365" s="437">
        <v>2140</v>
      </c>
      <c r="D365" s="437">
        <v>2100</v>
      </c>
      <c r="E365" s="437">
        <v>2060</v>
      </c>
      <c r="F365" s="437">
        <v>540</v>
      </c>
      <c r="G365" s="445">
        <v>1270</v>
      </c>
    </row>
    <row r="366" spans="1:7" s="427" customFormat="1">
      <c r="A366" s="437" t="s">
        <v>296</v>
      </c>
      <c r="B366" s="437" t="s">
        <v>2464</v>
      </c>
      <c r="C366" s="437">
        <v>2410</v>
      </c>
      <c r="D366" s="437">
        <v>2370</v>
      </c>
      <c r="E366" s="437">
        <v>2330</v>
      </c>
      <c r="F366" s="437">
        <v>570</v>
      </c>
      <c r="G366" s="445">
        <v>1440</v>
      </c>
    </row>
    <row r="367" spans="1:7" s="427" customFormat="1">
      <c r="A367" s="437" t="s">
        <v>296</v>
      </c>
      <c r="B367" s="437" t="s">
        <v>2474</v>
      </c>
      <c r="C367" s="437">
        <v>2300</v>
      </c>
      <c r="D367" s="437">
        <v>2260</v>
      </c>
      <c r="E367" s="437">
        <v>2220</v>
      </c>
      <c r="F367" s="437">
        <v>560</v>
      </c>
      <c r="G367" s="445">
        <v>1370</v>
      </c>
    </row>
    <row r="368" spans="1:7" s="427" customFormat="1">
      <c r="A368" s="437" t="s">
        <v>296</v>
      </c>
      <c r="B368" s="437" t="s">
        <v>2484</v>
      </c>
      <c r="C368" s="437">
        <v>2430</v>
      </c>
      <c r="D368" s="437">
        <v>2390</v>
      </c>
      <c r="E368" s="437">
        <v>2350</v>
      </c>
      <c r="F368" s="437">
        <v>570</v>
      </c>
      <c r="G368" s="445">
        <v>1450</v>
      </c>
    </row>
    <row r="369" spans="1:7" s="427" customFormat="1">
      <c r="A369" s="437" t="s">
        <v>296</v>
      </c>
      <c r="B369" s="437" t="s">
        <v>2494</v>
      </c>
      <c r="C369" s="437">
        <v>2320</v>
      </c>
      <c r="D369" s="437">
        <v>2290</v>
      </c>
      <c r="E369" s="437">
        <v>2250</v>
      </c>
      <c r="F369" s="437">
        <v>550</v>
      </c>
      <c r="G369" s="445">
        <v>1380</v>
      </c>
    </row>
    <row r="370" spans="1:7" s="427" customFormat="1">
      <c r="A370" s="437" t="s">
        <v>296</v>
      </c>
      <c r="B370" s="437" t="s">
        <v>2503</v>
      </c>
      <c r="C370" s="437">
        <v>2190</v>
      </c>
      <c r="D370" s="437">
        <v>2170</v>
      </c>
      <c r="E370" s="437">
        <v>2130</v>
      </c>
      <c r="F370" s="437">
        <v>530</v>
      </c>
      <c r="G370" s="445">
        <v>1310</v>
      </c>
    </row>
    <row r="371" spans="1:7" s="427" customFormat="1">
      <c r="A371" s="437" t="s">
        <v>296</v>
      </c>
      <c r="B371" s="437" t="s">
        <v>2513</v>
      </c>
      <c r="C371" s="437">
        <v>2460</v>
      </c>
      <c r="D371" s="437">
        <v>2420</v>
      </c>
      <c r="E371" s="437">
        <v>2370</v>
      </c>
      <c r="F371" s="437">
        <v>560</v>
      </c>
      <c r="G371" s="445">
        <v>1470</v>
      </c>
    </row>
    <row r="372" spans="1:7" s="427" customFormat="1">
      <c r="A372" s="437" t="s">
        <v>296</v>
      </c>
      <c r="B372" s="437" t="s">
        <v>2523</v>
      </c>
      <c r="C372" s="437">
        <v>2250</v>
      </c>
      <c r="D372" s="437">
        <v>2210</v>
      </c>
      <c r="E372" s="437">
        <v>2180</v>
      </c>
      <c r="F372" s="437">
        <v>550</v>
      </c>
      <c r="G372" s="445">
        <v>1340</v>
      </c>
    </row>
    <row r="373" spans="1:7" s="427" customFormat="1">
      <c r="A373" s="437" t="s">
        <v>296</v>
      </c>
      <c r="B373" s="437" t="s">
        <v>2533</v>
      </c>
      <c r="C373" s="437">
        <v>2210</v>
      </c>
      <c r="D373" s="437">
        <v>2190</v>
      </c>
      <c r="E373" s="437">
        <v>2150</v>
      </c>
      <c r="F373" s="437">
        <v>530</v>
      </c>
      <c r="G373" s="445">
        <v>1320</v>
      </c>
    </row>
    <row r="374" spans="1:7" s="427" customFormat="1">
      <c r="A374" s="437" t="s">
        <v>296</v>
      </c>
      <c r="B374" s="437" t="s">
        <v>2543</v>
      </c>
      <c r="C374" s="437">
        <v>2320</v>
      </c>
      <c r="D374" s="437">
        <v>2280</v>
      </c>
      <c r="E374" s="437">
        <v>2230</v>
      </c>
      <c r="F374" s="437">
        <v>580</v>
      </c>
      <c r="G374" s="445">
        <v>1380</v>
      </c>
    </row>
    <row r="375" spans="1:7" s="427" customFormat="1">
      <c r="A375" s="437" t="s">
        <v>296</v>
      </c>
      <c r="B375" s="437" t="s">
        <v>2553</v>
      </c>
      <c r="C375" s="437">
        <v>2090</v>
      </c>
      <c r="D375" s="437">
        <v>2050</v>
      </c>
      <c r="E375" s="437">
        <v>2020</v>
      </c>
      <c r="F375" s="437">
        <v>520</v>
      </c>
      <c r="G375" s="445">
        <v>1240</v>
      </c>
    </row>
    <row r="376" spans="1:7" s="427" customFormat="1">
      <c r="A376" s="437" t="s">
        <v>296</v>
      </c>
      <c r="B376" s="437" t="s">
        <v>2563</v>
      </c>
      <c r="C376" s="437">
        <v>2010</v>
      </c>
      <c r="D376" s="437">
        <v>1980</v>
      </c>
      <c r="E376" s="437">
        <v>1940</v>
      </c>
      <c r="F376" s="437">
        <v>540</v>
      </c>
      <c r="G376" s="445">
        <v>1190</v>
      </c>
    </row>
    <row r="377" spans="1:7" s="427" customFormat="1">
      <c r="A377" s="439" t="s">
        <v>296</v>
      </c>
      <c r="B377" s="443" t="s">
        <v>2573</v>
      </c>
      <c r="C377" s="443">
        <v>1930</v>
      </c>
      <c r="D377" s="443">
        <v>1890</v>
      </c>
      <c r="E377" s="443">
        <v>1860</v>
      </c>
      <c r="F377" s="443">
        <v>530</v>
      </c>
      <c r="G377" s="452">
        <v>1150</v>
      </c>
    </row>
    <row r="378" spans="1:7" s="427" customFormat="1">
      <c r="A378" s="453" t="s">
        <v>300</v>
      </c>
      <c r="B378" s="436" t="s">
        <v>2371</v>
      </c>
      <c r="C378" s="436">
        <v>1520</v>
      </c>
      <c r="D378" s="436">
        <v>1490</v>
      </c>
      <c r="E378" s="436">
        <v>1460</v>
      </c>
      <c r="F378" s="436">
        <v>460</v>
      </c>
      <c r="G378" s="444">
        <v>940</v>
      </c>
    </row>
    <row r="379" spans="1:7" s="427" customFormat="1">
      <c r="A379" s="454" t="s">
        <v>300</v>
      </c>
      <c r="B379" s="437" t="s">
        <v>2384</v>
      </c>
      <c r="C379" s="437">
        <v>1500</v>
      </c>
      <c r="D379" s="437">
        <v>1470</v>
      </c>
      <c r="E379" s="437">
        <v>1430</v>
      </c>
      <c r="F379" s="437">
        <v>460</v>
      </c>
      <c r="G379" s="445">
        <v>920</v>
      </c>
    </row>
    <row r="380" spans="1:7" s="427" customFormat="1">
      <c r="A380" s="454" t="s">
        <v>300</v>
      </c>
      <c r="B380" s="437" t="s">
        <v>2398</v>
      </c>
      <c r="C380" s="437">
        <v>1620</v>
      </c>
      <c r="D380" s="437">
        <v>1590</v>
      </c>
      <c r="E380" s="437">
        <v>1560</v>
      </c>
      <c r="F380" s="437">
        <v>480</v>
      </c>
      <c r="G380" s="445">
        <v>1000</v>
      </c>
    </row>
    <row r="381" spans="1:7" s="427" customFormat="1">
      <c r="A381" s="454" t="s">
        <v>300</v>
      </c>
      <c r="B381" s="437" t="s">
        <v>2410</v>
      </c>
      <c r="C381" s="437">
        <v>1460</v>
      </c>
      <c r="D381" s="437">
        <v>1430</v>
      </c>
      <c r="E381" s="437">
        <v>1390</v>
      </c>
      <c r="F381" s="437">
        <v>450</v>
      </c>
      <c r="G381" s="445">
        <v>900</v>
      </c>
    </row>
    <row r="382" spans="1:7" s="427" customFormat="1">
      <c r="A382" s="454" t="s">
        <v>300</v>
      </c>
      <c r="B382" s="437" t="s">
        <v>2422</v>
      </c>
      <c r="C382" s="437">
        <v>1310</v>
      </c>
      <c r="D382" s="437">
        <v>1280</v>
      </c>
      <c r="E382" s="437">
        <v>1250</v>
      </c>
      <c r="F382" s="437">
        <v>440</v>
      </c>
      <c r="G382" s="445">
        <v>800</v>
      </c>
    </row>
    <row r="383" spans="1:7" s="427" customFormat="1">
      <c r="A383" s="454" t="s">
        <v>300</v>
      </c>
      <c r="B383" s="437" t="s">
        <v>2433</v>
      </c>
      <c r="C383" s="437">
        <v>1260</v>
      </c>
      <c r="D383" s="437">
        <v>1230</v>
      </c>
      <c r="E383" s="437">
        <v>1200</v>
      </c>
      <c r="F383" s="437">
        <v>420</v>
      </c>
      <c r="G383" s="445">
        <v>770</v>
      </c>
    </row>
    <row r="384" spans="1:7" s="427" customFormat="1">
      <c r="A384" s="455" t="s">
        <v>300</v>
      </c>
      <c r="B384" s="441" t="s">
        <v>2444</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88" customWidth="1"/>
    <col min="2" max="2" width="20" style="388" customWidth="1"/>
    <col min="3" max="7" width="8.88671875" style="389"/>
    <col min="8" max="16384" width="8.88671875" style="390"/>
  </cols>
  <sheetData>
    <row r="1" spans="1:7">
      <c r="A1" s="3947" t="s">
        <v>2742</v>
      </c>
      <c r="B1" s="3947"/>
    </row>
    <row r="2" spans="1:7">
      <c r="A2" s="391"/>
      <c r="B2" s="391"/>
    </row>
    <row r="3" spans="1:7">
      <c r="A3" s="391"/>
      <c r="B3" s="391"/>
      <c r="C3" s="392" t="s">
        <v>549</v>
      </c>
      <c r="D3" s="392" t="s">
        <v>1166</v>
      </c>
      <c r="E3" s="392" t="s">
        <v>413</v>
      </c>
      <c r="F3" s="392" t="s">
        <v>409</v>
      </c>
      <c r="G3" s="392" t="s">
        <v>280</v>
      </c>
    </row>
    <row r="4" spans="1:7">
      <c r="A4" s="393" t="s">
        <v>2372</v>
      </c>
      <c r="B4" s="394" t="s">
        <v>2385</v>
      </c>
      <c r="C4" s="392"/>
      <c r="D4" s="392"/>
      <c r="E4" s="392"/>
      <c r="F4" s="392"/>
      <c r="G4" s="392"/>
    </row>
    <row r="5" spans="1:7">
      <c r="A5" s="395" t="s">
        <v>230</v>
      </c>
      <c r="B5" s="396" t="s">
        <v>2360</v>
      </c>
      <c r="C5" s="397">
        <v>9.8000000000000004E-2</v>
      </c>
      <c r="D5" s="397">
        <v>8.6999999999999994E-2</v>
      </c>
      <c r="E5" s="397">
        <v>8.6999999999999994E-2</v>
      </c>
      <c r="F5" s="397">
        <v>9.8000000000000004E-2</v>
      </c>
      <c r="G5" s="398">
        <v>9.5000000000000001E-2</v>
      </c>
    </row>
    <row r="6" spans="1:7">
      <c r="A6" s="399" t="s">
        <v>230</v>
      </c>
      <c r="B6" s="400" t="s">
        <v>2373</v>
      </c>
      <c r="C6" s="401">
        <v>9.8000000000000004E-2</v>
      </c>
      <c r="D6" s="401">
        <v>9.8000000000000004E-2</v>
      </c>
      <c r="E6" s="401">
        <v>9.8000000000000004E-2</v>
      </c>
      <c r="F6" s="401">
        <v>0.1</v>
      </c>
      <c r="G6" s="402">
        <v>9.9000000000000005E-2</v>
      </c>
    </row>
    <row r="7" spans="1:7">
      <c r="A7" s="399" t="s">
        <v>230</v>
      </c>
      <c r="B7" s="400" t="s">
        <v>2387</v>
      </c>
      <c r="C7" s="401">
        <v>9.7000000000000003E-2</v>
      </c>
      <c r="D7" s="401">
        <v>9.7000000000000003E-2</v>
      </c>
      <c r="E7" s="401">
        <v>9.6000000000000002E-2</v>
      </c>
      <c r="F7" s="401">
        <v>0.1</v>
      </c>
      <c r="G7" s="402">
        <v>9.8000000000000004E-2</v>
      </c>
    </row>
    <row r="8" spans="1:7">
      <c r="A8" s="399" t="s">
        <v>230</v>
      </c>
      <c r="B8" s="400" t="s">
        <v>2399</v>
      </c>
      <c r="C8" s="401">
        <v>8.1000000000000003E-2</v>
      </c>
      <c r="D8" s="401">
        <v>8.2000000000000003E-2</v>
      </c>
      <c r="E8" s="401">
        <v>7.0000000000000007E-2</v>
      </c>
      <c r="F8" s="401">
        <v>9.6000000000000002E-2</v>
      </c>
      <c r="G8" s="402">
        <v>8.8999999999999996E-2</v>
      </c>
    </row>
    <row r="9" spans="1:7">
      <c r="A9" s="403" t="s">
        <v>230</v>
      </c>
      <c r="B9" s="404" t="s">
        <v>2411</v>
      </c>
      <c r="C9" s="405">
        <v>0.1</v>
      </c>
      <c r="D9" s="405">
        <v>0.1</v>
      </c>
      <c r="E9" s="405">
        <v>0.1</v>
      </c>
      <c r="F9" s="406"/>
      <c r="G9" s="407">
        <v>0.1</v>
      </c>
    </row>
    <row r="10" spans="1:7">
      <c r="A10" s="395" t="s">
        <v>241</v>
      </c>
      <c r="B10" s="396" t="s">
        <v>2361</v>
      </c>
      <c r="C10" s="397">
        <v>6.7000000000000004E-2</v>
      </c>
      <c r="D10" s="397">
        <v>7.9000000000000001E-2</v>
      </c>
      <c r="E10" s="397">
        <v>7.9000000000000001E-2</v>
      </c>
      <c r="F10" s="397">
        <v>0.1</v>
      </c>
      <c r="G10" s="398">
        <v>9.0999999999999998E-2</v>
      </c>
    </row>
    <row r="11" spans="1:7">
      <c r="A11" s="399" t="s">
        <v>241</v>
      </c>
      <c r="B11" s="400" t="s">
        <v>2374</v>
      </c>
      <c r="C11" s="401">
        <v>0.05</v>
      </c>
      <c r="D11" s="401">
        <v>5.2999999999999999E-2</v>
      </c>
      <c r="E11" s="401">
        <v>6.3E-2</v>
      </c>
      <c r="F11" s="401">
        <v>0.1</v>
      </c>
      <c r="G11" s="402">
        <v>7.1999999999999995E-2</v>
      </c>
    </row>
    <row r="12" spans="1:7">
      <c r="A12" s="399" t="s">
        <v>241</v>
      </c>
      <c r="B12" s="400" t="s">
        <v>2388</v>
      </c>
      <c r="C12" s="401">
        <v>5.2999999999999999E-2</v>
      </c>
      <c r="D12" s="401">
        <v>0.09</v>
      </c>
      <c r="E12" s="401">
        <v>7.1999999999999995E-2</v>
      </c>
      <c r="F12" s="401">
        <v>0.1</v>
      </c>
      <c r="G12" s="402">
        <v>9.7000000000000003E-2</v>
      </c>
    </row>
    <row r="13" spans="1:7">
      <c r="A13" s="399" t="s">
        <v>241</v>
      </c>
      <c r="B13" s="400" t="s">
        <v>2400</v>
      </c>
      <c r="C13" s="401">
        <v>9.7000000000000003E-2</v>
      </c>
      <c r="D13" s="401">
        <v>9.1999999999999998E-2</v>
      </c>
      <c r="E13" s="401">
        <v>9.5000000000000001E-2</v>
      </c>
      <c r="F13" s="401">
        <v>0.1</v>
      </c>
      <c r="G13" s="402">
        <v>9.7000000000000003E-2</v>
      </c>
    </row>
    <row r="14" spans="1:7">
      <c r="A14" s="399" t="s">
        <v>241</v>
      </c>
      <c r="B14" s="400" t="s">
        <v>2412</v>
      </c>
      <c r="C14" s="401">
        <v>9.7000000000000003E-2</v>
      </c>
      <c r="D14" s="401">
        <v>9.7000000000000003E-2</v>
      </c>
      <c r="E14" s="401">
        <v>9.7000000000000003E-2</v>
      </c>
      <c r="F14" s="401">
        <v>0.1</v>
      </c>
      <c r="G14" s="402">
        <v>9.8000000000000004E-2</v>
      </c>
    </row>
    <row r="15" spans="1:7">
      <c r="A15" s="399" t="s">
        <v>241</v>
      </c>
      <c r="B15" s="400" t="s">
        <v>2423</v>
      </c>
      <c r="C15" s="401">
        <v>9.8000000000000004E-2</v>
      </c>
      <c r="D15" s="401">
        <v>9.0999999999999998E-2</v>
      </c>
      <c r="E15" s="401">
        <v>0.06</v>
      </c>
      <c r="F15" s="401">
        <v>0.1</v>
      </c>
      <c r="G15" s="402">
        <v>9.7000000000000003E-2</v>
      </c>
    </row>
    <row r="16" spans="1:7">
      <c r="A16" s="399" t="s">
        <v>241</v>
      </c>
      <c r="B16" s="400" t="s">
        <v>2434</v>
      </c>
      <c r="C16" s="401">
        <v>9.8000000000000004E-2</v>
      </c>
      <c r="D16" s="401">
        <v>9.7000000000000003E-2</v>
      </c>
      <c r="E16" s="401">
        <v>9.5000000000000001E-2</v>
      </c>
      <c r="F16" s="401">
        <v>0.1</v>
      </c>
      <c r="G16" s="402">
        <v>9.9000000000000005E-2</v>
      </c>
    </row>
    <row r="17" spans="1:7">
      <c r="A17" s="399" t="s">
        <v>241</v>
      </c>
      <c r="B17" s="400" t="s">
        <v>2445</v>
      </c>
      <c r="C17" s="401">
        <v>8.8999999999999996E-2</v>
      </c>
      <c r="D17" s="401">
        <v>9.1999999999999998E-2</v>
      </c>
      <c r="E17" s="401">
        <v>6.0999999999999999E-2</v>
      </c>
      <c r="F17" s="401">
        <v>0.1</v>
      </c>
      <c r="G17" s="402">
        <v>9.7000000000000003E-2</v>
      </c>
    </row>
    <row r="18" spans="1:7">
      <c r="A18" s="399" t="s">
        <v>241</v>
      </c>
      <c r="B18" s="400" t="s">
        <v>2455</v>
      </c>
      <c r="C18" s="401">
        <v>9.8000000000000004E-2</v>
      </c>
      <c r="D18" s="401">
        <v>9.8000000000000004E-2</v>
      </c>
      <c r="E18" s="401">
        <v>9.8000000000000004E-2</v>
      </c>
      <c r="F18" s="408"/>
      <c r="G18" s="402">
        <v>9.9000000000000005E-2</v>
      </c>
    </row>
    <row r="19" spans="1:7">
      <c r="A19" s="399" t="s">
        <v>241</v>
      </c>
      <c r="B19" s="400" t="s">
        <v>2465</v>
      </c>
      <c r="C19" s="401">
        <v>9.9000000000000005E-2</v>
      </c>
      <c r="D19" s="401">
        <v>7.3999999999999996E-2</v>
      </c>
      <c r="E19" s="401">
        <v>8.1000000000000003E-2</v>
      </c>
      <c r="F19" s="408"/>
      <c r="G19" s="402">
        <v>9.2999999999999999E-2</v>
      </c>
    </row>
    <row r="20" spans="1:7">
      <c r="A20" s="399" t="s">
        <v>241</v>
      </c>
      <c r="B20" s="400" t="s">
        <v>2475</v>
      </c>
      <c r="C20" s="401">
        <v>0.1</v>
      </c>
      <c r="D20" s="401">
        <v>8.8999999999999996E-2</v>
      </c>
      <c r="E20" s="401">
        <v>8.8999999999999996E-2</v>
      </c>
      <c r="F20" s="408"/>
      <c r="G20" s="402">
        <v>9.5000000000000001E-2</v>
      </c>
    </row>
    <row r="21" spans="1:7">
      <c r="A21" s="399" t="s">
        <v>241</v>
      </c>
      <c r="B21" s="400" t="s">
        <v>2485</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2504</v>
      </c>
      <c r="C23" s="401">
        <v>9.9000000000000005E-2</v>
      </c>
      <c r="D23" s="401">
        <v>0.1</v>
      </c>
      <c r="E23" s="401">
        <v>0.1</v>
      </c>
      <c r="F23" s="408"/>
      <c r="G23" s="402">
        <v>0.1</v>
      </c>
    </row>
    <row r="24" spans="1:7">
      <c r="A24" s="399" t="s">
        <v>241</v>
      </c>
      <c r="B24" s="400" t="s">
        <v>2514</v>
      </c>
      <c r="C24" s="401">
        <v>9.5000000000000001E-2</v>
      </c>
      <c r="D24" s="401">
        <v>0.1</v>
      </c>
      <c r="E24" s="401">
        <v>9.8000000000000004E-2</v>
      </c>
      <c r="F24" s="408"/>
      <c r="G24" s="402">
        <v>0.1</v>
      </c>
    </row>
    <row r="25" spans="1:7">
      <c r="A25" s="399" t="s">
        <v>241</v>
      </c>
      <c r="B25" s="400" t="s">
        <v>2524</v>
      </c>
      <c r="C25" s="401">
        <v>0.05</v>
      </c>
      <c r="D25" s="401">
        <v>9.6000000000000002E-2</v>
      </c>
      <c r="E25" s="401">
        <v>9.6000000000000002E-2</v>
      </c>
      <c r="F25" s="408"/>
      <c r="G25" s="402">
        <v>9.6000000000000002E-2</v>
      </c>
    </row>
    <row r="26" spans="1:7">
      <c r="A26" s="399" t="s">
        <v>241</v>
      </c>
      <c r="B26" s="400" t="s">
        <v>2534</v>
      </c>
      <c r="C26" s="401">
        <v>6.3E-2</v>
      </c>
      <c r="D26" s="401">
        <v>9.9000000000000005E-2</v>
      </c>
      <c r="E26" s="401">
        <v>9.8000000000000004E-2</v>
      </c>
      <c r="F26" s="408"/>
      <c r="G26" s="402">
        <v>0.1</v>
      </c>
    </row>
    <row r="27" spans="1:7">
      <c r="A27" s="399" t="s">
        <v>241</v>
      </c>
      <c r="B27" s="400" t="s">
        <v>2544</v>
      </c>
      <c r="C27" s="401">
        <v>5.1999999999999998E-2</v>
      </c>
      <c r="D27" s="401">
        <v>9.5000000000000001E-2</v>
      </c>
      <c r="E27" s="401">
        <v>6.4000000000000001E-2</v>
      </c>
      <c r="F27" s="408"/>
      <c r="G27" s="402">
        <v>9.7000000000000003E-2</v>
      </c>
    </row>
    <row r="28" spans="1:7">
      <c r="A28" s="399" t="s">
        <v>241</v>
      </c>
      <c r="B28" s="400" t="s">
        <v>2554</v>
      </c>
      <c r="C28" s="408"/>
      <c r="D28" s="401">
        <v>6.3E-2</v>
      </c>
      <c r="E28" s="401">
        <v>5.1999999999999998E-2</v>
      </c>
      <c r="F28" s="408"/>
      <c r="G28" s="402">
        <v>6.3E-2</v>
      </c>
    </row>
    <row r="29" spans="1:7">
      <c r="A29" s="403" t="s">
        <v>241</v>
      </c>
      <c r="B29" s="404" t="s">
        <v>2564</v>
      </c>
      <c r="C29" s="409"/>
      <c r="D29" s="405">
        <v>5.1999999999999998E-2</v>
      </c>
      <c r="E29" s="405">
        <v>7.0000000000000007E-2</v>
      </c>
      <c r="F29" s="409"/>
      <c r="G29" s="407">
        <v>7.0999999999999994E-2</v>
      </c>
    </row>
    <row r="30" spans="1:7">
      <c r="A30" s="410" t="s">
        <v>251</v>
      </c>
      <c r="B30" s="396" t="s">
        <v>2362</v>
      </c>
      <c r="C30" s="397">
        <v>6.6000000000000003E-2</v>
      </c>
      <c r="D30" s="397">
        <v>6.6000000000000003E-2</v>
      </c>
      <c r="E30" s="397">
        <v>5.7000000000000002E-2</v>
      </c>
      <c r="F30" s="397">
        <v>0.1</v>
      </c>
      <c r="G30" s="398">
        <v>6.8000000000000005E-2</v>
      </c>
    </row>
    <row r="31" spans="1:7">
      <c r="A31" s="411" t="s">
        <v>251</v>
      </c>
      <c r="B31" s="400" t="s">
        <v>2375</v>
      </c>
      <c r="C31" s="401">
        <v>5.5E-2</v>
      </c>
      <c r="D31" s="401">
        <v>8.2000000000000003E-2</v>
      </c>
      <c r="E31" s="401">
        <v>6.4000000000000001E-2</v>
      </c>
      <c r="F31" s="401">
        <v>0.1</v>
      </c>
      <c r="G31" s="402">
        <v>9.5000000000000001E-2</v>
      </c>
    </row>
    <row r="32" spans="1:7">
      <c r="A32" s="411" t="s">
        <v>251</v>
      </c>
      <c r="B32" s="400" t="s">
        <v>2389</v>
      </c>
      <c r="C32" s="401">
        <v>8.2000000000000003E-2</v>
      </c>
      <c r="D32" s="401">
        <v>8.6999999999999994E-2</v>
      </c>
      <c r="E32" s="401">
        <v>9.5000000000000001E-2</v>
      </c>
      <c r="F32" s="401">
        <v>0.1</v>
      </c>
      <c r="G32" s="402">
        <v>9.6000000000000002E-2</v>
      </c>
    </row>
    <row r="33" spans="1:7">
      <c r="A33" s="411" t="s">
        <v>251</v>
      </c>
      <c r="B33" s="400" t="s">
        <v>2401</v>
      </c>
      <c r="C33" s="401">
        <v>9.9000000000000005E-2</v>
      </c>
      <c r="D33" s="401">
        <v>9.1999999999999998E-2</v>
      </c>
      <c r="E33" s="401">
        <v>8.6999999999999994E-2</v>
      </c>
      <c r="F33" s="401">
        <v>0.1</v>
      </c>
      <c r="G33" s="402">
        <v>9.7000000000000003E-2</v>
      </c>
    </row>
    <row r="34" spans="1:7">
      <c r="A34" s="411" t="s">
        <v>251</v>
      </c>
      <c r="B34" s="400" t="s">
        <v>2413</v>
      </c>
      <c r="C34" s="401">
        <v>8.4000000000000005E-2</v>
      </c>
      <c r="D34" s="401">
        <v>9.7000000000000003E-2</v>
      </c>
      <c r="E34" s="401">
        <v>7.0999999999999994E-2</v>
      </c>
      <c r="F34" s="401">
        <v>0.1</v>
      </c>
      <c r="G34" s="402">
        <v>9.8000000000000004E-2</v>
      </c>
    </row>
    <row r="35" spans="1:7">
      <c r="A35" s="411" t="s">
        <v>251</v>
      </c>
      <c r="B35" s="400" t="s">
        <v>2424</v>
      </c>
      <c r="C35" s="401">
        <v>8.3000000000000004E-2</v>
      </c>
      <c r="D35" s="401">
        <v>9.7000000000000003E-2</v>
      </c>
      <c r="E35" s="401">
        <v>6.0999999999999999E-2</v>
      </c>
      <c r="F35" s="401">
        <v>0.1</v>
      </c>
      <c r="G35" s="402">
        <v>9.9000000000000005E-2</v>
      </c>
    </row>
    <row r="36" spans="1:7">
      <c r="A36" s="411" t="s">
        <v>251</v>
      </c>
      <c r="B36" s="400" t="s">
        <v>2435</v>
      </c>
      <c r="C36" s="401">
        <v>9.7000000000000003E-2</v>
      </c>
      <c r="D36" s="401">
        <v>9.7000000000000003E-2</v>
      </c>
      <c r="E36" s="401">
        <v>7.8E-2</v>
      </c>
      <c r="F36" s="401">
        <v>0.1</v>
      </c>
      <c r="G36" s="402">
        <v>9.9000000000000005E-2</v>
      </c>
    </row>
    <row r="37" spans="1:7">
      <c r="A37" s="411" t="s">
        <v>251</v>
      </c>
      <c r="B37" s="400" t="s">
        <v>2446</v>
      </c>
      <c r="C37" s="401">
        <v>9.7000000000000003E-2</v>
      </c>
      <c r="D37" s="401">
        <v>9.5000000000000001E-2</v>
      </c>
      <c r="E37" s="401">
        <v>7.8E-2</v>
      </c>
      <c r="F37" s="401">
        <v>0.1</v>
      </c>
      <c r="G37" s="402">
        <v>9.7000000000000003E-2</v>
      </c>
    </row>
    <row r="38" spans="1:7">
      <c r="A38" s="411" t="s">
        <v>251</v>
      </c>
      <c r="B38" s="400" t="s">
        <v>2456</v>
      </c>
      <c r="C38" s="401">
        <v>9.7000000000000003E-2</v>
      </c>
      <c r="D38" s="401">
        <v>7.6999999999999999E-2</v>
      </c>
      <c r="E38" s="401">
        <v>7.0000000000000007E-2</v>
      </c>
      <c r="F38" s="401">
        <v>0.1</v>
      </c>
      <c r="G38" s="402">
        <v>7.6999999999999999E-2</v>
      </c>
    </row>
    <row r="39" spans="1:7">
      <c r="A39" s="411" t="s">
        <v>251</v>
      </c>
      <c r="B39" s="400" t="s">
        <v>2466</v>
      </c>
      <c r="C39" s="401">
        <v>9.5000000000000001E-2</v>
      </c>
      <c r="D39" s="401">
        <v>7.6999999999999999E-2</v>
      </c>
      <c r="E39" s="401">
        <v>6.6000000000000003E-2</v>
      </c>
      <c r="F39" s="401">
        <v>0.1</v>
      </c>
      <c r="G39" s="402">
        <v>8.5999999999999993E-2</v>
      </c>
    </row>
    <row r="40" spans="1:7">
      <c r="A40" s="411" t="s">
        <v>251</v>
      </c>
      <c r="B40" s="400" t="s">
        <v>2476</v>
      </c>
      <c r="C40" s="401">
        <v>7.6999999999999999E-2</v>
      </c>
      <c r="D40" s="401">
        <v>7.8E-2</v>
      </c>
      <c r="E40" s="401">
        <v>8.2000000000000003E-2</v>
      </c>
      <c r="F40" s="412"/>
      <c r="G40" s="402">
        <v>7.8E-2</v>
      </c>
    </row>
    <row r="41" spans="1:7">
      <c r="A41" s="411" t="s">
        <v>251</v>
      </c>
      <c r="B41" s="400" t="s">
        <v>2486</v>
      </c>
      <c r="C41" s="401">
        <v>7.8E-2</v>
      </c>
      <c r="D41" s="401">
        <v>7.8E-2</v>
      </c>
      <c r="E41" s="401">
        <v>8.2000000000000003E-2</v>
      </c>
      <c r="F41" s="412"/>
      <c r="G41" s="402">
        <v>8.5999999999999993E-2</v>
      </c>
    </row>
    <row r="42" spans="1:7">
      <c r="A42" s="411" t="s">
        <v>251</v>
      </c>
      <c r="B42" s="400" t="s">
        <v>2495</v>
      </c>
      <c r="C42" s="401">
        <v>7.8E-2</v>
      </c>
      <c r="D42" s="401">
        <v>9.6000000000000002E-2</v>
      </c>
      <c r="E42" s="401">
        <v>7.1999999999999995E-2</v>
      </c>
      <c r="F42" s="412"/>
      <c r="G42" s="402">
        <v>9.8000000000000004E-2</v>
      </c>
    </row>
    <row r="43" spans="1:7">
      <c r="A43" s="411" t="s">
        <v>251</v>
      </c>
      <c r="B43" s="400" t="s">
        <v>2505</v>
      </c>
      <c r="C43" s="401">
        <v>7.8E-2</v>
      </c>
      <c r="D43" s="401">
        <v>9.9000000000000005E-2</v>
      </c>
      <c r="E43" s="401">
        <v>9.6000000000000002E-2</v>
      </c>
      <c r="F43" s="412"/>
      <c r="G43" s="402">
        <v>0.1</v>
      </c>
    </row>
    <row r="44" spans="1:7">
      <c r="A44" s="411" t="s">
        <v>251</v>
      </c>
      <c r="B44" s="400" t="s">
        <v>2515</v>
      </c>
      <c r="C44" s="401">
        <v>9.6000000000000002E-2</v>
      </c>
      <c r="D44" s="401">
        <v>0.1</v>
      </c>
      <c r="E44" s="401">
        <v>9.8000000000000004E-2</v>
      </c>
      <c r="F44" s="412"/>
      <c r="G44" s="402">
        <v>0.1</v>
      </c>
    </row>
    <row r="45" spans="1:7">
      <c r="A45" s="411" t="s">
        <v>251</v>
      </c>
      <c r="B45" s="400" t="s">
        <v>2525</v>
      </c>
      <c r="C45" s="401">
        <v>9.9000000000000005E-2</v>
      </c>
      <c r="D45" s="401">
        <v>9.8000000000000004E-2</v>
      </c>
      <c r="E45" s="401">
        <v>9.5000000000000001E-2</v>
      </c>
      <c r="F45" s="412"/>
      <c r="G45" s="402">
        <v>9.8000000000000004E-2</v>
      </c>
    </row>
    <row r="46" spans="1:7">
      <c r="A46" s="411" t="s">
        <v>251</v>
      </c>
      <c r="B46" s="400" t="s">
        <v>2535</v>
      </c>
      <c r="C46" s="401">
        <v>0.1</v>
      </c>
      <c r="D46" s="401">
        <v>9.9000000000000005E-2</v>
      </c>
      <c r="E46" s="401">
        <v>9.6000000000000002E-2</v>
      </c>
      <c r="F46" s="412"/>
      <c r="G46" s="402">
        <v>0.1</v>
      </c>
    </row>
    <row r="47" spans="1:7">
      <c r="A47" s="411" t="s">
        <v>251</v>
      </c>
      <c r="B47" s="400" t="s">
        <v>2545</v>
      </c>
      <c r="C47" s="401">
        <v>9.8000000000000004E-2</v>
      </c>
      <c r="D47" s="401">
        <v>8.6999999999999994E-2</v>
      </c>
      <c r="E47" s="401">
        <v>5.8999999999999997E-2</v>
      </c>
      <c r="F47" s="412"/>
      <c r="G47" s="402">
        <v>9.6000000000000002E-2</v>
      </c>
    </row>
    <row r="48" spans="1:7">
      <c r="A48" s="411" t="s">
        <v>251</v>
      </c>
      <c r="B48" s="400" t="s">
        <v>2555</v>
      </c>
      <c r="C48" s="401">
        <v>9.9000000000000005E-2</v>
      </c>
      <c r="D48" s="401">
        <v>9.8000000000000004E-2</v>
      </c>
      <c r="E48" s="401">
        <v>9.5000000000000001E-2</v>
      </c>
      <c r="F48" s="412"/>
      <c r="G48" s="402">
        <v>9.8000000000000004E-2</v>
      </c>
    </row>
    <row r="49" spans="1:7">
      <c r="A49" s="411" t="s">
        <v>251</v>
      </c>
      <c r="B49" s="400" t="s">
        <v>2565</v>
      </c>
      <c r="C49" s="401">
        <v>8.7999999999999995E-2</v>
      </c>
      <c r="D49" s="401">
        <v>9.9000000000000005E-2</v>
      </c>
      <c r="E49" s="401">
        <v>7.0000000000000007E-2</v>
      </c>
      <c r="F49" s="412"/>
      <c r="G49" s="402">
        <v>0.1</v>
      </c>
    </row>
    <row r="50" spans="1:7">
      <c r="A50" s="411" t="s">
        <v>251</v>
      </c>
      <c r="B50" s="400" t="s">
        <v>2574</v>
      </c>
      <c r="C50" s="401">
        <v>9.8000000000000004E-2</v>
      </c>
      <c r="D50" s="401">
        <v>7.2999999999999995E-2</v>
      </c>
      <c r="E50" s="401">
        <v>7.0999999999999994E-2</v>
      </c>
      <c r="F50" s="412"/>
      <c r="G50" s="402">
        <v>7.2999999999999995E-2</v>
      </c>
    </row>
    <row r="51" spans="1:7">
      <c r="A51" s="411" t="s">
        <v>251</v>
      </c>
      <c r="B51" s="400" t="s">
        <v>2582</v>
      </c>
      <c r="C51" s="401">
        <v>9.9000000000000005E-2</v>
      </c>
      <c r="D51" s="401">
        <v>8.5000000000000006E-2</v>
      </c>
      <c r="E51" s="401">
        <v>6.3E-2</v>
      </c>
      <c r="F51" s="412"/>
      <c r="G51" s="402">
        <v>9.6000000000000002E-2</v>
      </c>
    </row>
    <row r="52" spans="1:7">
      <c r="A52" s="411" t="s">
        <v>251</v>
      </c>
      <c r="B52" s="400" t="s">
        <v>2590</v>
      </c>
      <c r="C52" s="401">
        <v>7.3999999999999996E-2</v>
      </c>
      <c r="D52" s="401">
        <v>9.6000000000000002E-2</v>
      </c>
      <c r="E52" s="401">
        <v>0.05</v>
      </c>
      <c r="F52" s="412"/>
      <c r="G52" s="402">
        <v>9.8000000000000004E-2</v>
      </c>
    </row>
    <row r="53" spans="1:7">
      <c r="A53" s="411" t="s">
        <v>251</v>
      </c>
      <c r="B53" s="400" t="s">
        <v>2598</v>
      </c>
      <c r="C53" s="401">
        <v>8.5999999999999993E-2</v>
      </c>
      <c r="D53" s="412"/>
      <c r="E53" s="401">
        <v>9.1999999999999998E-2</v>
      </c>
      <c r="F53" s="412"/>
      <c r="G53" s="413"/>
    </row>
    <row r="54" spans="1:7">
      <c r="A54" s="414" t="s">
        <v>251</v>
      </c>
      <c r="B54" s="404" t="s">
        <v>2606</v>
      </c>
      <c r="C54" s="405">
        <v>9.6000000000000002E-2</v>
      </c>
      <c r="D54" s="406"/>
      <c r="E54" s="415"/>
      <c r="F54" s="406"/>
      <c r="G54" s="416"/>
    </row>
    <row r="55" spans="1:7">
      <c r="A55" s="410" t="s">
        <v>259</v>
      </c>
      <c r="B55" s="396" t="s">
        <v>2363</v>
      </c>
      <c r="C55" s="397">
        <v>9.6000000000000002E-2</v>
      </c>
      <c r="D55" s="397">
        <v>8.4000000000000005E-2</v>
      </c>
      <c r="E55" s="397">
        <v>9.1999999999999998E-2</v>
      </c>
      <c r="F55" s="397">
        <v>0.1</v>
      </c>
      <c r="G55" s="398">
        <v>9.5000000000000001E-2</v>
      </c>
    </row>
    <row r="56" spans="1:7">
      <c r="A56" s="411" t="s">
        <v>259</v>
      </c>
      <c r="B56" s="400" t="s">
        <v>2376</v>
      </c>
      <c r="C56" s="401">
        <v>8.4000000000000005E-2</v>
      </c>
      <c r="D56" s="401">
        <v>9.1999999999999998E-2</v>
      </c>
      <c r="E56" s="401">
        <v>9.5000000000000001E-2</v>
      </c>
      <c r="F56" s="401">
        <v>9.1999999999999998E-2</v>
      </c>
      <c r="G56" s="402">
        <v>9.6000000000000002E-2</v>
      </c>
    </row>
    <row r="57" spans="1:7">
      <c r="A57" s="411" t="s">
        <v>259</v>
      </c>
      <c r="B57" s="400" t="s">
        <v>2390</v>
      </c>
      <c r="C57" s="401">
        <v>9.9000000000000005E-2</v>
      </c>
      <c r="D57" s="401">
        <v>9.6000000000000002E-2</v>
      </c>
      <c r="E57" s="401">
        <v>9.1999999999999998E-2</v>
      </c>
      <c r="F57" s="401">
        <v>0.1</v>
      </c>
      <c r="G57" s="402">
        <v>9.8000000000000004E-2</v>
      </c>
    </row>
    <row r="58" spans="1:7">
      <c r="A58" s="411" t="s">
        <v>259</v>
      </c>
      <c r="B58" s="400" t="s">
        <v>2402</v>
      </c>
      <c r="C58" s="401">
        <v>9.8000000000000004E-2</v>
      </c>
      <c r="D58" s="401">
        <v>9.5000000000000001E-2</v>
      </c>
      <c r="E58" s="401">
        <v>5.7000000000000002E-2</v>
      </c>
      <c r="F58" s="401">
        <v>0.1</v>
      </c>
      <c r="G58" s="402">
        <v>9.6000000000000002E-2</v>
      </c>
    </row>
    <row r="59" spans="1:7">
      <c r="A59" s="411" t="s">
        <v>259</v>
      </c>
      <c r="B59" s="400" t="s">
        <v>2414</v>
      </c>
      <c r="C59" s="401">
        <v>9.5000000000000001E-2</v>
      </c>
      <c r="D59" s="401">
        <v>0.1</v>
      </c>
      <c r="E59" s="401">
        <v>7.4999999999999997E-2</v>
      </c>
      <c r="F59" s="401">
        <v>0.1</v>
      </c>
      <c r="G59" s="402">
        <v>0.1</v>
      </c>
    </row>
    <row r="60" spans="1:7">
      <c r="A60" s="411" t="s">
        <v>259</v>
      </c>
      <c r="B60" s="400" t="s">
        <v>2425</v>
      </c>
      <c r="C60" s="401">
        <v>0.1</v>
      </c>
      <c r="D60" s="401">
        <v>9.7000000000000003E-2</v>
      </c>
      <c r="E60" s="401">
        <v>0.1</v>
      </c>
      <c r="F60" s="401">
        <v>0.1</v>
      </c>
      <c r="G60" s="402">
        <v>9.7000000000000003E-2</v>
      </c>
    </row>
    <row r="61" spans="1:7">
      <c r="A61" s="411" t="s">
        <v>259</v>
      </c>
      <c r="B61" s="400" t="s">
        <v>2436</v>
      </c>
      <c r="C61" s="401">
        <v>9.7000000000000003E-2</v>
      </c>
      <c r="D61" s="401">
        <v>0.1</v>
      </c>
      <c r="E61" s="401">
        <v>9.2999999999999999E-2</v>
      </c>
      <c r="F61" s="401">
        <v>0.1</v>
      </c>
      <c r="G61" s="402">
        <v>0.1</v>
      </c>
    </row>
    <row r="62" spans="1:7">
      <c r="A62" s="411" t="s">
        <v>259</v>
      </c>
      <c r="B62" s="400" t="s">
        <v>2447</v>
      </c>
      <c r="C62" s="401">
        <v>0.1</v>
      </c>
      <c r="D62" s="401">
        <v>9.7000000000000003E-2</v>
      </c>
      <c r="E62" s="401">
        <v>8.8999999999999996E-2</v>
      </c>
      <c r="F62" s="401">
        <v>0.1</v>
      </c>
      <c r="G62" s="402">
        <v>9.8000000000000004E-2</v>
      </c>
    </row>
    <row r="63" spans="1:7">
      <c r="A63" s="411" t="s">
        <v>259</v>
      </c>
      <c r="B63" s="400" t="s">
        <v>2457</v>
      </c>
      <c r="C63" s="401">
        <v>9.7000000000000003E-2</v>
      </c>
      <c r="D63" s="401">
        <v>9.7000000000000003E-2</v>
      </c>
      <c r="E63" s="401">
        <v>9.9000000000000005E-2</v>
      </c>
      <c r="F63" s="401">
        <v>0.1</v>
      </c>
      <c r="G63" s="402">
        <v>9.7000000000000003E-2</v>
      </c>
    </row>
    <row r="64" spans="1:7">
      <c r="A64" s="411" t="s">
        <v>259</v>
      </c>
      <c r="B64" s="400" t="s">
        <v>2467</v>
      </c>
      <c r="C64" s="401">
        <v>9.7000000000000003E-2</v>
      </c>
      <c r="D64" s="401">
        <v>7.3999999999999996E-2</v>
      </c>
      <c r="E64" s="401">
        <v>7.8E-2</v>
      </c>
      <c r="F64" s="401">
        <v>0.1</v>
      </c>
      <c r="G64" s="402">
        <v>8.8999999999999996E-2</v>
      </c>
    </row>
    <row r="65" spans="1:7">
      <c r="A65" s="411" t="s">
        <v>259</v>
      </c>
      <c r="B65" s="400" t="s">
        <v>2477</v>
      </c>
      <c r="C65" s="401">
        <v>7.2999999999999995E-2</v>
      </c>
      <c r="D65" s="401">
        <v>9.8000000000000004E-2</v>
      </c>
      <c r="E65" s="401">
        <v>9.5000000000000001E-2</v>
      </c>
      <c r="F65" s="401">
        <v>0.1</v>
      </c>
      <c r="G65" s="402">
        <v>9.9000000000000005E-2</v>
      </c>
    </row>
    <row r="66" spans="1:7">
      <c r="A66" s="411" t="s">
        <v>259</v>
      </c>
      <c r="B66" s="400" t="s">
        <v>2487</v>
      </c>
      <c r="C66" s="401">
        <v>9.8000000000000004E-2</v>
      </c>
      <c r="D66" s="401">
        <v>9.5000000000000001E-2</v>
      </c>
      <c r="E66" s="401">
        <v>0.05</v>
      </c>
      <c r="F66" s="401">
        <v>0.1</v>
      </c>
      <c r="G66" s="402">
        <v>9.7000000000000003E-2</v>
      </c>
    </row>
    <row r="67" spans="1:7">
      <c r="A67" s="411" t="s">
        <v>259</v>
      </c>
      <c r="B67" s="400" t="s">
        <v>2496</v>
      </c>
      <c r="C67" s="401">
        <v>9.5000000000000001E-2</v>
      </c>
      <c r="D67" s="401">
        <v>9.7000000000000003E-2</v>
      </c>
      <c r="E67" s="401">
        <v>9.7000000000000003E-2</v>
      </c>
      <c r="F67" s="401">
        <v>0.1</v>
      </c>
      <c r="G67" s="402">
        <v>9.9000000000000005E-2</v>
      </c>
    </row>
    <row r="68" spans="1:7">
      <c r="A68" s="411" t="s">
        <v>259</v>
      </c>
      <c r="B68" s="400" t="s">
        <v>2506</v>
      </c>
      <c r="C68" s="401">
        <v>9.7000000000000003E-2</v>
      </c>
      <c r="D68" s="401">
        <v>6.8000000000000005E-2</v>
      </c>
      <c r="E68" s="401">
        <v>6.6000000000000003E-2</v>
      </c>
      <c r="F68" s="401">
        <v>0.1</v>
      </c>
      <c r="G68" s="402">
        <v>8.4000000000000005E-2</v>
      </c>
    </row>
    <row r="69" spans="1:7">
      <c r="A69" s="411" t="s">
        <v>259</v>
      </c>
      <c r="B69" s="400" t="s">
        <v>2516</v>
      </c>
      <c r="C69" s="401">
        <v>6.8000000000000005E-2</v>
      </c>
      <c r="D69" s="401">
        <v>9.8000000000000004E-2</v>
      </c>
      <c r="E69" s="401">
        <v>9.5000000000000001E-2</v>
      </c>
      <c r="F69" s="401">
        <v>0.1</v>
      </c>
      <c r="G69" s="402">
        <v>0.1</v>
      </c>
    </row>
    <row r="70" spans="1:7">
      <c r="A70" s="411" t="s">
        <v>259</v>
      </c>
      <c r="B70" s="400" t="s">
        <v>2526</v>
      </c>
      <c r="C70" s="401">
        <v>9.8000000000000004E-2</v>
      </c>
      <c r="D70" s="401">
        <v>8.8999999999999996E-2</v>
      </c>
      <c r="E70" s="401">
        <v>5.8999999999999997E-2</v>
      </c>
      <c r="F70" s="401">
        <v>0.1</v>
      </c>
      <c r="G70" s="402">
        <v>9.6000000000000002E-2</v>
      </c>
    </row>
    <row r="71" spans="1:7">
      <c r="A71" s="411" t="s">
        <v>259</v>
      </c>
      <c r="B71" s="400" t="s">
        <v>2536</v>
      </c>
      <c r="C71" s="401">
        <v>8.8999999999999996E-2</v>
      </c>
      <c r="D71" s="401">
        <v>9.9000000000000005E-2</v>
      </c>
      <c r="E71" s="401">
        <v>9.6000000000000002E-2</v>
      </c>
      <c r="F71" s="401">
        <v>0.1</v>
      </c>
      <c r="G71" s="402">
        <v>0.1</v>
      </c>
    </row>
    <row r="72" spans="1:7">
      <c r="A72" s="411" t="s">
        <v>259</v>
      </c>
      <c r="B72" s="400" t="s">
        <v>2546</v>
      </c>
      <c r="C72" s="401">
        <v>9.9000000000000005E-2</v>
      </c>
      <c r="D72" s="401">
        <v>0.1</v>
      </c>
      <c r="E72" s="401">
        <v>7.0000000000000007E-2</v>
      </c>
      <c r="F72" s="412"/>
      <c r="G72" s="402">
        <v>0.1</v>
      </c>
    </row>
    <row r="73" spans="1:7">
      <c r="A73" s="411" t="s">
        <v>259</v>
      </c>
      <c r="B73" s="400" t="s">
        <v>2556</v>
      </c>
      <c r="C73" s="401">
        <v>0.1</v>
      </c>
      <c r="D73" s="401">
        <v>0.1</v>
      </c>
      <c r="E73" s="401">
        <v>9.6000000000000002E-2</v>
      </c>
      <c r="F73" s="412"/>
      <c r="G73" s="402">
        <v>0.1</v>
      </c>
    </row>
    <row r="74" spans="1:7">
      <c r="A74" s="411" t="s">
        <v>259</v>
      </c>
      <c r="B74" s="400" t="s">
        <v>2566</v>
      </c>
      <c r="C74" s="401">
        <v>0.1</v>
      </c>
      <c r="D74" s="401">
        <v>0.1</v>
      </c>
      <c r="E74" s="401">
        <v>9.8000000000000004E-2</v>
      </c>
      <c r="F74" s="412"/>
      <c r="G74" s="402">
        <v>0.1</v>
      </c>
    </row>
    <row r="75" spans="1:7">
      <c r="A75" s="411" t="s">
        <v>259</v>
      </c>
      <c r="B75" s="400" t="s">
        <v>2575</v>
      </c>
      <c r="C75" s="401">
        <v>0.1</v>
      </c>
      <c r="D75" s="401">
        <v>9.9000000000000005E-2</v>
      </c>
      <c r="E75" s="401">
        <v>9.8000000000000004E-2</v>
      </c>
      <c r="F75" s="412"/>
      <c r="G75" s="402">
        <v>0.1</v>
      </c>
    </row>
    <row r="76" spans="1:7">
      <c r="A76" s="411" t="s">
        <v>259</v>
      </c>
      <c r="B76" s="400" t="s">
        <v>2583</v>
      </c>
      <c r="C76" s="401">
        <v>9.9000000000000005E-2</v>
      </c>
      <c r="D76" s="401">
        <v>0.1</v>
      </c>
      <c r="E76" s="401">
        <v>9.7000000000000003E-2</v>
      </c>
      <c r="F76" s="412"/>
      <c r="G76" s="402">
        <v>0.1</v>
      </c>
    </row>
    <row r="77" spans="1:7">
      <c r="A77" s="411" t="s">
        <v>259</v>
      </c>
      <c r="B77" s="400" t="s">
        <v>2591</v>
      </c>
      <c r="C77" s="401">
        <v>0.1</v>
      </c>
      <c r="D77" s="401">
        <v>0.1</v>
      </c>
      <c r="E77" s="401">
        <v>9.6000000000000002E-2</v>
      </c>
      <c r="F77" s="412"/>
      <c r="G77" s="402">
        <v>0.1</v>
      </c>
    </row>
    <row r="78" spans="1:7">
      <c r="A78" s="411" t="s">
        <v>259</v>
      </c>
      <c r="B78" s="400" t="s">
        <v>2599</v>
      </c>
      <c r="C78" s="401">
        <v>0.1</v>
      </c>
      <c r="D78" s="401">
        <v>8.5000000000000006E-2</v>
      </c>
      <c r="E78" s="401">
        <v>9.6000000000000002E-2</v>
      </c>
      <c r="F78" s="412"/>
      <c r="G78" s="402">
        <v>9.6000000000000002E-2</v>
      </c>
    </row>
    <row r="79" spans="1:7">
      <c r="A79" s="411" t="s">
        <v>259</v>
      </c>
      <c r="B79" s="400" t="s">
        <v>2607</v>
      </c>
      <c r="C79" s="401">
        <v>0.05</v>
      </c>
      <c r="D79" s="401">
        <v>9.6000000000000002E-2</v>
      </c>
      <c r="E79" s="401">
        <v>9.5000000000000001E-2</v>
      </c>
      <c r="F79" s="412"/>
      <c r="G79" s="402">
        <v>9.8000000000000004E-2</v>
      </c>
    </row>
    <row r="80" spans="1:7">
      <c r="A80" s="411" t="s">
        <v>259</v>
      </c>
      <c r="B80" s="400" t="s">
        <v>2614</v>
      </c>
      <c r="C80" s="401">
        <v>8.5999999999999993E-2</v>
      </c>
      <c r="D80" s="417"/>
      <c r="E80" s="401">
        <v>0.1</v>
      </c>
      <c r="F80" s="412"/>
      <c r="G80" s="413"/>
    </row>
    <row r="81" spans="1:7">
      <c r="A81" s="411" t="s">
        <v>259</v>
      </c>
      <c r="B81" s="400" t="s">
        <v>2621</v>
      </c>
      <c r="C81" s="401">
        <v>9.6000000000000002E-2</v>
      </c>
      <c r="D81" s="412"/>
      <c r="E81" s="401">
        <v>9.8000000000000004E-2</v>
      </c>
      <c r="F81" s="412"/>
      <c r="G81" s="413"/>
    </row>
    <row r="82" spans="1:7">
      <c r="A82" s="411" t="s">
        <v>259</v>
      </c>
      <c r="B82" s="400" t="s">
        <v>2628</v>
      </c>
      <c r="C82" s="417"/>
      <c r="D82" s="412"/>
      <c r="E82" s="401">
        <v>7.6999999999999999E-2</v>
      </c>
      <c r="F82" s="412"/>
      <c r="G82" s="413"/>
    </row>
    <row r="83" spans="1:7">
      <c r="A83" s="411" t="s">
        <v>259</v>
      </c>
      <c r="B83" s="400" t="s">
        <v>2635</v>
      </c>
      <c r="C83" s="412"/>
      <c r="D83" s="412"/>
      <c r="E83" s="412"/>
      <c r="F83" s="401">
        <v>0.1</v>
      </c>
      <c r="G83" s="418"/>
    </row>
    <row r="84" spans="1:7">
      <c r="A84" s="411" t="s">
        <v>259</v>
      </c>
      <c r="B84" s="400" t="s">
        <v>2642</v>
      </c>
      <c r="C84" s="412"/>
      <c r="D84" s="412"/>
      <c r="E84" s="412"/>
      <c r="F84" s="401">
        <v>0.1</v>
      </c>
      <c r="G84" s="418"/>
    </row>
    <row r="85" spans="1:7">
      <c r="A85" s="411" t="s">
        <v>259</v>
      </c>
      <c r="B85" s="400" t="s">
        <v>2649</v>
      </c>
      <c r="C85" s="412"/>
      <c r="D85" s="412"/>
      <c r="E85" s="412"/>
      <c r="F85" s="401">
        <v>0.1</v>
      </c>
      <c r="G85" s="418"/>
    </row>
    <row r="86" spans="1:7">
      <c r="A86" s="414" t="s">
        <v>259</v>
      </c>
      <c r="B86" s="404" t="s">
        <v>2656</v>
      </c>
      <c r="C86" s="405">
        <v>9.8000000000000004E-2</v>
      </c>
      <c r="D86" s="405">
        <v>9.8000000000000004E-2</v>
      </c>
      <c r="E86" s="405">
        <v>9.6000000000000002E-2</v>
      </c>
      <c r="F86" s="415"/>
      <c r="G86" s="407">
        <v>0.1</v>
      </c>
    </row>
    <row r="87" spans="1:7">
      <c r="A87" s="410" t="s">
        <v>267</v>
      </c>
      <c r="B87" s="396" t="s">
        <v>2364</v>
      </c>
      <c r="C87" s="397">
        <v>0.1</v>
      </c>
      <c r="D87" s="397">
        <v>0.1</v>
      </c>
      <c r="E87" s="397">
        <v>9.8000000000000004E-2</v>
      </c>
      <c r="F87" s="397">
        <v>0.1</v>
      </c>
      <c r="G87" s="398">
        <v>0.1</v>
      </c>
    </row>
    <row r="88" spans="1:7">
      <c r="A88" s="411" t="s">
        <v>267</v>
      </c>
      <c r="B88" s="400" t="s">
        <v>2377</v>
      </c>
      <c r="C88" s="401">
        <v>9.0999999999999998E-2</v>
      </c>
      <c r="D88" s="401">
        <v>9.1999999999999998E-2</v>
      </c>
      <c r="E88" s="401">
        <v>0.1</v>
      </c>
      <c r="F88" s="401">
        <v>0.1</v>
      </c>
      <c r="G88" s="402">
        <v>9.6000000000000002E-2</v>
      </c>
    </row>
    <row r="89" spans="1:7">
      <c r="A89" s="411" t="s">
        <v>267</v>
      </c>
      <c r="B89" s="400" t="s">
        <v>2391</v>
      </c>
      <c r="C89" s="401">
        <v>0.1</v>
      </c>
      <c r="D89" s="401">
        <v>0.1</v>
      </c>
      <c r="E89" s="401">
        <v>6.7000000000000004E-2</v>
      </c>
      <c r="F89" s="401">
        <v>9.2999999999999999E-2</v>
      </c>
      <c r="G89" s="402">
        <v>0.1</v>
      </c>
    </row>
    <row r="90" spans="1:7">
      <c r="A90" s="411" t="s">
        <v>267</v>
      </c>
      <c r="B90" s="400" t="s">
        <v>2403</v>
      </c>
      <c r="C90" s="401">
        <v>9.6000000000000002E-2</v>
      </c>
      <c r="D90" s="401">
        <v>9.6000000000000002E-2</v>
      </c>
      <c r="E90" s="401">
        <v>0.1</v>
      </c>
      <c r="F90" s="401">
        <v>0.1</v>
      </c>
      <c r="G90" s="402">
        <v>9.8000000000000004E-2</v>
      </c>
    </row>
    <row r="91" spans="1:7">
      <c r="A91" s="411" t="s">
        <v>267</v>
      </c>
      <c r="B91" s="400" t="s">
        <v>2415</v>
      </c>
      <c r="C91" s="401">
        <v>7.6999999999999999E-2</v>
      </c>
      <c r="D91" s="401">
        <v>7.6999999999999999E-2</v>
      </c>
      <c r="E91" s="401">
        <v>9.6000000000000002E-2</v>
      </c>
      <c r="F91" s="401">
        <v>0.1</v>
      </c>
      <c r="G91" s="402">
        <v>7.6999999999999999E-2</v>
      </c>
    </row>
    <row r="92" spans="1:7">
      <c r="A92" s="411" t="s">
        <v>267</v>
      </c>
      <c r="B92" s="400" t="s">
        <v>2426</v>
      </c>
      <c r="C92" s="401">
        <v>0.1</v>
      </c>
      <c r="D92" s="401">
        <v>0.1</v>
      </c>
      <c r="E92" s="401">
        <v>9.1999999999999998E-2</v>
      </c>
      <c r="F92" s="401">
        <v>0.1</v>
      </c>
      <c r="G92" s="402">
        <v>0.1</v>
      </c>
    </row>
    <row r="93" spans="1:7">
      <c r="A93" s="411" t="s">
        <v>267</v>
      </c>
      <c r="B93" s="400" t="s">
        <v>2437</v>
      </c>
      <c r="C93" s="401">
        <v>9.8000000000000004E-2</v>
      </c>
      <c r="D93" s="401">
        <v>9.8000000000000004E-2</v>
      </c>
      <c r="E93" s="401">
        <v>9.6000000000000002E-2</v>
      </c>
      <c r="F93" s="401">
        <v>0.1</v>
      </c>
      <c r="G93" s="402">
        <v>9.9000000000000005E-2</v>
      </c>
    </row>
    <row r="94" spans="1:7">
      <c r="A94" s="411" t="s">
        <v>267</v>
      </c>
      <c r="B94" s="400" t="s">
        <v>2448</v>
      </c>
      <c r="C94" s="401">
        <v>8.7999999999999995E-2</v>
      </c>
      <c r="D94" s="401">
        <v>8.7999999999999995E-2</v>
      </c>
      <c r="E94" s="401">
        <v>9.6000000000000002E-2</v>
      </c>
      <c r="F94" s="401">
        <v>0.1</v>
      </c>
      <c r="G94" s="402">
        <v>8.7999999999999995E-2</v>
      </c>
    </row>
    <row r="95" spans="1:7">
      <c r="A95" s="411" t="s">
        <v>267</v>
      </c>
      <c r="B95" s="400" t="s">
        <v>2458</v>
      </c>
      <c r="C95" s="401">
        <v>9.6000000000000002E-2</v>
      </c>
      <c r="D95" s="401">
        <v>9.6000000000000002E-2</v>
      </c>
      <c r="E95" s="401">
        <v>0.1</v>
      </c>
      <c r="F95" s="401">
        <v>0.1</v>
      </c>
      <c r="G95" s="402">
        <v>9.8000000000000004E-2</v>
      </c>
    </row>
    <row r="96" spans="1:7">
      <c r="A96" s="411" t="s">
        <v>267</v>
      </c>
      <c r="B96" s="400" t="s">
        <v>2468</v>
      </c>
      <c r="C96" s="401">
        <v>9.7000000000000003E-2</v>
      </c>
      <c r="D96" s="401">
        <v>9.7000000000000003E-2</v>
      </c>
      <c r="E96" s="401">
        <v>0.1</v>
      </c>
      <c r="F96" s="401">
        <v>0.1</v>
      </c>
      <c r="G96" s="402">
        <v>9.8000000000000004E-2</v>
      </c>
    </row>
    <row r="97" spans="1:7">
      <c r="A97" s="411" t="s">
        <v>267</v>
      </c>
      <c r="B97" s="400" t="s">
        <v>2478</v>
      </c>
      <c r="C97" s="401">
        <v>9.6000000000000002E-2</v>
      </c>
      <c r="D97" s="401">
        <v>9.6000000000000002E-2</v>
      </c>
      <c r="E97" s="401">
        <v>9.9000000000000005E-2</v>
      </c>
      <c r="F97" s="401">
        <v>0.1</v>
      </c>
      <c r="G97" s="402">
        <v>9.8000000000000004E-2</v>
      </c>
    </row>
    <row r="98" spans="1:7">
      <c r="A98" s="411" t="s">
        <v>267</v>
      </c>
      <c r="B98" s="400" t="s">
        <v>2488</v>
      </c>
      <c r="C98" s="401">
        <v>9.8000000000000004E-2</v>
      </c>
      <c r="D98" s="401">
        <v>9.8000000000000004E-2</v>
      </c>
      <c r="E98" s="401">
        <v>0.1</v>
      </c>
      <c r="F98" s="401">
        <v>0.1</v>
      </c>
      <c r="G98" s="402">
        <v>9.9000000000000005E-2</v>
      </c>
    </row>
    <row r="99" spans="1:7">
      <c r="A99" s="411" t="s">
        <v>267</v>
      </c>
      <c r="B99" s="400" t="s">
        <v>2497</v>
      </c>
      <c r="C99" s="401">
        <v>9.6000000000000002E-2</v>
      </c>
      <c r="D99" s="401">
        <v>9.6000000000000002E-2</v>
      </c>
      <c r="E99" s="401">
        <v>0.1</v>
      </c>
      <c r="F99" s="401">
        <v>0.1</v>
      </c>
      <c r="G99" s="402">
        <v>9.7000000000000003E-2</v>
      </c>
    </row>
    <row r="100" spans="1:7">
      <c r="A100" s="411" t="s">
        <v>267</v>
      </c>
      <c r="B100" s="400" t="s">
        <v>2507</v>
      </c>
      <c r="C100" s="401">
        <v>0.1</v>
      </c>
      <c r="D100" s="401">
        <v>0.1</v>
      </c>
      <c r="E100" s="401">
        <v>9.7000000000000003E-2</v>
      </c>
      <c r="F100" s="401">
        <v>9.8000000000000004E-2</v>
      </c>
      <c r="G100" s="402">
        <v>0.1</v>
      </c>
    </row>
    <row r="101" spans="1:7">
      <c r="A101" s="411" t="s">
        <v>267</v>
      </c>
      <c r="B101" s="400" t="s">
        <v>2517</v>
      </c>
      <c r="C101" s="401">
        <v>0.1</v>
      </c>
      <c r="D101" s="401">
        <v>0.1</v>
      </c>
      <c r="E101" s="401">
        <v>9.5000000000000001E-2</v>
      </c>
      <c r="F101" s="401">
        <v>0.1</v>
      </c>
      <c r="G101" s="402">
        <v>0.1</v>
      </c>
    </row>
    <row r="102" spans="1:7">
      <c r="A102" s="411" t="s">
        <v>267</v>
      </c>
      <c r="B102" s="400" t="s">
        <v>2527</v>
      </c>
      <c r="C102" s="401">
        <v>0.1</v>
      </c>
      <c r="D102" s="401">
        <v>0.1</v>
      </c>
      <c r="E102" s="401">
        <v>9.9000000000000005E-2</v>
      </c>
      <c r="F102" s="401">
        <v>9.7000000000000003E-2</v>
      </c>
      <c r="G102" s="402">
        <v>0.1</v>
      </c>
    </row>
    <row r="103" spans="1:7">
      <c r="A103" s="411" t="s">
        <v>267</v>
      </c>
      <c r="B103" s="400" t="s">
        <v>2537</v>
      </c>
      <c r="C103" s="401">
        <v>0.1</v>
      </c>
      <c r="D103" s="401">
        <v>0.1</v>
      </c>
      <c r="E103" s="401">
        <v>9.8000000000000004E-2</v>
      </c>
      <c r="F103" s="401">
        <v>0.1</v>
      </c>
      <c r="G103" s="402">
        <v>0.1</v>
      </c>
    </row>
    <row r="104" spans="1:7">
      <c r="A104" s="411" t="s">
        <v>267</v>
      </c>
      <c r="B104" s="400" t="s">
        <v>2547</v>
      </c>
      <c r="C104" s="401">
        <v>0.1</v>
      </c>
      <c r="D104" s="401">
        <v>0.1</v>
      </c>
      <c r="E104" s="401">
        <v>9.8000000000000004E-2</v>
      </c>
      <c r="F104" s="401">
        <v>0.1</v>
      </c>
      <c r="G104" s="402">
        <v>0.1</v>
      </c>
    </row>
    <row r="105" spans="1:7">
      <c r="A105" s="411" t="s">
        <v>267</v>
      </c>
      <c r="B105" s="400" t="s">
        <v>2557</v>
      </c>
      <c r="C105" s="401">
        <v>9.8000000000000004E-2</v>
      </c>
      <c r="D105" s="401">
        <v>9.8000000000000004E-2</v>
      </c>
      <c r="E105" s="401">
        <v>9.8000000000000004E-2</v>
      </c>
      <c r="F105" s="401">
        <v>0.1</v>
      </c>
      <c r="G105" s="402">
        <v>9.9000000000000005E-2</v>
      </c>
    </row>
    <row r="106" spans="1:7">
      <c r="A106" s="411" t="s">
        <v>267</v>
      </c>
      <c r="B106" s="400" t="s">
        <v>2567</v>
      </c>
      <c r="C106" s="401">
        <v>9.7000000000000003E-2</v>
      </c>
      <c r="D106" s="401">
        <v>9.7000000000000003E-2</v>
      </c>
      <c r="E106" s="401">
        <v>9.7000000000000003E-2</v>
      </c>
      <c r="F106" s="401">
        <v>0.1</v>
      </c>
      <c r="G106" s="402">
        <v>9.9000000000000005E-2</v>
      </c>
    </row>
    <row r="107" spans="1:7">
      <c r="A107" s="411" t="s">
        <v>267</v>
      </c>
      <c r="B107" s="400" t="s">
        <v>2576</v>
      </c>
      <c r="C107" s="401">
        <v>0.1</v>
      </c>
      <c r="D107" s="401">
        <v>0.1</v>
      </c>
      <c r="E107" s="401">
        <v>8.5999999999999993E-2</v>
      </c>
      <c r="F107" s="401">
        <v>0.09</v>
      </c>
      <c r="G107" s="402">
        <v>0.1</v>
      </c>
    </row>
    <row r="108" spans="1:7">
      <c r="A108" s="411" t="s">
        <v>267</v>
      </c>
      <c r="B108" s="400" t="s">
        <v>2584</v>
      </c>
      <c r="C108" s="401">
        <v>0.1</v>
      </c>
      <c r="D108" s="401">
        <v>0.1</v>
      </c>
      <c r="E108" s="401">
        <v>9.6000000000000002E-2</v>
      </c>
      <c r="F108" s="412"/>
      <c r="G108" s="402">
        <v>0.1</v>
      </c>
    </row>
    <row r="109" spans="1:7">
      <c r="A109" s="411" t="s">
        <v>267</v>
      </c>
      <c r="B109" s="400" t="s">
        <v>2592</v>
      </c>
      <c r="C109" s="401">
        <v>0.1</v>
      </c>
      <c r="D109" s="401">
        <v>0.1</v>
      </c>
      <c r="E109" s="401">
        <v>0.1</v>
      </c>
      <c r="F109" s="412"/>
      <c r="G109" s="402">
        <v>0.1</v>
      </c>
    </row>
    <row r="110" spans="1:7">
      <c r="A110" s="411" t="s">
        <v>267</v>
      </c>
      <c r="B110" s="400" t="s">
        <v>2600</v>
      </c>
      <c r="C110" s="401">
        <v>0.1</v>
      </c>
      <c r="D110" s="401">
        <v>0.1</v>
      </c>
      <c r="E110" s="401">
        <v>0.1</v>
      </c>
      <c r="F110" s="412"/>
      <c r="G110" s="402">
        <v>0.1</v>
      </c>
    </row>
    <row r="111" spans="1:7">
      <c r="A111" s="411" t="s">
        <v>267</v>
      </c>
      <c r="B111" s="400" t="s">
        <v>2608</v>
      </c>
      <c r="C111" s="401">
        <v>0.1</v>
      </c>
      <c r="D111" s="401">
        <v>0.1</v>
      </c>
      <c r="E111" s="401">
        <v>9.5000000000000001E-2</v>
      </c>
      <c r="F111" s="412"/>
      <c r="G111" s="402">
        <v>0.1</v>
      </c>
    </row>
    <row r="112" spans="1:7">
      <c r="A112" s="411" t="s">
        <v>267</v>
      </c>
      <c r="B112" s="400" t="s">
        <v>2615</v>
      </c>
      <c r="C112" s="401">
        <v>9.7000000000000003E-2</v>
      </c>
      <c r="D112" s="401">
        <v>9.7000000000000003E-2</v>
      </c>
      <c r="E112" s="401">
        <v>0.05</v>
      </c>
      <c r="F112" s="412"/>
      <c r="G112" s="402">
        <v>9.8000000000000004E-2</v>
      </c>
    </row>
    <row r="113" spans="1:7">
      <c r="A113" s="411" t="s">
        <v>267</v>
      </c>
      <c r="B113" s="400" t="s">
        <v>2622</v>
      </c>
      <c r="C113" s="401">
        <v>0.1</v>
      </c>
      <c r="D113" s="401">
        <v>0.1</v>
      </c>
      <c r="E113" s="412"/>
      <c r="F113" s="412"/>
      <c r="G113" s="402">
        <v>0.1</v>
      </c>
    </row>
    <row r="114" spans="1:7">
      <c r="A114" s="411" t="s">
        <v>267</v>
      </c>
      <c r="B114" s="400" t="s">
        <v>2629</v>
      </c>
      <c r="C114" s="401">
        <v>9.7000000000000003E-2</v>
      </c>
      <c r="D114" s="401">
        <v>9.7000000000000003E-2</v>
      </c>
      <c r="E114" s="412"/>
      <c r="F114" s="412"/>
      <c r="G114" s="402">
        <v>9.9000000000000005E-2</v>
      </c>
    </row>
    <row r="115" spans="1:7">
      <c r="A115" s="411" t="s">
        <v>267</v>
      </c>
      <c r="B115" s="400" t="s">
        <v>2636</v>
      </c>
      <c r="C115" s="401">
        <v>0.1</v>
      </c>
      <c r="D115" s="401">
        <v>0.1</v>
      </c>
      <c r="E115" s="412"/>
      <c r="F115" s="412"/>
      <c r="G115" s="402">
        <v>0.1</v>
      </c>
    </row>
    <row r="116" spans="1:7">
      <c r="A116" s="411" t="s">
        <v>267</v>
      </c>
      <c r="B116" s="400" t="s">
        <v>2643</v>
      </c>
      <c r="C116" s="401">
        <v>0.1</v>
      </c>
      <c r="D116" s="401">
        <v>0.1</v>
      </c>
      <c r="E116" s="412"/>
      <c r="F116" s="412"/>
      <c r="G116" s="402">
        <v>0.1</v>
      </c>
    </row>
    <row r="117" spans="1:7">
      <c r="A117" s="411" t="s">
        <v>267</v>
      </c>
      <c r="B117" s="400" t="s">
        <v>2650</v>
      </c>
      <c r="C117" s="401">
        <v>9.7000000000000003E-2</v>
      </c>
      <c r="D117" s="401">
        <v>9.7000000000000003E-2</v>
      </c>
      <c r="E117" s="412"/>
      <c r="F117" s="412"/>
      <c r="G117" s="402">
        <v>9.7000000000000003E-2</v>
      </c>
    </row>
    <row r="118" spans="1:7">
      <c r="A118" s="411" t="s">
        <v>267</v>
      </c>
      <c r="B118" s="400" t="s">
        <v>2657</v>
      </c>
      <c r="C118" s="401">
        <v>0.1</v>
      </c>
      <c r="D118" s="401">
        <v>0.1</v>
      </c>
      <c r="E118" s="412"/>
      <c r="F118" s="412"/>
      <c r="G118" s="402">
        <v>0.1</v>
      </c>
    </row>
    <row r="119" spans="1:7">
      <c r="A119" s="411" t="s">
        <v>267</v>
      </c>
      <c r="B119" s="400" t="s">
        <v>2662</v>
      </c>
      <c r="C119" s="401">
        <v>5.0999999999999997E-2</v>
      </c>
      <c r="D119" s="401">
        <v>5.1999999999999998E-2</v>
      </c>
      <c r="E119" s="412"/>
      <c r="F119" s="417"/>
      <c r="G119" s="402">
        <v>0.06</v>
      </c>
    </row>
    <row r="120" spans="1:7">
      <c r="A120" s="411" t="s">
        <v>267</v>
      </c>
      <c r="B120" s="400" t="s">
        <v>2667</v>
      </c>
      <c r="C120" s="412"/>
      <c r="D120" s="412"/>
      <c r="E120" s="412"/>
      <c r="F120" s="401">
        <v>0.1</v>
      </c>
      <c r="G120" s="418"/>
    </row>
    <row r="121" spans="1:7">
      <c r="A121" s="411" t="s">
        <v>267</v>
      </c>
      <c r="B121" s="400" t="s">
        <v>2672</v>
      </c>
      <c r="C121" s="412"/>
      <c r="D121" s="412"/>
      <c r="E121" s="412"/>
      <c r="F121" s="401">
        <v>0.1</v>
      </c>
      <c r="G121" s="418"/>
    </row>
    <row r="122" spans="1:7">
      <c r="A122" s="411" t="s">
        <v>267</v>
      </c>
      <c r="B122" s="400" t="s">
        <v>2677</v>
      </c>
      <c r="C122" s="401">
        <v>0.1</v>
      </c>
      <c r="D122" s="401">
        <v>0.1</v>
      </c>
      <c r="E122" s="401">
        <v>9.8000000000000004E-2</v>
      </c>
      <c r="F122" s="401">
        <v>0.1</v>
      </c>
      <c r="G122" s="402">
        <v>0.1</v>
      </c>
    </row>
    <row r="123" spans="1:7">
      <c r="A123" s="411" t="s">
        <v>267</v>
      </c>
      <c r="B123" s="400" t="s">
        <v>2682</v>
      </c>
      <c r="C123" s="401">
        <v>0.1</v>
      </c>
      <c r="D123" s="401">
        <v>0.1</v>
      </c>
      <c r="E123" s="401">
        <v>9.8000000000000004E-2</v>
      </c>
      <c r="F123" s="401">
        <v>0.1</v>
      </c>
      <c r="G123" s="402">
        <v>0.1</v>
      </c>
    </row>
    <row r="124" spans="1:7">
      <c r="A124" s="411" t="s">
        <v>267</v>
      </c>
      <c r="B124" s="400" t="s">
        <v>2687</v>
      </c>
      <c r="C124" s="401">
        <v>0.1</v>
      </c>
      <c r="D124" s="401">
        <v>0.1</v>
      </c>
      <c r="E124" s="401">
        <v>9.8000000000000004E-2</v>
      </c>
      <c r="F124" s="417"/>
      <c r="G124" s="402">
        <v>0.1</v>
      </c>
    </row>
    <row r="125" spans="1:7">
      <c r="A125" s="411" t="s">
        <v>267</v>
      </c>
      <c r="B125" s="400" t="s">
        <v>2692</v>
      </c>
      <c r="C125" s="401">
        <v>9.8000000000000004E-2</v>
      </c>
      <c r="D125" s="401">
        <v>9.8000000000000004E-2</v>
      </c>
      <c r="E125" s="401">
        <v>9.6000000000000002E-2</v>
      </c>
      <c r="F125" s="417"/>
      <c r="G125" s="402">
        <v>0.1</v>
      </c>
    </row>
    <row r="126" spans="1:7">
      <c r="A126" s="414" t="s">
        <v>267</v>
      </c>
      <c r="B126" s="404" t="s">
        <v>2697</v>
      </c>
      <c r="C126" s="405">
        <v>0.1</v>
      </c>
      <c r="D126" s="405">
        <v>0.1</v>
      </c>
      <c r="E126" s="405">
        <v>9.8000000000000004E-2</v>
      </c>
      <c r="F126" s="405">
        <v>0.1</v>
      </c>
      <c r="G126" s="407">
        <v>0.1</v>
      </c>
    </row>
    <row r="127" spans="1:7">
      <c r="A127" s="410" t="s">
        <v>273</v>
      </c>
      <c r="B127" s="396" t="s">
        <v>2365</v>
      </c>
      <c r="C127" s="397">
        <v>0.121</v>
      </c>
      <c r="D127" s="397">
        <v>0.121</v>
      </c>
      <c r="E127" s="397">
        <v>0.107</v>
      </c>
      <c r="F127" s="397">
        <v>0.13</v>
      </c>
      <c r="G127" s="398">
        <v>0.122</v>
      </c>
    </row>
    <row r="128" spans="1:7">
      <c r="A128" s="411" t="s">
        <v>273</v>
      </c>
      <c r="B128" s="400" t="s">
        <v>2378</v>
      </c>
      <c r="C128" s="401">
        <v>0.11600000000000001</v>
      </c>
      <c r="D128" s="401">
        <v>0.11700000000000001</v>
      </c>
      <c r="E128" s="401">
        <v>0.104</v>
      </c>
      <c r="F128" s="401">
        <v>0.13</v>
      </c>
      <c r="G128" s="402">
        <v>0.11700000000000001</v>
      </c>
    </row>
    <row r="129" spans="1:7">
      <c r="A129" s="411" t="s">
        <v>273</v>
      </c>
      <c r="B129" s="400" t="s">
        <v>2392</v>
      </c>
      <c r="C129" s="401">
        <v>0.107</v>
      </c>
      <c r="D129" s="401">
        <v>0.108</v>
      </c>
      <c r="E129" s="401">
        <v>0.1</v>
      </c>
      <c r="F129" s="401">
        <v>0.13</v>
      </c>
      <c r="G129" s="402">
        <v>0.11700000000000001</v>
      </c>
    </row>
    <row r="130" spans="1:7">
      <c r="A130" s="411" t="s">
        <v>273</v>
      </c>
      <c r="B130" s="400" t="s">
        <v>2404</v>
      </c>
      <c r="C130" s="401">
        <v>0.13</v>
      </c>
      <c r="D130" s="401">
        <v>0.13</v>
      </c>
      <c r="E130" s="401">
        <v>0.126</v>
      </c>
      <c r="F130" s="401">
        <v>0.13</v>
      </c>
      <c r="G130" s="402">
        <v>0.13</v>
      </c>
    </row>
    <row r="131" spans="1:7">
      <c r="A131" s="411" t="s">
        <v>273</v>
      </c>
      <c r="B131" s="400" t="s">
        <v>2416</v>
      </c>
      <c r="C131" s="401">
        <v>0.13</v>
      </c>
      <c r="D131" s="401">
        <v>0.13</v>
      </c>
      <c r="E131" s="401">
        <v>0.13</v>
      </c>
      <c r="F131" s="401">
        <v>0.13</v>
      </c>
      <c r="G131" s="402">
        <v>0.13</v>
      </c>
    </row>
    <row r="132" spans="1:7">
      <c r="A132" s="411" t="s">
        <v>273</v>
      </c>
      <c r="B132" s="400" t="s">
        <v>2427</v>
      </c>
      <c r="C132" s="401">
        <v>0.13</v>
      </c>
      <c r="D132" s="401">
        <v>0.13</v>
      </c>
      <c r="E132" s="401">
        <v>0.126</v>
      </c>
      <c r="F132" s="401">
        <v>0.13</v>
      </c>
      <c r="G132" s="402">
        <v>0.13</v>
      </c>
    </row>
    <row r="133" spans="1:7">
      <c r="A133" s="411" t="s">
        <v>273</v>
      </c>
      <c r="B133" s="400" t="s">
        <v>2438</v>
      </c>
      <c r="C133" s="401">
        <v>0.111</v>
      </c>
      <c r="D133" s="401">
        <v>0.111</v>
      </c>
      <c r="E133" s="401">
        <v>0.10199999999999999</v>
      </c>
      <c r="F133" s="401">
        <v>0.13</v>
      </c>
      <c r="G133" s="402">
        <v>0.121</v>
      </c>
    </row>
    <row r="134" spans="1:7">
      <c r="A134" s="411" t="s">
        <v>273</v>
      </c>
      <c r="B134" s="400" t="s">
        <v>2449</v>
      </c>
      <c r="C134" s="401">
        <v>0.121</v>
      </c>
      <c r="D134" s="401">
        <v>0.121</v>
      </c>
      <c r="E134" s="401">
        <v>0.1</v>
      </c>
      <c r="F134" s="401">
        <v>0.13</v>
      </c>
      <c r="G134" s="402">
        <v>0.123</v>
      </c>
    </row>
    <row r="135" spans="1:7">
      <c r="A135" s="411" t="s">
        <v>273</v>
      </c>
      <c r="B135" s="400" t="s">
        <v>2459</v>
      </c>
      <c r="C135" s="401">
        <v>0.105</v>
      </c>
      <c r="D135" s="401">
        <v>0.106</v>
      </c>
      <c r="E135" s="401">
        <v>0.1</v>
      </c>
      <c r="F135" s="401">
        <v>0.13</v>
      </c>
      <c r="G135" s="402">
        <v>0.115</v>
      </c>
    </row>
    <row r="136" spans="1:7">
      <c r="A136" s="411" t="s">
        <v>273</v>
      </c>
      <c r="B136" s="400" t="s">
        <v>2469</v>
      </c>
      <c r="C136" s="401">
        <v>0.127</v>
      </c>
      <c r="D136" s="401">
        <v>0.127</v>
      </c>
      <c r="E136" s="401">
        <v>0.121</v>
      </c>
      <c r="F136" s="401">
        <v>0.123</v>
      </c>
      <c r="G136" s="402">
        <v>0.129</v>
      </c>
    </row>
    <row r="137" spans="1:7">
      <c r="A137" s="411" t="s">
        <v>273</v>
      </c>
      <c r="B137" s="400" t="s">
        <v>2479</v>
      </c>
      <c r="C137" s="401">
        <v>0.13</v>
      </c>
      <c r="D137" s="401">
        <v>0.13</v>
      </c>
      <c r="E137" s="401">
        <v>0.129</v>
      </c>
      <c r="F137" s="401">
        <v>0.13</v>
      </c>
      <c r="G137" s="402">
        <v>0.13</v>
      </c>
    </row>
    <row r="138" spans="1:7">
      <c r="A138" s="411" t="s">
        <v>273</v>
      </c>
      <c r="B138" s="400" t="s">
        <v>2489</v>
      </c>
      <c r="C138" s="401">
        <v>0.13</v>
      </c>
      <c r="D138" s="401">
        <v>0.13</v>
      </c>
      <c r="E138" s="401">
        <v>0.125</v>
      </c>
      <c r="F138" s="401">
        <v>0.13</v>
      </c>
      <c r="G138" s="402">
        <v>0.13</v>
      </c>
    </row>
    <row r="139" spans="1:7">
      <c r="A139" s="411" t="s">
        <v>273</v>
      </c>
      <c r="B139" s="400" t="s">
        <v>2498</v>
      </c>
      <c r="C139" s="401">
        <v>0.13</v>
      </c>
      <c r="D139" s="401">
        <v>0.13</v>
      </c>
      <c r="E139" s="401">
        <v>0.126</v>
      </c>
      <c r="F139" s="401">
        <v>0.13</v>
      </c>
      <c r="G139" s="402">
        <v>0.13</v>
      </c>
    </row>
    <row r="140" spans="1:7">
      <c r="A140" s="411" t="s">
        <v>273</v>
      </c>
      <c r="B140" s="400" t="s">
        <v>2508</v>
      </c>
      <c r="C140" s="401">
        <v>0.1</v>
      </c>
      <c r="D140" s="401">
        <v>0.1</v>
      </c>
      <c r="E140" s="401">
        <v>0.1</v>
      </c>
      <c r="F140" s="401">
        <v>0.123</v>
      </c>
      <c r="G140" s="402">
        <v>0.107</v>
      </c>
    </row>
    <row r="141" spans="1:7">
      <c r="A141" s="411" t="s">
        <v>273</v>
      </c>
      <c r="B141" s="400" t="s">
        <v>2518</v>
      </c>
      <c r="C141" s="401">
        <v>0.127</v>
      </c>
      <c r="D141" s="401">
        <v>0.127</v>
      </c>
      <c r="E141" s="401">
        <v>0.122</v>
      </c>
      <c r="F141" s="401">
        <v>0.1</v>
      </c>
      <c r="G141" s="402">
        <v>0.129</v>
      </c>
    </row>
    <row r="142" spans="1:7">
      <c r="A142" s="411" t="s">
        <v>273</v>
      </c>
      <c r="B142" s="400" t="s">
        <v>2528</v>
      </c>
      <c r="C142" s="401">
        <v>0.121</v>
      </c>
      <c r="D142" s="401">
        <v>0.122</v>
      </c>
      <c r="E142" s="401">
        <v>0.1</v>
      </c>
      <c r="F142" s="401">
        <v>0.123</v>
      </c>
      <c r="G142" s="402">
        <v>0.123</v>
      </c>
    </row>
    <row r="143" spans="1:7">
      <c r="A143" s="411" t="s">
        <v>273</v>
      </c>
      <c r="B143" s="400" t="s">
        <v>2538</v>
      </c>
      <c r="C143" s="401">
        <v>0.1</v>
      </c>
      <c r="D143" s="401">
        <v>0.1</v>
      </c>
      <c r="E143" s="401">
        <v>0.1</v>
      </c>
      <c r="F143" s="401">
        <v>0.13</v>
      </c>
      <c r="G143" s="402">
        <v>0.1</v>
      </c>
    </row>
    <row r="144" spans="1:7">
      <c r="A144" s="411" t="s">
        <v>273</v>
      </c>
      <c r="B144" s="400" t="s">
        <v>2548</v>
      </c>
      <c r="C144" s="401">
        <v>0.106</v>
      </c>
      <c r="D144" s="401">
        <v>0.105</v>
      </c>
      <c r="E144" s="401">
        <v>0.1</v>
      </c>
      <c r="F144" s="401">
        <v>0.13</v>
      </c>
      <c r="G144" s="402">
        <v>0.11799999999999999</v>
      </c>
    </row>
    <row r="145" spans="1:7">
      <c r="A145" s="411" t="s">
        <v>273</v>
      </c>
      <c r="B145" s="400" t="s">
        <v>2558</v>
      </c>
      <c r="C145" s="401">
        <v>0.123</v>
      </c>
      <c r="D145" s="401">
        <v>0.123</v>
      </c>
      <c r="E145" s="401">
        <v>0.11700000000000001</v>
      </c>
      <c r="F145" s="401">
        <v>0.13</v>
      </c>
      <c r="G145" s="402">
        <v>0.126</v>
      </c>
    </row>
    <row r="146" spans="1:7">
      <c r="A146" s="411" t="s">
        <v>273</v>
      </c>
      <c r="B146" s="400" t="s">
        <v>2568</v>
      </c>
      <c r="C146" s="401">
        <v>0.127</v>
      </c>
      <c r="D146" s="401">
        <v>0.127</v>
      </c>
      <c r="E146" s="401">
        <v>0.12</v>
      </c>
      <c r="F146" s="412"/>
      <c r="G146" s="402">
        <v>0.129</v>
      </c>
    </row>
    <row r="147" spans="1:7">
      <c r="A147" s="411" t="s">
        <v>273</v>
      </c>
      <c r="B147" s="400" t="s">
        <v>2577</v>
      </c>
      <c r="C147" s="401">
        <v>0.13</v>
      </c>
      <c r="D147" s="401">
        <v>0.13</v>
      </c>
      <c r="E147" s="401">
        <v>0.126</v>
      </c>
      <c r="F147" s="412"/>
      <c r="G147" s="402">
        <v>0.13</v>
      </c>
    </row>
    <row r="148" spans="1:7">
      <c r="A148" s="411" t="s">
        <v>273</v>
      </c>
      <c r="B148" s="400" t="s">
        <v>2585</v>
      </c>
      <c r="C148" s="401">
        <v>0.13</v>
      </c>
      <c r="D148" s="401">
        <v>0.13</v>
      </c>
      <c r="E148" s="401">
        <v>0.13</v>
      </c>
      <c r="F148" s="412"/>
      <c r="G148" s="402">
        <v>0.13</v>
      </c>
    </row>
    <row r="149" spans="1:7">
      <c r="A149" s="411" t="s">
        <v>273</v>
      </c>
      <c r="B149" s="400" t="s">
        <v>2593</v>
      </c>
      <c r="C149" s="401">
        <v>0.13</v>
      </c>
      <c r="D149" s="401">
        <v>0.13</v>
      </c>
      <c r="E149" s="401">
        <v>0.13</v>
      </c>
      <c r="F149" s="401">
        <v>0.13</v>
      </c>
      <c r="G149" s="402">
        <v>0.13</v>
      </c>
    </row>
    <row r="150" spans="1:7">
      <c r="A150" s="411" t="s">
        <v>273</v>
      </c>
      <c r="B150" s="400" t="s">
        <v>2601</v>
      </c>
      <c r="C150" s="401">
        <v>0.13</v>
      </c>
      <c r="D150" s="401">
        <v>0.13</v>
      </c>
      <c r="E150" s="401">
        <v>0.127</v>
      </c>
      <c r="F150" s="401">
        <v>0.13</v>
      </c>
      <c r="G150" s="402">
        <v>0.13</v>
      </c>
    </row>
    <row r="151" spans="1:7">
      <c r="A151" s="411" t="s">
        <v>273</v>
      </c>
      <c r="B151" s="400" t="s">
        <v>2609</v>
      </c>
      <c r="C151" s="401">
        <v>0.13</v>
      </c>
      <c r="D151" s="401">
        <v>0.13</v>
      </c>
      <c r="E151" s="401">
        <v>0.13</v>
      </c>
      <c r="F151" s="401">
        <v>0.13</v>
      </c>
      <c r="G151" s="402">
        <v>0.13</v>
      </c>
    </row>
    <row r="152" spans="1:7">
      <c r="A152" s="411" t="s">
        <v>273</v>
      </c>
      <c r="B152" s="400" t="s">
        <v>2616</v>
      </c>
      <c r="C152" s="401">
        <v>0.13</v>
      </c>
      <c r="D152" s="401">
        <v>0.13</v>
      </c>
      <c r="E152" s="401">
        <v>0.13</v>
      </c>
      <c r="F152" s="401">
        <v>0.13</v>
      </c>
      <c r="G152" s="402">
        <v>0.13</v>
      </c>
    </row>
    <row r="153" spans="1:7">
      <c r="A153" s="411" t="s">
        <v>273</v>
      </c>
      <c r="B153" s="400" t="s">
        <v>2623</v>
      </c>
      <c r="C153" s="401">
        <v>0.13</v>
      </c>
      <c r="D153" s="401">
        <v>0.13</v>
      </c>
      <c r="E153" s="401">
        <v>0.13</v>
      </c>
      <c r="F153" s="401">
        <v>0.13</v>
      </c>
      <c r="G153" s="402">
        <v>0.13</v>
      </c>
    </row>
    <row r="154" spans="1:7">
      <c r="A154" s="411" t="s">
        <v>273</v>
      </c>
      <c r="B154" s="400" t="s">
        <v>2630</v>
      </c>
      <c r="C154" s="401">
        <v>0.121</v>
      </c>
      <c r="D154" s="401">
        <v>0.121</v>
      </c>
      <c r="E154" s="401">
        <v>0.105</v>
      </c>
      <c r="F154" s="401">
        <v>0.121</v>
      </c>
      <c r="G154" s="402">
        <v>0.123</v>
      </c>
    </row>
    <row r="155" spans="1:7">
      <c r="A155" s="411" t="s">
        <v>273</v>
      </c>
      <c r="B155" s="400" t="s">
        <v>2637</v>
      </c>
      <c r="C155" s="401">
        <v>0.1</v>
      </c>
      <c r="D155" s="401">
        <v>0.1</v>
      </c>
      <c r="E155" s="401">
        <v>0.1</v>
      </c>
      <c r="F155" s="401">
        <v>0.1</v>
      </c>
      <c r="G155" s="402">
        <v>0.1</v>
      </c>
    </row>
    <row r="156" spans="1:7">
      <c r="A156" s="411" t="s">
        <v>273</v>
      </c>
      <c r="B156" s="400" t="s">
        <v>2644</v>
      </c>
      <c r="C156" s="401">
        <v>0.13</v>
      </c>
      <c r="D156" s="401">
        <v>0.13</v>
      </c>
      <c r="E156" s="401">
        <v>0.13</v>
      </c>
      <c r="F156" s="401">
        <v>0.13</v>
      </c>
      <c r="G156" s="402">
        <v>0.13</v>
      </c>
    </row>
    <row r="157" spans="1:7">
      <c r="A157" s="411" t="s">
        <v>273</v>
      </c>
      <c r="B157" s="400" t="s">
        <v>2651</v>
      </c>
      <c r="C157" s="401">
        <v>0.13</v>
      </c>
      <c r="D157" s="401">
        <v>0.13</v>
      </c>
      <c r="E157" s="401">
        <v>0.125</v>
      </c>
      <c r="F157" s="401">
        <v>0.13</v>
      </c>
      <c r="G157" s="402">
        <v>0.13</v>
      </c>
    </row>
    <row r="158" spans="1:7">
      <c r="A158" s="411" t="s">
        <v>273</v>
      </c>
      <c r="B158" s="400" t="s">
        <v>2658</v>
      </c>
      <c r="C158" s="401">
        <v>0.124</v>
      </c>
      <c r="D158" s="401">
        <v>0.124</v>
      </c>
      <c r="E158" s="401">
        <v>0.11700000000000001</v>
      </c>
      <c r="F158" s="401">
        <v>0.121</v>
      </c>
      <c r="G158" s="402">
        <v>0.124</v>
      </c>
    </row>
    <row r="159" spans="1:7">
      <c r="A159" s="411" t="s">
        <v>273</v>
      </c>
      <c r="B159" s="400" t="s">
        <v>2663</v>
      </c>
      <c r="C159" s="401">
        <v>0.127</v>
      </c>
      <c r="D159" s="401">
        <v>0.127</v>
      </c>
      <c r="E159" s="401">
        <v>0.122</v>
      </c>
      <c r="F159" s="401">
        <v>0.13</v>
      </c>
      <c r="G159" s="402">
        <v>0.129</v>
      </c>
    </row>
    <row r="160" spans="1:7">
      <c r="A160" s="411" t="s">
        <v>273</v>
      </c>
      <c r="B160" s="400" t="s">
        <v>2668</v>
      </c>
      <c r="C160" s="401">
        <v>0.13</v>
      </c>
      <c r="D160" s="401">
        <v>0.13</v>
      </c>
      <c r="E160" s="401">
        <v>0.124</v>
      </c>
      <c r="F160" s="401">
        <v>0.126</v>
      </c>
      <c r="G160" s="402">
        <v>0.13</v>
      </c>
    </row>
    <row r="161" spans="1:7">
      <c r="A161" s="411" t="s">
        <v>273</v>
      </c>
      <c r="B161" s="400" t="s">
        <v>2673</v>
      </c>
      <c r="C161" s="401">
        <v>0.13</v>
      </c>
      <c r="D161" s="401">
        <v>0.13</v>
      </c>
      <c r="E161" s="401">
        <v>0.124</v>
      </c>
      <c r="F161" s="401">
        <v>0.127</v>
      </c>
      <c r="G161" s="402">
        <v>0.13</v>
      </c>
    </row>
    <row r="162" spans="1:7">
      <c r="A162" s="411" t="s">
        <v>273</v>
      </c>
      <c r="B162" s="400" t="s">
        <v>2678</v>
      </c>
      <c r="C162" s="401">
        <v>0.1</v>
      </c>
      <c r="D162" s="401">
        <v>0.1</v>
      </c>
      <c r="E162" s="401">
        <v>0.1</v>
      </c>
      <c r="F162" s="401">
        <v>0.121</v>
      </c>
      <c r="G162" s="402">
        <v>0.105</v>
      </c>
    </row>
    <row r="163" spans="1:7">
      <c r="A163" s="411" t="s">
        <v>273</v>
      </c>
      <c r="B163" s="400" t="s">
        <v>2683</v>
      </c>
      <c r="C163" s="401">
        <v>0.1</v>
      </c>
      <c r="D163" s="401">
        <v>0.1</v>
      </c>
      <c r="E163" s="401">
        <v>0.1</v>
      </c>
      <c r="F163" s="401">
        <v>0.1</v>
      </c>
      <c r="G163" s="402">
        <v>0.1</v>
      </c>
    </row>
    <row r="164" spans="1:7">
      <c r="A164" s="411" t="s">
        <v>273</v>
      </c>
      <c r="B164" s="400" t="s">
        <v>2688</v>
      </c>
      <c r="C164" s="417"/>
      <c r="D164" s="417"/>
      <c r="E164" s="417"/>
      <c r="F164" s="401">
        <v>0.1</v>
      </c>
      <c r="G164" s="413"/>
    </row>
    <row r="165" spans="1:7">
      <c r="A165" s="411" t="s">
        <v>273</v>
      </c>
      <c r="B165" s="400" t="s">
        <v>2693</v>
      </c>
      <c r="C165" s="401">
        <v>0.126</v>
      </c>
      <c r="D165" s="401">
        <v>0.126</v>
      </c>
      <c r="E165" s="401">
        <v>0.11899999999999999</v>
      </c>
      <c r="F165" s="401">
        <v>0.13</v>
      </c>
      <c r="G165" s="402">
        <v>0.128</v>
      </c>
    </row>
    <row r="166" spans="1:7">
      <c r="A166" s="411" t="s">
        <v>273</v>
      </c>
      <c r="B166" s="400" t="s">
        <v>2698</v>
      </c>
      <c r="C166" s="401">
        <v>0.129</v>
      </c>
      <c r="D166" s="401">
        <v>0.129</v>
      </c>
      <c r="E166" s="401">
        <v>0.123</v>
      </c>
      <c r="F166" s="401">
        <v>0.128</v>
      </c>
      <c r="G166" s="402">
        <v>0.13</v>
      </c>
    </row>
    <row r="167" spans="1:7">
      <c r="A167" s="411" t="s">
        <v>273</v>
      </c>
      <c r="B167" s="400" t="s">
        <v>2702</v>
      </c>
      <c r="C167" s="401">
        <v>0.125</v>
      </c>
      <c r="D167" s="401">
        <v>0.125</v>
      </c>
      <c r="E167" s="401">
        <v>0.11700000000000001</v>
      </c>
      <c r="F167" s="401">
        <v>0.13</v>
      </c>
      <c r="G167" s="402">
        <v>0.126</v>
      </c>
    </row>
    <row r="168" spans="1:7">
      <c r="A168" s="411" t="s">
        <v>273</v>
      </c>
      <c r="B168" s="400" t="s">
        <v>2706</v>
      </c>
      <c r="C168" s="401">
        <v>0.128</v>
      </c>
      <c r="D168" s="401">
        <v>0.128</v>
      </c>
      <c r="E168" s="401">
        <v>0.123</v>
      </c>
      <c r="F168" s="412"/>
      <c r="G168" s="402">
        <v>0.13</v>
      </c>
    </row>
    <row r="169" spans="1:7">
      <c r="A169" s="411" t="s">
        <v>273</v>
      </c>
      <c r="B169" s="400" t="s">
        <v>2710</v>
      </c>
      <c r="C169" s="417"/>
      <c r="D169" s="417"/>
      <c r="E169" s="417"/>
      <c r="F169" s="401">
        <v>0.05</v>
      </c>
      <c r="G169" s="413"/>
    </row>
    <row r="170" spans="1:7">
      <c r="A170" s="411" t="s">
        <v>273</v>
      </c>
      <c r="B170" s="400" t="s">
        <v>2714</v>
      </c>
      <c r="C170" s="417"/>
      <c r="D170" s="417"/>
      <c r="E170" s="417"/>
      <c r="F170" s="401">
        <v>0.05</v>
      </c>
      <c r="G170" s="413"/>
    </row>
    <row r="171" spans="1:7">
      <c r="A171" s="411" t="s">
        <v>273</v>
      </c>
      <c r="B171" s="400" t="s">
        <v>2717</v>
      </c>
      <c r="C171" s="417"/>
      <c r="D171" s="417"/>
      <c r="E171" s="417"/>
      <c r="F171" s="401">
        <v>0.05</v>
      </c>
      <c r="G171" s="418"/>
    </row>
    <row r="172" spans="1:7">
      <c r="A172" s="411" t="s">
        <v>273</v>
      </c>
      <c r="B172" s="400" t="s">
        <v>2719</v>
      </c>
      <c r="C172" s="417"/>
      <c r="D172" s="417"/>
      <c r="E172" s="417"/>
      <c r="F172" s="401">
        <v>0.05</v>
      </c>
      <c r="G172" s="418"/>
    </row>
    <row r="173" spans="1:7">
      <c r="A173" s="411" t="s">
        <v>273</v>
      </c>
      <c r="B173" s="400" t="s">
        <v>2721</v>
      </c>
      <c r="C173" s="417"/>
      <c r="D173" s="417"/>
      <c r="E173" s="417"/>
      <c r="F173" s="401">
        <v>0.05</v>
      </c>
      <c r="G173" s="413"/>
    </row>
    <row r="174" spans="1:7">
      <c r="A174" s="411" t="s">
        <v>273</v>
      </c>
      <c r="B174" s="400" t="s">
        <v>2723</v>
      </c>
      <c r="C174" s="417"/>
      <c r="D174" s="417"/>
      <c r="E174" s="417"/>
      <c r="F174" s="401">
        <v>0.05</v>
      </c>
      <c r="G174" s="413"/>
    </row>
    <row r="175" spans="1:7">
      <c r="A175" s="411" t="s">
        <v>273</v>
      </c>
      <c r="B175" s="400" t="s">
        <v>2725</v>
      </c>
      <c r="C175" s="417"/>
      <c r="D175" s="417"/>
      <c r="E175" s="417"/>
      <c r="F175" s="401">
        <v>0.05</v>
      </c>
      <c r="G175" s="413"/>
    </row>
    <row r="176" spans="1:7">
      <c r="A176" s="411" t="s">
        <v>273</v>
      </c>
      <c r="B176" s="400" t="s">
        <v>2727</v>
      </c>
      <c r="C176" s="417"/>
      <c r="D176" s="417"/>
      <c r="E176" s="417"/>
      <c r="F176" s="401">
        <v>0.05</v>
      </c>
      <c r="G176" s="413"/>
    </row>
    <row r="177" spans="1:7">
      <c r="A177" s="411" t="s">
        <v>273</v>
      </c>
      <c r="B177" s="400" t="s">
        <v>2729</v>
      </c>
      <c r="C177" s="412"/>
      <c r="D177" s="412"/>
      <c r="E177" s="412"/>
      <c r="F177" s="401">
        <v>0.05</v>
      </c>
      <c r="G177" s="418"/>
    </row>
    <row r="178" spans="1:7">
      <c r="A178" s="411" t="s">
        <v>273</v>
      </c>
      <c r="B178" s="400" t="s">
        <v>2730</v>
      </c>
      <c r="C178" s="412"/>
      <c r="D178" s="412"/>
      <c r="E178" s="412"/>
      <c r="F178" s="401">
        <v>0.05</v>
      </c>
      <c r="G178" s="418"/>
    </row>
    <row r="179" spans="1:7">
      <c r="A179" s="411" t="s">
        <v>273</v>
      </c>
      <c r="B179" s="400" t="s">
        <v>2731</v>
      </c>
      <c r="C179" s="412"/>
      <c r="D179" s="412"/>
      <c r="E179" s="412"/>
      <c r="F179" s="401">
        <v>0.05</v>
      </c>
      <c r="G179" s="418"/>
    </row>
    <row r="180" spans="1:7">
      <c r="A180" s="411" t="s">
        <v>273</v>
      </c>
      <c r="B180" s="400" t="s">
        <v>2732</v>
      </c>
      <c r="C180" s="412"/>
      <c r="D180" s="412"/>
      <c r="E180" s="412"/>
      <c r="F180" s="401">
        <v>0.05</v>
      </c>
      <c r="G180" s="418"/>
    </row>
    <row r="181" spans="1:7">
      <c r="A181" s="411" t="s">
        <v>273</v>
      </c>
      <c r="B181" s="400" t="s">
        <v>2733</v>
      </c>
      <c r="C181" s="412"/>
      <c r="D181" s="412"/>
      <c r="E181" s="412"/>
      <c r="F181" s="401">
        <v>0.05</v>
      </c>
      <c r="G181" s="418"/>
    </row>
    <row r="182" spans="1:7">
      <c r="A182" s="411" t="s">
        <v>273</v>
      </c>
      <c r="B182" s="400" t="s">
        <v>2734</v>
      </c>
      <c r="C182" s="412"/>
      <c r="D182" s="412"/>
      <c r="E182" s="412"/>
      <c r="F182" s="401">
        <v>0.05</v>
      </c>
      <c r="G182" s="418"/>
    </row>
    <row r="183" spans="1:7">
      <c r="A183" s="411" t="s">
        <v>273</v>
      </c>
      <c r="B183" s="400" t="s">
        <v>2735</v>
      </c>
      <c r="C183" s="412"/>
      <c r="D183" s="412"/>
      <c r="E183" s="412"/>
      <c r="F183" s="401">
        <v>0.05</v>
      </c>
      <c r="G183" s="418"/>
    </row>
    <row r="184" spans="1:7">
      <c r="A184" s="411" t="s">
        <v>273</v>
      </c>
      <c r="B184" s="400" t="s">
        <v>2736</v>
      </c>
      <c r="C184" s="412"/>
      <c r="D184" s="412"/>
      <c r="E184" s="412"/>
      <c r="F184" s="401">
        <v>0.05</v>
      </c>
      <c r="G184" s="418"/>
    </row>
    <row r="185" spans="1:7">
      <c r="A185" s="411" t="s">
        <v>273</v>
      </c>
      <c r="B185" s="400" t="s">
        <v>2737</v>
      </c>
      <c r="C185" s="412"/>
      <c r="D185" s="412"/>
      <c r="E185" s="412"/>
      <c r="F185" s="401">
        <v>0.05</v>
      </c>
      <c r="G185" s="418"/>
    </row>
    <row r="186" spans="1:7">
      <c r="A186" s="411" t="s">
        <v>273</v>
      </c>
      <c r="B186" s="400" t="s">
        <v>2738</v>
      </c>
      <c r="C186" s="412"/>
      <c r="D186" s="412"/>
      <c r="E186" s="412"/>
      <c r="F186" s="401">
        <v>0.05</v>
      </c>
      <c r="G186" s="418"/>
    </row>
    <row r="187" spans="1:7">
      <c r="A187" s="411" t="s">
        <v>273</v>
      </c>
      <c r="B187" s="400" t="s">
        <v>2739</v>
      </c>
      <c r="C187" s="412"/>
      <c r="D187" s="412"/>
      <c r="E187" s="412"/>
      <c r="F187" s="401">
        <v>0.05</v>
      </c>
      <c r="G187" s="418"/>
    </row>
    <row r="188" spans="1:7">
      <c r="A188" s="411" t="s">
        <v>273</v>
      </c>
      <c r="B188" s="400" t="s">
        <v>2740</v>
      </c>
      <c r="C188" s="412"/>
      <c r="D188" s="412"/>
      <c r="E188" s="412"/>
      <c r="F188" s="401">
        <v>0.05</v>
      </c>
      <c r="G188" s="418"/>
    </row>
    <row r="189" spans="1:7">
      <c r="A189" s="414" t="s">
        <v>273</v>
      </c>
      <c r="B189" s="404" t="s">
        <v>2741</v>
      </c>
      <c r="C189" s="406"/>
      <c r="D189" s="406"/>
      <c r="E189" s="406"/>
      <c r="F189" s="405">
        <v>0.05</v>
      </c>
      <c r="G189" s="419"/>
    </row>
    <row r="190" spans="1:7">
      <c r="A190" s="410" t="s">
        <v>278</v>
      </c>
      <c r="B190" s="396" t="s">
        <v>2366</v>
      </c>
      <c r="C190" s="397">
        <v>0.124</v>
      </c>
      <c r="D190" s="397">
        <v>0.124</v>
      </c>
      <c r="E190" s="397">
        <v>0.129</v>
      </c>
      <c r="F190" s="397">
        <v>0.13</v>
      </c>
      <c r="G190" s="398">
        <v>0.127</v>
      </c>
    </row>
    <row r="191" spans="1:7">
      <c r="A191" s="411" t="s">
        <v>278</v>
      </c>
      <c r="B191" s="400" t="s">
        <v>2379</v>
      </c>
      <c r="C191" s="401">
        <v>0.13</v>
      </c>
      <c r="D191" s="401">
        <v>0.13</v>
      </c>
      <c r="E191" s="401">
        <v>0.13</v>
      </c>
      <c r="F191" s="401">
        <v>0.13</v>
      </c>
      <c r="G191" s="402">
        <v>0.13</v>
      </c>
    </row>
    <row r="192" spans="1:7">
      <c r="A192" s="411" t="s">
        <v>278</v>
      </c>
      <c r="B192" s="400" t="s">
        <v>2393</v>
      </c>
      <c r="C192" s="401">
        <v>0.13</v>
      </c>
      <c r="D192" s="401">
        <v>0.13</v>
      </c>
      <c r="E192" s="401">
        <v>0.13</v>
      </c>
      <c r="F192" s="401">
        <v>0.13</v>
      </c>
      <c r="G192" s="402">
        <v>0.13</v>
      </c>
    </row>
    <row r="193" spans="1:7">
      <c r="A193" s="411" t="s">
        <v>278</v>
      </c>
      <c r="B193" s="400" t="s">
        <v>2405</v>
      </c>
      <c r="C193" s="401">
        <v>0.13</v>
      </c>
      <c r="D193" s="401">
        <v>0.13</v>
      </c>
      <c r="E193" s="401">
        <v>0.13</v>
      </c>
      <c r="F193" s="401">
        <v>0.13</v>
      </c>
      <c r="G193" s="402">
        <v>0.13</v>
      </c>
    </row>
    <row r="194" spans="1:7">
      <c r="A194" s="411" t="s">
        <v>278</v>
      </c>
      <c r="B194" s="400" t="s">
        <v>2417</v>
      </c>
      <c r="C194" s="401">
        <v>0.123</v>
      </c>
      <c r="D194" s="401">
        <v>0.123</v>
      </c>
      <c r="E194" s="401">
        <v>0.128</v>
      </c>
      <c r="F194" s="401">
        <v>0.13</v>
      </c>
      <c r="G194" s="402">
        <v>0.126</v>
      </c>
    </row>
    <row r="195" spans="1:7">
      <c r="A195" s="411" t="s">
        <v>278</v>
      </c>
      <c r="B195" s="400" t="s">
        <v>2428</v>
      </c>
      <c r="C195" s="401">
        <v>0.127</v>
      </c>
      <c r="D195" s="401">
        <v>0.127</v>
      </c>
      <c r="E195" s="401">
        <v>0.121</v>
      </c>
      <c r="F195" s="401">
        <v>0.129</v>
      </c>
      <c r="G195" s="402">
        <v>0.129</v>
      </c>
    </row>
    <row r="196" spans="1:7">
      <c r="A196" s="411" t="s">
        <v>278</v>
      </c>
      <c r="B196" s="400" t="s">
        <v>2439</v>
      </c>
      <c r="C196" s="401">
        <v>0.127</v>
      </c>
      <c r="D196" s="401">
        <v>0.128</v>
      </c>
      <c r="E196" s="401">
        <v>0.122</v>
      </c>
      <c r="F196" s="401">
        <v>0.13</v>
      </c>
      <c r="G196" s="402">
        <v>0.129</v>
      </c>
    </row>
    <row r="197" spans="1:7">
      <c r="A197" s="411" t="s">
        <v>278</v>
      </c>
      <c r="B197" s="400" t="s">
        <v>2450</v>
      </c>
      <c r="C197" s="401">
        <v>0.126</v>
      </c>
      <c r="D197" s="401">
        <v>0.126</v>
      </c>
      <c r="E197" s="401">
        <v>0.11899999999999999</v>
      </c>
      <c r="F197" s="401">
        <v>0.13</v>
      </c>
      <c r="G197" s="402">
        <v>0.128</v>
      </c>
    </row>
    <row r="198" spans="1:7">
      <c r="A198" s="411" t="s">
        <v>278</v>
      </c>
      <c r="B198" s="400" t="s">
        <v>2460</v>
      </c>
      <c r="C198" s="401">
        <v>0.13</v>
      </c>
      <c r="D198" s="401">
        <v>0.13</v>
      </c>
      <c r="E198" s="401">
        <v>0.126</v>
      </c>
      <c r="F198" s="417"/>
      <c r="G198" s="402">
        <v>0.13</v>
      </c>
    </row>
    <row r="199" spans="1:7">
      <c r="A199" s="411" t="s">
        <v>278</v>
      </c>
      <c r="B199" s="400" t="s">
        <v>2470</v>
      </c>
      <c r="C199" s="401">
        <v>0.13</v>
      </c>
      <c r="D199" s="401">
        <v>0.13</v>
      </c>
      <c r="E199" s="401">
        <v>0.13</v>
      </c>
      <c r="F199" s="401">
        <v>0.13</v>
      </c>
      <c r="G199" s="402">
        <v>0.13</v>
      </c>
    </row>
    <row r="200" spans="1:7">
      <c r="A200" s="411" t="s">
        <v>278</v>
      </c>
      <c r="B200" s="400" t="s">
        <v>2480</v>
      </c>
      <c r="C200" s="417"/>
      <c r="D200" s="417"/>
      <c r="E200" s="417"/>
      <c r="F200" s="401">
        <v>0.13</v>
      </c>
      <c r="G200" s="413"/>
    </row>
    <row r="201" spans="1:7">
      <c r="A201" s="411" t="s">
        <v>278</v>
      </c>
      <c r="B201" s="400" t="s">
        <v>2490</v>
      </c>
      <c r="C201" s="401">
        <v>0.13</v>
      </c>
      <c r="D201" s="401">
        <v>0.13</v>
      </c>
      <c r="E201" s="401">
        <v>0.13</v>
      </c>
      <c r="F201" s="401">
        <v>0.129</v>
      </c>
      <c r="G201" s="402">
        <v>0.13</v>
      </c>
    </row>
    <row r="202" spans="1:7">
      <c r="A202" s="411" t="s">
        <v>278</v>
      </c>
      <c r="B202" s="400" t="s">
        <v>2499</v>
      </c>
      <c r="C202" s="401">
        <v>0.13</v>
      </c>
      <c r="D202" s="401">
        <v>0.13</v>
      </c>
      <c r="E202" s="401">
        <v>0.13</v>
      </c>
      <c r="F202" s="401">
        <v>0.13</v>
      </c>
      <c r="G202" s="402">
        <v>0.13</v>
      </c>
    </row>
    <row r="203" spans="1:7">
      <c r="A203" s="411" t="s">
        <v>278</v>
      </c>
      <c r="B203" s="400" t="s">
        <v>2509</v>
      </c>
      <c r="C203" s="401">
        <v>0.129</v>
      </c>
      <c r="D203" s="401">
        <v>0.129</v>
      </c>
      <c r="E203" s="401">
        <v>0.13</v>
      </c>
      <c r="F203" s="401">
        <v>0.13</v>
      </c>
      <c r="G203" s="402">
        <v>0.13</v>
      </c>
    </row>
    <row r="204" spans="1:7">
      <c r="A204" s="411" t="s">
        <v>278</v>
      </c>
      <c r="B204" s="400" t="s">
        <v>2519</v>
      </c>
      <c r="C204" s="401">
        <v>0.129</v>
      </c>
      <c r="D204" s="401">
        <v>0.129</v>
      </c>
      <c r="E204" s="401">
        <v>0.123</v>
      </c>
      <c r="F204" s="401">
        <v>0.13</v>
      </c>
      <c r="G204" s="402">
        <v>0.13</v>
      </c>
    </row>
    <row r="205" spans="1:7">
      <c r="A205" s="411" t="s">
        <v>278</v>
      </c>
      <c r="B205" s="400" t="s">
        <v>2529</v>
      </c>
      <c r="C205" s="401">
        <v>0.13</v>
      </c>
      <c r="D205" s="401">
        <v>0.13</v>
      </c>
      <c r="E205" s="401">
        <v>0.13</v>
      </c>
      <c r="F205" s="401">
        <v>0.13</v>
      </c>
      <c r="G205" s="402">
        <v>0.13</v>
      </c>
    </row>
    <row r="206" spans="1:7">
      <c r="A206" s="411" t="s">
        <v>278</v>
      </c>
      <c r="B206" s="400" t="s">
        <v>2539</v>
      </c>
      <c r="C206" s="401">
        <v>0.13</v>
      </c>
      <c r="D206" s="401">
        <v>0.13</v>
      </c>
      <c r="E206" s="401">
        <v>0.13</v>
      </c>
      <c r="F206" s="401">
        <v>0.128</v>
      </c>
      <c r="G206" s="402">
        <v>0.13</v>
      </c>
    </row>
    <row r="207" spans="1:7">
      <c r="A207" s="411" t="s">
        <v>278</v>
      </c>
      <c r="B207" s="400" t="s">
        <v>2549</v>
      </c>
      <c r="C207" s="401">
        <v>0.13</v>
      </c>
      <c r="D207" s="401">
        <v>0.13</v>
      </c>
      <c r="E207" s="401">
        <v>0.13</v>
      </c>
      <c r="F207" s="401">
        <v>0.13</v>
      </c>
      <c r="G207" s="402">
        <v>0.13</v>
      </c>
    </row>
    <row r="208" spans="1:7">
      <c r="A208" s="411" t="s">
        <v>278</v>
      </c>
      <c r="B208" s="400" t="s">
        <v>2559</v>
      </c>
      <c r="C208" s="401">
        <v>0.13</v>
      </c>
      <c r="D208" s="401">
        <v>0.13</v>
      </c>
      <c r="E208" s="401">
        <v>0.13</v>
      </c>
      <c r="F208" s="401">
        <v>0.13</v>
      </c>
      <c r="G208" s="402">
        <v>0.13</v>
      </c>
    </row>
    <row r="209" spans="1:7">
      <c r="A209" s="411" t="s">
        <v>278</v>
      </c>
      <c r="B209" s="400" t="s">
        <v>2569</v>
      </c>
      <c r="C209" s="401">
        <v>0.13</v>
      </c>
      <c r="D209" s="401">
        <v>0.13</v>
      </c>
      <c r="E209" s="401">
        <v>0.13</v>
      </c>
      <c r="F209" s="401">
        <v>0.13</v>
      </c>
      <c r="G209" s="402">
        <v>0.13</v>
      </c>
    </row>
    <row r="210" spans="1:7">
      <c r="A210" s="411" t="s">
        <v>278</v>
      </c>
      <c r="B210" s="400" t="s">
        <v>2578</v>
      </c>
      <c r="C210" s="401">
        <v>0.121</v>
      </c>
      <c r="D210" s="401">
        <v>0.121</v>
      </c>
      <c r="E210" s="401">
        <v>0.125</v>
      </c>
      <c r="F210" s="401">
        <v>0.13</v>
      </c>
      <c r="G210" s="402">
        <v>0.123</v>
      </c>
    </row>
    <row r="211" spans="1:7">
      <c r="A211" s="411" t="s">
        <v>278</v>
      </c>
      <c r="B211" s="400" t="s">
        <v>2586</v>
      </c>
      <c r="C211" s="401">
        <v>0.123</v>
      </c>
      <c r="D211" s="401">
        <v>0.123</v>
      </c>
      <c r="E211" s="401">
        <v>0.127</v>
      </c>
      <c r="F211" s="401">
        <v>0.115</v>
      </c>
      <c r="G211" s="402">
        <v>0.126</v>
      </c>
    </row>
    <row r="212" spans="1:7">
      <c r="A212" s="411" t="s">
        <v>278</v>
      </c>
      <c r="B212" s="400" t="s">
        <v>2594</v>
      </c>
      <c r="C212" s="401">
        <v>0.126</v>
      </c>
      <c r="D212" s="401">
        <v>0.126</v>
      </c>
      <c r="E212" s="401">
        <v>0.13</v>
      </c>
      <c r="F212" s="401">
        <v>0.13</v>
      </c>
      <c r="G212" s="402">
        <v>0.129</v>
      </c>
    </row>
    <row r="213" spans="1:7">
      <c r="A213" s="411" t="s">
        <v>278</v>
      </c>
      <c r="B213" s="400" t="s">
        <v>2602</v>
      </c>
      <c r="C213" s="401">
        <v>0.129</v>
      </c>
      <c r="D213" s="401">
        <v>0.13</v>
      </c>
      <c r="E213" s="401">
        <v>0.127</v>
      </c>
      <c r="F213" s="401">
        <v>0.13</v>
      </c>
      <c r="G213" s="402">
        <v>0.13</v>
      </c>
    </row>
    <row r="214" spans="1:7">
      <c r="A214" s="411" t="s">
        <v>278</v>
      </c>
      <c r="B214" s="400" t="s">
        <v>2610</v>
      </c>
      <c r="C214" s="401">
        <v>0.128</v>
      </c>
      <c r="D214" s="401">
        <v>0.128</v>
      </c>
      <c r="E214" s="401">
        <v>0.13</v>
      </c>
      <c r="F214" s="401">
        <v>0.13</v>
      </c>
      <c r="G214" s="402">
        <v>0.13</v>
      </c>
    </row>
    <row r="215" spans="1:7">
      <c r="A215" s="411" t="s">
        <v>278</v>
      </c>
      <c r="B215" s="400" t="s">
        <v>2617</v>
      </c>
      <c r="C215" s="401">
        <v>0.13</v>
      </c>
      <c r="D215" s="401">
        <v>0.13</v>
      </c>
      <c r="E215" s="401">
        <v>0.13</v>
      </c>
      <c r="F215" s="401">
        <v>0.129</v>
      </c>
      <c r="G215" s="402">
        <v>0.13</v>
      </c>
    </row>
    <row r="216" spans="1:7">
      <c r="A216" s="411" t="s">
        <v>278</v>
      </c>
      <c r="B216" s="400" t="s">
        <v>2624</v>
      </c>
      <c r="C216" s="401">
        <v>0.13</v>
      </c>
      <c r="D216" s="401">
        <v>0.13</v>
      </c>
      <c r="E216" s="401">
        <v>0.13</v>
      </c>
      <c r="F216" s="401">
        <v>0.13</v>
      </c>
      <c r="G216" s="402">
        <v>0.13</v>
      </c>
    </row>
    <row r="217" spans="1:7">
      <c r="A217" s="411" t="s">
        <v>278</v>
      </c>
      <c r="B217" s="400" t="s">
        <v>2631</v>
      </c>
      <c r="C217" s="401">
        <v>0.129</v>
      </c>
      <c r="D217" s="401">
        <v>0.129</v>
      </c>
      <c r="E217" s="401">
        <v>0.13</v>
      </c>
      <c r="F217" s="401">
        <v>0.13</v>
      </c>
      <c r="G217" s="402">
        <v>0.13</v>
      </c>
    </row>
    <row r="218" spans="1:7">
      <c r="A218" s="411" t="s">
        <v>278</v>
      </c>
      <c r="B218" s="400" t="s">
        <v>2638</v>
      </c>
      <c r="C218" s="412"/>
      <c r="D218" s="412"/>
      <c r="E218" s="412"/>
      <c r="F218" s="401">
        <v>0.05</v>
      </c>
      <c r="G218" s="418"/>
    </row>
    <row r="219" spans="1:7">
      <c r="A219" s="411" t="s">
        <v>278</v>
      </c>
      <c r="B219" s="400" t="s">
        <v>2645</v>
      </c>
      <c r="C219" s="412"/>
      <c r="D219" s="412"/>
      <c r="E219" s="412"/>
      <c r="F219" s="401">
        <v>0.05</v>
      </c>
      <c r="G219" s="418"/>
    </row>
    <row r="220" spans="1:7">
      <c r="A220" s="411" t="s">
        <v>278</v>
      </c>
      <c r="B220" s="400" t="s">
        <v>2652</v>
      </c>
      <c r="C220" s="412"/>
      <c r="D220" s="412"/>
      <c r="E220" s="412"/>
      <c r="F220" s="401">
        <v>0.05</v>
      </c>
      <c r="G220" s="418"/>
    </row>
    <row r="221" spans="1:7">
      <c r="A221" s="411" t="s">
        <v>278</v>
      </c>
      <c r="B221" s="400" t="s">
        <v>2659</v>
      </c>
      <c r="C221" s="412"/>
      <c r="D221" s="412"/>
      <c r="E221" s="412"/>
      <c r="F221" s="401">
        <v>0.05</v>
      </c>
      <c r="G221" s="418"/>
    </row>
    <row r="222" spans="1:7">
      <c r="A222" s="411" t="s">
        <v>278</v>
      </c>
      <c r="B222" s="400" t="s">
        <v>2664</v>
      </c>
      <c r="C222" s="412"/>
      <c r="D222" s="412"/>
      <c r="E222" s="412"/>
      <c r="F222" s="401">
        <v>0.05</v>
      </c>
      <c r="G222" s="418"/>
    </row>
    <row r="223" spans="1:7">
      <c r="A223" s="411" t="s">
        <v>278</v>
      </c>
      <c r="B223" s="400" t="s">
        <v>2669</v>
      </c>
      <c r="C223" s="412"/>
      <c r="D223" s="412"/>
      <c r="E223" s="412"/>
      <c r="F223" s="401">
        <v>0.05</v>
      </c>
      <c r="G223" s="418"/>
    </row>
    <row r="224" spans="1:7">
      <c r="A224" s="411" t="s">
        <v>278</v>
      </c>
      <c r="B224" s="400" t="s">
        <v>2674</v>
      </c>
      <c r="C224" s="412"/>
      <c r="D224" s="412"/>
      <c r="E224" s="412"/>
      <c r="F224" s="401">
        <v>0.05</v>
      </c>
      <c r="G224" s="418"/>
    </row>
    <row r="225" spans="1:7">
      <c r="A225" s="411" t="s">
        <v>278</v>
      </c>
      <c r="B225" s="400" t="s">
        <v>2679</v>
      </c>
      <c r="C225" s="412"/>
      <c r="D225" s="412"/>
      <c r="E225" s="412"/>
      <c r="F225" s="401">
        <v>0.05</v>
      </c>
      <c r="G225" s="418"/>
    </row>
    <row r="226" spans="1:7">
      <c r="A226" s="411" t="s">
        <v>278</v>
      </c>
      <c r="B226" s="400" t="s">
        <v>2684</v>
      </c>
      <c r="C226" s="412"/>
      <c r="D226" s="412"/>
      <c r="E226" s="412"/>
      <c r="F226" s="401">
        <v>0.05</v>
      </c>
      <c r="G226" s="418"/>
    </row>
    <row r="227" spans="1:7">
      <c r="A227" s="411" t="s">
        <v>278</v>
      </c>
      <c r="B227" s="400" t="s">
        <v>2743</v>
      </c>
      <c r="C227" s="412"/>
      <c r="D227" s="412"/>
      <c r="E227" s="412"/>
      <c r="F227" s="401">
        <v>0.05</v>
      </c>
      <c r="G227" s="418"/>
    </row>
    <row r="228" spans="1:7">
      <c r="A228" s="411" t="s">
        <v>278</v>
      </c>
      <c r="B228" s="400" t="s">
        <v>2744</v>
      </c>
      <c r="C228" s="412"/>
      <c r="D228" s="412"/>
      <c r="E228" s="412"/>
      <c r="F228" s="401">
        <v>0.05</v>
      </c>
      <c r="G228" s="418"/>
    </row>
    <row r="229" spans="1:7">
      <c r="A229" s="411" t="s">
        <v>278</v>
      </c>
      <c r="B229" s="400" t="s">
        <v>2745</v>
      </c>
      <c r="C229" s="412"/>
      <c r="D229" s="412"/>
      <c r="E229" s="412"/>
      <c r="F229" s="401">
        <v>0.05</v>
      </c>
      <c r="G229" s="418"/>
    </row>
    <row r="230" spans="1:7">
      <c r="A230" s="411" t="s">
        <v>278</v>
      </c>
      <c r="B230" s="400" t="s">
        <v>2703</v>
      </c>
      <c r="C230" s="412"/>
      <c r="D230" s="412"/>
      <c r="E230" s="412"/>
      <c r="F230" s="401">
        <v>0.05</v>
      </c>
      <c r="G230" s="418"/>
    </row>
    <row r="231" spans="1:7">
      <c r="A231" s="411" t="s">
        <v>278</v>
      </c>
      <c r="B231" s="400" t="s">
        <v>2707</v>
      </c>
      <c r="C231" s="412"/>
      <c r="D231" s="412"/>
      <c r="E231" s="412"/>
      <c r="F231" s="401">
        <v>0.05</v>
      </c>
      <c r="G231" s="418"/>
    </row>
    <row r="232" spans="1:7">
      <c r="A232" s="411" t="s">
        <v>278</v>
      </c>
      <c r="B232" s="400" t="s">
        <v>2746</v>
      </c>
      <c r="C232" s="412"/>
      <c r="D232" s="412"/>
      <c r="E232" s="412"/>
      <c r="F232" s="401">
        <v>0.05</v>
      </c>
      <c r="G232" s="418"/>
    </row>
    <row r="233" spans="1:7">
      <c r="A233" s="414" t="s">
        <v>278</v>
      </c>
      <c r="B233" s="404" t="s">
        <v>2715</v>
      </c>
      <c r="C233" s="406"/>
      <c r="D233" s="406"/>
      <c r="E233" s="406"/>
      <c r="F233" s="405">
        <v>0.05</v>
      </c>
      <c r="G233" s="419"/>
    </row>
    <row r="234" spans="1:7">
      <c r="A234" s="410" t="s">
        <v>284</v>
      </c>
      <c r="B234" s="396" t="s">
        <v>2367</v>
      </c>
      <c r="C234" s="397">
        <v>0.13</v>
      </c>
      <c r="D234" s="397">
        <v>0.128</v>
      </c>
      <c r="E234" s="397">
        <v>0.14199999999999999</v>
      </c>
      <c r="F234" s="397">
        <v>0.14699999999999999</v>
      </c>
      <c r="G234" s="398">
        <v>0.14000000000000001</v>
      </c>
    </row>
    <row r="235" spans="1:7">
      <c r="A235" s="411" t="s">
        <v>284</v>
      </c>
      <c r="B235" s="400" t="s">
        <v>2380</v>
      </c>
      <c r="C235" s="401">
        <v>0.13600000000000001</v>
      </c>
      <c r="D235" s="401">
        <v>0.13800000000000001</v>
      </c>
      <c r="E235" s="401">
        <v>0.14499999999999999</v>
      </c>
      <c r="F235" s="401">
        <v>0.14299999999999999</v>
      </c>
      <c r="G235" s="402">
        <v>0.14099999999999999</v>
      </c>
    </row>
    <row r="236" spans="1:7">
      <c r="A236" s="411" t="s">
        <v>284</v>
      </c>
      <c r="B236" s="400" t="s">
        <v>2394</v>
      </c>
      <c r="C236" s="401">
        <v>0.15</v>
      </c>
      <c r="D236" s="401">
        <v>0.15</v>
      </c>
      <c r="E236" s="401">
        <v>0.15</v>
      </c>
      <c r="F236" s="401">
        <v>0.15</v>
      </c>
      <c r="G236" s="402">
        <v>0.15</v>
      </c>
    </row>
    <row r="237" spans="1:7">
      <c r="A237" s="411" t="s">
        <v>284</v>
      </c>
      <c r="B237" s="400" t="s">
        <v>2406</v>
      </c>
      <c r="C237" s="401">
        <v>0.15</v>
      </c>
      <c r="D237" s="401">
        <v>0.15</v>
      </c>
      <c r="E237" s="401">
        <v>0.15</v>
      </c>
      <c r="F237" s="401">
        <v>0.15</v>
      </c>
      <c r="G237" s="402">
        <v>0.15</v>
      </c>
    </row>
    <row r="238" spans="1:7">
      <c r="A238" s="411" t="s">
        <v>284</v>
      </c>
      <c r="B238" s="400" t="s">
        <v>2418</v>
      </c>
      <c r="C238" s="401">
        <v>0.14899999999999999</v>
      </c>
      <c r="D238" s="401">
        <v>0.14899999999999999</v>
      </c>
      <c r="E238" s="401">
        <v>0.15</v>
      </c>
      <c r="F238" s="401">
        <v>0.15</v>
      </c>
      <c r="G238" s="402">
        <v>0.15</v>
      </c>
    </row>
    <row r="239" spans="1:7">
      <c r="A239" s="411" t="s">
        <v>284</v>
      </c>
      <c r="B239" s="400" t="s">
        <v>2429</v>
      </c>
      <c r="C239" s="401">
        <v>0.15</v>
      </c>
      <c r="D239" s="401">
        <v>0.15</v>
      </c>
      <c r="E239" s="401">
        <v>0.15</v>
      </c>
      <c r="F239" s="401">
        <v>0.15</v>
      </c>
      <c r="G239" s="402">
        <v>0.15</v>
      </c>
    </row>
    <row r="240" spans="1:7">
      <c r="A240" s="411" t="s">
        <v>284</v>
      </c>
      <c r="B240" s="400" t="s">
        <v>2440</v>
      </c>
      <c r="C240" s="401">
        <v>0.15</v>
      </c>
      <c r="D240" s="401">
        <v>0.15</v>
      </c>
      <c r="E240" s="401">
        <v>0.15</v>
      </c>
      <c r="F240" s="401">
        <v>0.15</v>
      </c>
      <c r="G240" s="402">
        <v>0.15</v>
      </c>
    </row>
    <row r="241" spans="1:7">
      <c r="A241" s="411" t="s">
        <v>284</v>
      </c>
      <c r="B241" s="400" t="s">
        <v>2451</v>
      </c>
      <c r="C241" s="401">
        <v>0.14099999999999999</v>
      </c>
      <c r="D241" s="401">
        <v>0.14199999999999999</v>
      </c>
      <c r="E241" s="401">
        <v>0.14899999999999999</v>
      </c>
      <c r="F241" s="401">
        <v>0.15</v>
      </c>
      <c r="G241" s="402">
        <v>0.14399999999999999</v>
      </c>
    </row>
    <row r="242" spans="1:7">
      <c r="A242" s="411" t="s">
        <v>284</v>
      </c>
      <c r="B242" s="400" t="s">
        <v>2461</v>
      </c>
      <c r="C242" s="401">
        <v>0.14099999999999999</v>
      </c>
      <c r="D242" s="401">
        <v>0.14199999999999999</v>
      </c>
      <c r="E242" s="401">
        <v>0.14799999999999999</v>
      </c>
      <c r="F242" s="401">
        <v>0.127</v>
      </c>
      <c r="G242" s="402">
        <v>0.14399999999999999</v>
      </c>
    </row>
    <row r="243" spans="1:7">
      <c r="A243" s="411" t="s">
        <v>284</v>
      </c>
      <c r="B243" s="400" t="s">
        <v>2471</v>
      </c>
      <c r="C243" s="401">
        <v>0.14699999999999999</v>
      </c>
      <c r="D243" s="401">
        <v>0.14699999999999999</v>
      </c>
      <c r="E243" s="401">
        <v>0.15</v>
      </c>
      <c r="F243" s="401">
        <v>0.15</v>
      </c>
      <c r="G243" s="402">
        <v>0.14899999999999999</v>
      </c>
    </row>
    <row r="244" spans="1:7">
      <c r="A244" s="411" t="s">
        <v>284</v>
      </c>
      <c r="B244" s="400" t="s">
        <v>2481</v>
      </c>
      <c r="C244" s="401">
        <v>0.15</v>
      </c>
      <c r="D244" s="401">
        <v>0.15</v>
      </c>
      <c r="E244" s="401">
        <v>0.15</v>
      </c>
      <c r="F244" s="401">
        <v>0.15</v>
      </c>
      <c r="G244" s="402">
        <v>0.15</v>
      </c>
    </row>
    <row r="245" spans="1:7">
      <c r="A245" s="411" t="s">
        <v>284</v>
      </c>
      <c r="B245" s="400" t="s">
        <v>2491</v>
      </c>
      <c r="C245" s="401">
        <v>0.14199999999999999</v>
      </c>
      <c r="D245" s="401">
        <v>0.14199999999999999</v>
      </c>
      <c r="E245" s="401">
        <v>0.15</v>
      </c>
      <c r="F245" s="401">
        <v>0.15</v>
      </c>
      <c r="G245" s="402">
        <v>0.14499999999999999</v>
      </c>
    </row>
    <row r="246" spans="1:7">
      <c r="A246" s="411" t="s">
        <v>284</v>
      </c>
      <c r="B246" s="400" t="s">
        <v>2500</v>
      </c>
      <c r="C246" s="401">
        <v>0.14199999999999999</v>
      </c>
      <c r="D246" s="401">
        <v>0.14299999999999999</v>
      </c>
      <c r="E246" s="401">
        <v>0.15</v>
      </c>
      <c r="F246" s="401">
        <v>0.14199999999999999</v>
      </c>
      <c r="G246" s="402">
        <v>0.14399999999999999</v>
      </c>
    </row>
    <row r="247" spans="1:7">
      <c r="A247" s="411" t="s">
        <v>284</v>
      </c>
      <c r="B247" s="400" t="s">
        <v>2510</v>
      </c>
      <c r="C247" s="401">
        <v>0.14899999999999999</v>
      </c>
      <c r="D247" s="401">
        <v>0.14899999999999999</v>
      </c>
      <c r="E247" s="401">
        <v>0.15</v>
      </c>
      <c r="F247" s="401">
        <v>0.15</v>
      </c>
      <c r="G247" s="402">
        <v>0.15</v>
      </c>
    </row>
    <row r="248" spans="1:7">
      <c r="A248" s="411" t="s">
        <v>284</v>
      </c>
      <c r="B248" s="400" t="s">
        <v>2520</v>
      </c>
      <c r="C248" s="401">
        <v>0.14399999999999999</v>
      </c>
      <c r="D248" s="401">
        <v>0.14399999999999999</v>
      </c>
      <c r="E248" s="401">
        <v>0.14899999999999999</v>
      </c>
      <c r="F248" s="401">
        <v>0.14799999999999999</v>
      </c>
      <c r="G248" s="402">
        <v>0.14599999999999999</v>
      </c>
    </row>
    <row r="249" spans="1:7">
      <c r="A249" s="411" t="s">
        <v>284</v>
      </c>
      <c r="B249" s="400" t="s">
        <v>2530</v>
      </c>
      <c r="C249" s="401">
        <v>0.14000000000000001</v>
      </c>
      <c r="D249" s="401">
        <v>0.14000000000000001</v>
      </c>
      <c r="E249" s="401">
        <v>0.14699999999999999</v>
      </c>
      <c r="F249" s="401">
        <v>0.14899999999999999</v>
      </c>
      <c r="G249" s="402">
        <v>0.14199999999999999</v>
      </c>
    </row>
    <row r="250" spans="1:7">
      <c r="A250" s="411" t="s">
        <v>284</v>
      </c>
      <c r="B250" s="400" t="s">
        <v>2540</v>
      </c>
      <c r="C250" s="401">
        <v>0.14399999999999999</v>
      </c>
      <c r="D250" s="401">
        <v>0.14299999999999999</v>
      </c>
      <c r="E250" s="401">
        <v>0.14899999999999999</v>
      </c>
      <c r="F250" s="401">
        <v>0.15</v>
      </c>
      <c r="G250" s="402">
        <v>0.14599999999999999</v>
      </c>
    </row>
    <row r="251" spans="1:7">
      <c r="A251" s="411" t="s">
        <v>284</v>
      </c>
      <c r="B251" s="400" t="s">
        <v>2550</v>
      </c>
      <c r="C251" s="417"/>
      <c r="D251" s="412"/>
      <c r="E251" s="412"/>
      <c r="F251" s="401">
        <v>0.1</v>
      </c>
      <c r="G251" s="418"/>
    </row>
    <row r="252" spans="1:7">
      <c r="A252" s="411" t="s">
        <v>284</v>
      </c>
      <c r="B252" s="400" t="s">
        <v>2560</v>
      </c>
      <c r="C252" s="401">
        <v>0.14399999999999999</v>
      </c>
      <c r="D252" s="401">
        <v>0.14399999999999999</v>
      </c>
      <c r="E252" s="401">
        <v>0.15</v>
      </c>
      <c r="F252" s="401">
        <v>0.14899999999999999</v>
      </c>
      <c r="G252" s="402">
        <v>0.14599999999999999</v>
      </c>
    </row>
    <row r="253" spans="1:7">
      <c r="A253" s="411" t="s">
        <v>284</v>
      </c>
      <c r="B253" s="400" t="s">
        <v>2570</v>
      </c>
      <c r="C253" s="401">
        <v>0.14199999999999999</v>
      </c>
      <c r="D253" s="401">
        <v>0.14199999999999999</v>
      </c>
      <c r="E253" s="401">
        <v>0.14599999999999999</v>
      </c>
      <c r="F253" s="401">
        <v>0.14799999999999999</v>
      </c>
      <c r="G253" s="402">
        <v>0.14499999999999999</v>
      </c>
    </row>
    <row r="254" spans="1:7">
      <c r="A254" s="411" t="s">
        <v>284</v>
      </c>
      <c r="B254" s="400" t="s">
        <v>2579</v>
      </c>
      <c r="C254" s="401">
        <v>0.15</v>
      </c>
      <c r="D254" s="401">
        <v>0.15</v>
      </c>
      <c r="E254" s="401">
        <v>0.15</v>
      </c>
      <c r="F254" s="401">
        <v>0.15</v>
      </c>
      <c r="G254" s="402">
        <v>0.15</v>
      </c>
    </row>
    <row r="255" spans="1:7">
      <c r="A255" s="411" t="s">
        <v>284</v>
      </c>
      <c r="B255" s="400" t="s">
        <v>2587</v>
      </c>
      <c r="C255" s="401">
        <v>0.14299999999999999</v>
      </c>
      <c r="D255" s="401">
        <v>0.14299999999999999</v>
      </c>
      <c r="E255" s="401">
        <v>0.15</v>
      </c>
      <c r="F255" s="401">
        <v>0.15</v>
      </c>
      <c r="G255" s="402">
        <v>0.14499999999999999</v>
      </c>
    </row>
    <row r="256" spans="1:7">
      <c r="A256" s="411" t="s">
        <v>284</v>
      </c>
      <c r="B256" s="400" t="s">
        <v>2595</v>
      </c>
      <c r="C256" s="401">
        <v>0.15</v>
      </c>
      <c r="D256" s="401">
        <v>0.15</v>
      </c>
      <c r="E256" s="401">
        <v>0.15</v>
      </c>
      <c r="F256" s="401">
        <v>0.14599999999999999</v>
      </c>
      <c r="G256" s="402">
        <v>0.15</v>
      </c>
    </row>
    <row r="257" spans="1:7">
      <c r="A257" s="411" t="s">
        <v>284</v>
      </c>
      <c r="B257" s="400" t="s">
        <v>2603</v>
      </c>
      <c r="C257" s="401">
        <v>0.14199999999999999</v>
      </c>
      <c r="D257" s="401">
        <v>0.14299999999999999</v>
      </c>
      <c r="E257" s="401">
        <v>0.14799999999999999</v>
      </c>
      <c r="F257" s="401">
        <v>0.15</v>
      </c>
      <c r="G257" s="402">
        <v>0.14499999999999999</v>
      </c>
    </row>
    <row r="258" spans="1:7">
      <c r="A258" s="411" t="s">
        <v>284</v>
      </c>
      <c r="B258" s="400" t="s">
        <v>2611</v>
      </c>
      <c r="C258" s="401">
        <v>0.14299999999999999</v>
      </c>
      <c r="D258" s="401">
        <v>0.14299999999999999</v>
      </c>
      <c r="E258" s="401">
        <v>0.15</v>
      </c>
      <c r="F258" s="401">
        <v>0.14799999999999999</v>
      </c>
      <c r="G258" s="402">
        <v>0.14599999999999999</v>
      </c>
    </row>
    <row r="259" spans="1:7">
      <c r="A259" s="411" t="s">
        <v>284</v>
      </c>
      <c r="B259" s="400" t="s">
        <v>2618</v>
      </c>
      <c r="C259" s="401">
        <v>0.14399999999999999</v>
      </c>
      <c r="D259" s="401">
        <v>0.14399999999999999</v>
      </c>
      <c r="E259" s="401">
        <v>0.14899999999999999</v>
      </c>
      <c r="F259" s="401">
        <v>0.14699999999999999</v>
      </c>
      <c r="G259" s="402">
        <v>0.14599999999999999</v>
      </c>
    </row>
    <row r="260" spans="1:7">
      <c r="A260" s="411" t="s">
        <v>284</v>
      </c>
      <c r="B260" s="400" t="s">
        <v>2625</v>
      </c>
      <c r="C260" s="401">
        <v>0.109</v>
      </c>
      <c r="D260" s="401">
        <v>0.111</v>
      </c>
      <c r="E260" s="401">
        <v>0.13100000000000001</v>
      </c>
      <c r="F260" s="401">
        <v>0.126</v>
      </c>
      <c r="G260" s="402">
        <v>0.11899999999999999</v>
      </c>
    </row>
    <row r="261" spans="1:7">
      <c r="A261" s="411" t="s">
        <v>284</v>
      </c>
      <c r="B261" s="400" t="s">
        <v>2632</v>
      </c>
      <c r="C261" s="401">
        <v>0.1</v>
      </c>
      <c r="D261" s="401">
        <v>0.1</v>
      </c>
      <c r="E261" s="401">
        <v>0.11799999999999999</v>
      </c>
      <c r="F261" s="401">
        <v>0.108</v>
      </c>
      <c r="G261" s="402">
        <v>0.107</v>
      </c>
    </row>
    <row r="262" spans="1:7">
      <c r="A262" s="411" t="s">
        <v>284</v>
      </c>
      <c r="B262" s="400" t="s">
        <v>2639</v>
      </c>
      <c r="C262" s="401">
        <v>0.1</v>
      </c>
      <c r="D262" s="401">
        <v>0.1</v>
      </c>
      <c r="E262" s="401">
        <v>0.1</v>
      </c>
      <c r="F262" s="401">
        <v>0.14099999999999999</v>
      </c>
      <c r="G262" s="402">
        <v>0.1</v>
      </c>
    </row>
    <row r="263" spans="1:7">
      <c r="A263" s="411" t="s">
        <v>284</v>
      </c>
      <c r="B263" s="400" t="s">
        <v>2646</v>
      </c>
      <c r="C263" s="401">
        <v>0.14799999999999999</v>
      </c>
      <c r="D263" s="401">
        <v>0.14799999999999999</v>
      </c>
      <c r="E263" s="401">
        <v>0.15</v>
      </c>
      <c r="F263" s="401">
        <v>0.14699999999999999</v>
      </c>
      <c r="G263" s="402">
        <v>0.15</v>
      </c>
    </row>
    <row r="264" spans="1:7">
      <c r="A264" s="411" t="s">
        <v>284</v>
      </c>
      <c r="B264" s="400" t="s">
        <v>2653</v>
      </c>
      <c r="C264" s="401">
        <v>0.14299999999999999</v>
      </c>
      <c r="D264" s="401">
        <v>0.14299999999999999</v>
      </c>
      <c r="E264" s="401">
        <v>0.15</v>
      </c>
      <c r="F264" s="401">
        <v>0.14899999999999999</v>
      </c>
      <c r="G264" s="402">
        <v>0.14599999999999999</v>
      </c>
    </row>
    <row r="265" spans="1:7">
      <c r="A265" s="411" t="s">
        <v>284</v>
      </c>
      <c r="B265" s="400" t="s">
        <v>2660</v>
      </c>
      <c r="C265" s="412"/>
      <c r="D265" s="412"/>
      <c r="E265" s="412"/>
      <c r="F265" s="401">
        <v>0.05</v>
      </c>
      <c r="G265" s="418"/>
    </row>
    <row r="266" spans="1:7">
      <c r="A266" s="411" t="s">
        <v>284</v>
      </c>
      <c r="B266" s="400" t="s">
        <v>2665</v>
      </c>
      <c r="C266" s="412"/>
      <c r="D266" s="412"/>
      <c r="E266" s="412"/>
      <c r="F266" s="401">
        <v>0.05</v>
      </c>
      <c r="G266" s="418"/>
    </row>
    <row r="267" spans="1:7">
      <c r="A267" s="411" t="s">
        <v>284</v>
      </c>
      <c r="B267" s="400" t="s">
        <v>2670</v>
      </c>
      <c r="C267" s="412"/>
      <c r="D267" s="412"/>
      <c r="E267" s="412"/>
      <c r="F267" s="401">
        <v>0.05</v>
      </c>
      <c r="G267" s="418"/>
    </row>
    <row r="268" spans="1:7">
      <c r="A268" s="411" t="s">
        <v>284</v>
      </c>
      <c r="B268" s="400" t="s">
        <v>2675</v>
      </c>
      <c r="C268" s="412"/>
      <c r="D268" s="412"/>
      <c r="E268" s="412"/>
      <c r="F268" s="401">
        <v>0.05</v>
      </c>
      <c r="G268" s="418"/>
    </row>
    <row r="269" spans="1:7">
      <c r="A269" s="411" t="s">
        <v>284</v>
      </c>
      <c r="B269" s="400" t="s">
        <v>2680</v>
      </c>
      <c r="C269" s="412"/>
      <c r="D269" s="412"/>
      <c r="E269" s="412"/>
      <c r="F269" s="401">
        <v>0.05</v>
      </c>
      <c r="G269" s="418"/>
    </row>
    <row r="270" spans="1:7">
      <c r="A270" s="411" t="s">
        <v>284</v>
      </c>
      <c r="B270" s="400" t="s">
        <v>2685</v>
      </c>
      <c r="C270" s="412"/>
      <c r="D270" s="412"/>
      <c r="E270" s="412"/>
      <c r="F270" s="401">
        <v>0.05</v>
      </c>
      <c r="G270" s="418"/>
    </row>
    <row r="271" spans="1:7">
      <c r="A271" s="411" t="s">
        <v>284</v>
      </c>
      <c r="B271" s="400" t="s">
        <v>2690</v>
      </c>
      <c r="C271" s="412"/>
      <c r="D271" s="412"/>
      <c r="E271" s="412"/>
      <c r="F271" s="401">
        <v>0.05</v>
      </c>
      <c r="G271" s="418"/>
    </row>
    <row r="272" spans="1:7">
      <c r="A272" s="411" t="s">
        <v>284</v>
      </c>
      <c r="B272" s="400" t="s">
        <v>2695</v>
      </c>
      <c r="C272" s="412"/>
      <c r="D272" s="412"/>
      <c r="E272" s="412"/>
      <c r="F272" s="401">
        <v>0.05</v>
      </c>
      <c r="G272" s="418"/>
    </row>
    <row r="273" spans="1:7">
      <c r="A273" s="411" t="s">
        <v>284</v>
      </c>
      <c r="B273" s="400" t="s">
        <v>2700</v>
      </c>
      <c r="C273" s="412"/>
      <c r="D273" s="412"/>
      <c r="E273" s="412"/>
      <c r="F273" s="401">
        <v>0.05</v>
      </c>
      <c r="G273" s="418"/>
    </row>
    <row r="274" spans="1:7">
      <c r="A274" s="411" t="s">
        <v>284</v>
      </c>
      <c r="B274" s="400" t="s">
        <v>2704</v>
      </c>
      <c r="C274" s="412"/>
      <c r="D274" s="412"/>
      <c r="E274" s="412"/>
      <c r="F274" s="401">
        <v>0.05</v>
      </c>
      <c r="G274" s="418"/>
    </row>
    <row r="275" spans="1:7">
      <c r="A275" s="411" t="s">
        <v>284</v>
      </c>
      <c r="B275" s="400" t="s">
        <v>2708</v>
      </c>
      <c r="C275" s="412"/>
      <c r="D275" s="412"/>
      <c r="E275" s="412"/>
      <c r="F275" s="401">
        <v>0.05</v>
      </c>
      <c r="G275" s="418"/>
    </row>
    <row r="276" spans="1:7">
      <c r="A276" s="414" t="s">
        <v>284</v>
      </c>
      <c r="B276" s="404" t="s">
        <v>2712</v>
      </c>
      <c r="C276" s="406"/>
      <c r="D276" s="406"/>
      <c r="E276" s="406"/>
      <c r="F276" s="405">
        <v>0.05</v>
      </c>
      <c r="G276" s="419"/>
    </row>
    <row r="277" spans="1:7">
      <c r="A277" s="410" t="s">
        <v>288</v>
      </c>
      <c r="B277" s="396" t="s">
        <v>2368</v>
      </c>
      <c r="C277" s="397">
        <v>0.15</v>
      </c>
      <c r="D277" s="397">
        <v>0.15</v>
      </c>
      <c r="E277" s="397">
        <v>0.15</v>
      </c>
      <c r="F277" s="397">
        <v>0.15</v>
      </c>
      <c r="G277" s="398">
        <v>0.15</v>
      </c>
    </row>
    <row r="278" spans="1:7">
      <c r="A278" s="411" t="s">
        <v>288</v>
      </c>
      <c r="B278" s="400" t="s">
        <v>2381</v>
      </c>
      <c r="C278" s="401">
        <v>0.15</v>
      </c>
      <c r="D278" s="401">
        <v>0.15</v>
      </c>
      <c r="E278" s="401">
        <v>0.15</v>
      </c>
      <c r="F278" s="401">
        <v>0.15</v>
      </c>
      <c r="G278" s="402">
        <v>0.15</v>
      </c>
    </row>
    <row r="279" spans="1:7">
      <c r="A279" s="411" t="s">
        <v>288</v>
      </c>
      <c r="B279" s="400" t="s">
        <v>2395</v>
      </c>
      <c r="C279" s="401">
        <v>0.15</v>
      </c>
      <c r="D279" s="401">
        <v>0.15</v>
      </c>
      <c r="E279" s="401">
        <v>0.15</v>
      </c>
      <c r="F279" s="401">
        <v>0.15</v>
      </c>
      <c r="G279" s="402">
        <v>0.15</v>
      </c>
    </row>
    <row r="280" spans="1:7">
      <c r="A280" s="411" t="s">
        <v>288</v>
      </c>
      <c r="B280" s="400" t="s">
        <v>2407</v>
      </c>
      <c r="C280" s="401">
        <v>0.15</v>
      </c>
      <c r="D280" s="401">
        <v>0.15</v>
      </c>
      <c r="E280" s="401">
        <v>0.15</v>
      </c>
      <c r="F280" s="401">
        <v>0.15</v>
      </c>
      <c r="G280" s="402">
        <v>0.15</v>
      </c>
    </row>
    <row r="281" spans="1:7">
      <c r="A281" s="411" t="s">
        <v>288</v>
      </c>
      <c r="B281" s="400" t="s">
        <v>2419</v>
      </c>
      <c r="C281" s="401">
        <v>0.15</v>
      </c>
      <c r="D281" s="401">
        <v>0.15</v>
      </c>
      <c r="E281" s="401">
        <v>0.15</v>
      </c>
      <c r="F281" s="401">
        <v>0.15</v>
      </c>
      <c r="G281" s="402">
        <v>0.15</v>
      </c>
    </row>
    <row r="282" spans="1:7">
      <c r="A282" s="411" t="s">
        <v>288</v>
      </c>
      <c r="B282" s="400" t="s">
        <v>2430</v>
      </c>
      <c r="C282" s="401">
        <v>0.15</v>
      </c>
      <c r="D282" s="401">
        <v>0.15</v>
      </c>
      <c r="E282" s="401">
        <v>0.15</v>
      </c>
      <c r="F282" s="401">
        <v>0.14499999999999999</v>
      </c>
      <c r="G282" s="402">
        <v>0.15</v>
      </c>
    </row>
    <row r="283" spans="1:7">
      <c r="A283" s="411" t="s">
        <v>288</v>
      </c>
      <c r="B283" s="400" t="s">
        <v>2441</v>
      </c>
      <c r="C283" s="401">
        <v>0.15</v>
      </c>
      <c r="D283" s="401">
        <v>0.15</v>
      </c>
      <c r="E283" s="401">
        <v>0.15</v>
      </c>
      <c r="F283" s="401">
        <v>0.14199999999999999</v>
      </c>
      <c r="G283" s="402">
        <v>0.15</v>
      </c>
    </row>
    <row r="284" spans="1:7">
      <c r="A284" s="411" t="s">
        <v>288</v>
      </c>
      <c r="B284" s="400" t="s">
        <v>2452</v>
      </c>
      <c r="C284" s="401">
        <v>0.15</v>
      </c>
      <c r="D284" s="401">
        <v>0.15</v>
      </c>
      <c r="E284" s="401">
        <v>0.15</v>
      </c>
      <c r="F284" s="401">
        <v>0.15</v>
      </c>
      <c r="G284" s="402">
        <v>0.15</v>
      </c>
    </row>
    <row r="285" spans="1:7">
      <c r="A285" s="411" t="s">
        <v>288</v>
      </c>
      <c r="B285" s="400" t="s">
        <v>2462</v>
      </c>
      <c r="C285" s="401">
        <v>0.15</v>
      </c>
      <c r="D285" s="401">
        <v>0.15</v>
      </c>
      <c r="E285" s="401">
        <v>0.15</v>
      </c>
      <c r="F285" s="401">
        <v>0.15</v>
      </c>
      <c r="G285" s="402">
        <v>0.15</v>
      </c>
    </row>
    <row r="286" spans="1:7">
      <c r="A286" s="411" t="s">
        <v>288</v>
      </c>
      <c r="B286" s="400" t="s">
        <v>2472</v>
      </c>
      <c r="C286" s="401">
        <v>0.14499999999999999</v>
      </c>
      <c r="D286" s="401">
        <v>0.14499999999999999</v>
      </c>
      <c r="E286" s="401">
        <v>0.15</v>
      </c>
      <c r="F286" s="401">
        <v>0.14099999999999999</v>
      </c>
      <c r="G286" s="402">
        <v>0.14499999999999999</v>
      </c>
    </row>
    <row r="287" spans="1:7">
      <c r="A287" s="411" t="s">
        <v>288</v>
      </c>
      <c r="B287" s="400" t="s">
        <v>2482</v>
      </c>
      <c r="C287" s="401">
        <v>0.11</v>
      </c>
      <c r="D287" s="401">
        <v>0.111</v>
      </c>
      <c r="E287" s="401">
        <v>0.14099999999999999</v>
      </c>
      <c r="F287" s="401">
        <v>0.11</v>
      </c>
      <c r="G287" s="402">
        <v>0.12</v>
      </c>
    </row>
    <row r="288" spans="1:7">
      <c r="A288" s="411" t="s">
        <v>288</v>
      </c>
      <c r="B288" s="400" t="s">
        <v>2492</v>
      </c>
      <c r="C288" s="401">
        <v>0.14199999999999999</v>
      </c>
      <c r="D288" s="401">
        <v>0.14299999999999999</v>
      </c>
      <c r="E288" s="401">
        <v>0.15</v>
      </c>
      <c r="F288" s="401">
        <v>0.14199999999999999</v>
      </c>
      <c r="G288" s="402">
        <v>0.14399999999999999</v>
      </c>
    </row>
    <row r="289" spans="1:7">
      <c r="A289" s="411" t="s">
        <v>288</v>
      </c>
      <c r="B289" s="400" t="s">
        <v>2501</v>
      </c>
      <c r="C289" s="401">
        <v>0.14299999999999999</v>
      </c>
      <c r="D289" s="401">
        <v>0.14299999999999999</v>
      </c>
      <c r="E289" s="401">
        <v>0.14799999999999999</v>
      </c>
      <c r="F289" s="401">
        <v>0.14399999999999999</v>
      </c>
      <c r="G289" s="402">
        <v>0.14399999999999999</v>
      </c>
    </row>
    <row r="290" spans="1:7">
      <c r="A290" s="411" t="s">
        <v>288</v>
      </c>
      <c r="B290" s="400" t="s">
        <v>2511</v>
      </c>
      <c r="C290" s="401">
        <v>0.14799999999999999</v>
      </c>
      <c r="D290" s="401">
        <v>0.14899999999999999</v>
      </c>
      <c r="E290" s="401">
        <v>0.15</v>
      </c>
      <c r="F290" s="401">
        <v>0.127</v>
      </c>
      <c r="G290" s="402">
        <v>0.15</v>
      </c>
    </row>
    <row r="291" spans="1:7">
      <c r="A291" s="411" t="s">
        <v>288</v>
      </c>
      <c r="B291" s="400" t="s">
        <v>2521</v>
      </c>
      <c r="C291" s="401">
        <v>0.15</v>
      </c>
      <c r="D291" s="401">
        <v>0.15</v>
      </c>
      <c r="E291" s="401">
        <v>0.15</v>
      </c>
      <c r="F291" s="401">
        <v>0.14899999999999999</v>
      </c>
      <c r="G291" s="402">
        <v>0.15</v>
      </c>
    </row>
    <row r="292" spans="1:7">
      <c r="A292" s="411" t="s">
        <v>288</v>
      </c>
      <c r="B292" s="400" t="s">
        <v>2531</v>
      </c>
      <c r="C292" s="401">
        <v>0.15</v>
      </c>
      <c r="D292" s="401">
        <v>0.15</v>
      </c>
      <c r="E292" s="401">
        <v>0.15</v>
      </c>
      <c r="F292" s="401">
        <v>0.14399999999999999</v>
      </c>
      <c r="G292" s="402">
        <v>0.15</v>
      </c>
    </row>
    <row r="293" spans="1:7">
      <c r="A293" s="411" t="s">
        <v>288</v>
      </c>
      <c r="B293" s="400" t="s">
        <v>2541</v>
      </c>
      <c r="C293" s="401">
        <v>0.15</v>
      </c>
      <c r="D293" s="401">
        <v>0.15</v>
      </c>
      <c r="E293" s="401">
        <v>0.15</v>
      </c>
      <c r="F293" s="401">
        <v>0.14499999999999999</v>
      </c>
      <c r="G293" s="402">
        <v>0.15</v>
      </c>
    </row>
    <row r="294" spans="1:7">
      <c r="A294" s="411" t="s">
        <v>288</v>
      </c>
      <c r="B294" s="400" t="s">
        <v>2551</v>
      </c>
      <c r="C294" s="401">
        <v>0.15</v>
      </c>
      <c r="D294" s="401">
        <v>0.15</v>
      </c>
      <c r="E294" s="401">
        <v>0.15</v>
      </c>
      <c r="F294" s="401">
        <v>0.14899999999999999</v>
      </c>
      <c r="G294" s="402">
        <v>0.15</v>
      </c>
    </row>
    <row r="295" spans="1:7">
      <c r="A295" s="411" t="s">
        <v>288</v>
      </c>
      <c r="B295" s="400" t="s">
        <v>2561</v>
      </c>
      <c r="C295" s="401">
        <v>0.15</v>
      </c>
      <c r="D295" s="401">
        <v>0.15</v>
      </c>
      <c r="E295" s="401">
        <v>0.15</v>
      </c>
      <c r="F295" s="401">
        <v>0.14799999999999999</v>
      </c>
      <c r="G295" s="402">
        <v>0.15</v>
      </c>
    </row>
    <row r="296" spans="1:7">
      <c r="A296" s="411" t="s">
        <v>288</v>
      </c>
      <c r="B296" s="400" t="s">
        <v>2571</v>
      </c>
      <c r="C296" s="401">
        <v>0.15</v>
      </c>
      <c r="D296" s="401">
        <v>0.15</v>
      </c>
      <c r="E296" s="401">
        <v>0.15</v>
      </c>
      <c r="F296" s="401">
        <v>0.14399999999999999</v>
      </c>
      <c r="G296" s="402">
        <v>0.15</v>
      </c>
    </row>
    <row r="297" spans="1:7">
      <c r="A297" s="411" t="s">
        <v>288</v>
      </c>
      <c r="B297" s="400" t="s">
        <v>2580</v>
      </c>
      <c r="C297" s="401">
        <v>0.15</v>
      </c>
      <c r="D297" s="401">
        <v>0.15</v>
      </c>
      <c r="E297" s="401">
        <v>0.15</v>
      </c>
      <c r="F297" s="401">
        <v>0.14499999999999999</v>
      </c>
      <c r="G297" s="402">
        <v>0.15</v>
      </c>
    </row>
    <row r="298" spans="1:7">
      <c r="A298" s="411" t="s">
        <v>288</v>
      </c>
      <c r="B298" s="400" t="s">
        <v>2588</v>
      </c>
      <c r="C298" s="401">
        <v>0.15</v>
      </c>
      <c r="D298" s="401">
        <v>0.15</v>
      </c>
      <c r="E298" s="401">
        <v>0.15</v>
      </c>
      <c r="F298" s="401">
        <v>0.15</v>
      </c>
      <c r="G298" s="402">
        <v>0.15</v>
      </c>
    </row>
    <row r="299" spans="1:7">
      <c r="A299" s="411" t="s">
        <v>288</v>
      </c>
      <c r="B299" s="420" t="s">
        <v>2596</v>
      </c>
      <c r="C299" s="401">
        <v>0.15</v>
      </c>
      <c r="D299" s="401">
        <v>0.15</v>
      </c>
      <c r="E299" s="401">
        <v>0.15</v>
      </c>
      <c r="F299" s="401">
        <v>0.14499999999999999</v>
      </c>
      <c r="G299" s="402">
        <v>0.15</v>
      </c>
    </row>
    <row r="300" spans="1:7">
      <c r="A300" s="411" t="s">
        <v>288</v>
      </c>
      <c r="B300" s="420" t="s">
        <v>2604</v>
      </c>
      <c r="C300" s="401">
        <v>0.15</v>
      </c>
      <c r="D300" s="401">
        <v>0.15</v>
      </c>
      <c r="E300" s="401">
        <v>0.15</v>
      </c>
      <c r="F300" s="401">
        <v>0.14599999999999999</v>
      </c>
      <c r="G300" s="402">
        <v>0.15</v>
      </c>
    </row>
    <row r="301" spans="1:7">
      <c r="A301" s="411" t="s">
        <v>288</v>
      </c>
      <c r="B301" s="420" t="s">
        <v>2612</v>
      </c>
      <c r="C301" s="401">
        <v>0.126</v>
      </c>
      <c r="D301" s="401">
        <v>0.124</v>
      </c>
      <c r="E301" s="401">
        <v>0.14099999999999999</v>
      </c>
      <c r="F301" s="401">
        <v>0.14399999999999999</v>
      </c>
      <c r="G301" s="402">
        <v>0.13</v>
      </c>
    </row>
    <row r="302" spans="1:7">
      <c r="A302" s="411" t="s">
        <v>288</v>
      </c>
      <c r="B302" s="400" t="s">
        <v>2619</v>
      </c>
      <c r="C302" s="401">
        <v>0.15</v>
      </c>
      <c r="D302" s="401">
        <v>0.15</v>
      </c>
      <c r="E302" s="401">
        <v>0.15</v>
      </c>
      <c r="F302" s="401">
        <v>0.14699999999999999</v>
      </c>
      <c r="G302" s="402">
        <v>0.15</v>
      </c>
    </row>
    <row r="303" spans="1:7">
      <c r="A303" s="411" t="s">
        <v>288</v>
      </c>
      <c r="B303" s="400" t="s">
        <v>2626</v>
      </c>
      <c r="C303" s="401">
        <v>0.15</v>
      </c>
      <c r="D303" s="401">
        <v>0.15</v>
      </c>
      <c r="E303" s="401">
        <v>0.15</v>
      </c>
      <c r="F303" s="401">
        <v>0.14199999999999999</v>
      </c>
      <c r="G303" s="402">
        <v>0.15</v>
      </c>
    </row>
    <row r="304" spans="1:7">
      <c r="A304" s="411" t="s">
        <v>288</v>
      </c>
      <c r="B304" s="400" t="s">
        <v>2633</v>
      </c>
      <c r="C304" s="401">
        <v>0.15</v>
      </c>
      <c r="D304" s="401">
        <v>0.15</v>
      </c>
      <c r="E304" s="401">
        <v>0.15</v>
      </c>
      <c r="F304" s="401">
        <v>0.14499999999999999</v>
      </c>
      <c r="G304" s="402">
        <v>0.15</v>
      </c>
    </row>
    <row r="305" spans="1:7">
      <c r="A305" s="411" t="s">
        <v>288</v>
      </c>
      <c r="B305" s="400" t="s">
        <v>2640</v>
      </c>
      <c r="C305" s="401">
        <v>0.15</v>
      </c>
      <c r="D305" s="401">
        <v>0.15</v>
      </c>
      <c r="E305" s="401">
        <v>0.15</v>
      </c>
      <c r="F305" s="401">
        <v>0.111</v>
      </c>
      <c r="G305" s="402">
        <v>0.15</v>
      </c>
    </row>
    <row r="306" spans="1:7">
      <c r="A306" s="411" t="s">
        <v>288</v>
      </c>
      <c r="B306" s="400" t="s">
        <v>2647</v>
      </c>
      <c r="C306" s="401">
        <v>0.15</v>
      </c>
      <c r="D306" s="401">
        <v>0.15</v>
      </c>
      <c r="E306" s="401">
        <v>0.15</v>
      </c>
      <c r="F306" s="401">
        <v>0.126</v>
      </c>
      <c r="G306" s="402">
        <v>0.15</v>
      </c>
    </row>
    <row r="307" spans="1:7">
      <c r="A307" s="411" t="s">
        <v>288</v>
      </c>
      <c r="B307" s="400" t="s">
        <v>2654</v>
      </c>
      <c r="C307" s="401">
        <v>0.15</v>
      </c>
      <c r="D307" s="401">
        <v>0.15</v>
      </c>
      <c r="E307" s="401">
        <v>0.15</v>
      </c>
      <c r="F307" s="401">
        <v>0.12</v>
      </c>
      <c r="G307" s="402">
        <v>0.15</v>
      </c>
    </row>
    <row r="308" spans="1:7">
      <c r="A308" s="411" t="s">
        <v>288</v>
      </c>
      <c r="B308" s="400" t="s">
        <v>2661</v>
      </c>
      <c r="C308" s="401">
        <v>0.15</v>
      </c>
      <c r="D308" s="401">
        <v>0.15</v>
      </c>
      <c r="E308" s="401">
        <v>0.15</v>
      </c>
      <c r="F308" s="401">
        <v>0.13</v>
      </c>
      <c r="G308" s="402">
        <v>0.15</v>
      </c>
    </row>
    <row r="309" spans="1:7">
      <c r="A309" s="411" t="s">
        <v>288</v>
      </c>
      <c r="B309" s="400" t="s">
        <v>2666</v>
      </c>
      <c r="C309" s="401">
        <v>0.15</v>
      </c>
      <c r="D309" s="401">
        <v>0.15</v>
      </c>
      <c r="E309" s="401">
        <v>0.15</v>
      </c>
      <c r="F309" s="401">
        <v>0.14099999999999999</v>
      </c>
      <c r="G309" s="402">
        <v>0.15</v>
      </c>
    </row>
    <row r="310" spans="1:7">
      <c r="A310" s="411" t="s">
        <v>288</v>
      </c>
      <c r="B310" s="400" t="s">
        <v>2671</v>
      </c>
      <c r="C310" s="401">
        <v>0.15</v>
      </c>
      <c r="D310" s="401">
        <v>0.15</v>
      </c>
      <c r="E310" s="401">
        <v>0.15</v>
      </c>
      <c r="F310" s="401">
        <v>0.15</v>
      </c>
      <c r="G310" s="402">
        <v>0.15</v>
      </c>
    </row>
    <row r="311" spans="1:7">
      <c r="A311" s="411" t="s">
        <v>288</v>
      </c>
      <c r="B311" s="400" t="s">
        <v>2676</v>
      </c>
      <c r="C311" s="401">
        <v>0.13200000000000001</v>
      </c>
      <c r="D311" s="401">
        <v>0.13300000000000001</v>
      </c>
      <c r="E311" s="401">
        <v>0.14499999999999999</v>
      </c>
      <c r="F311" s="401">
        <v>0.14199999999999999</v>
      </c>
      <c r="G311" s="402">
        <v>0.14000000000000001</v>
      </c>
    </row>
    <row r="312" spans="1:7">
      <c r="A312" s="411" t="s">
        <v>288</v>
      </c>
      <c r="B312" s="400" t="s">
        <v>2681</v>
      </c>
      <c r="C312" s="401">
        <v>0.13800000000000001</v>
      </c>
      <c r="D312" s="401">
        <v>0.14000000000000001</v>
      </c>
      <c r="E312" s="401">
        <v>0.14599999999999999</v>
      </c>
      <c r="F312" s="401">
        <v>0.14899999999999999</v>
      </c>
      <c r="G312" s="402">
        <v>0.14199999999999999</v>
      </c>
    </row>
    <row r="313" spans="1:7">
      <c r="A313" s="411" t="s">
        <v>288</v>
      </c>
      <c r="B313" s="400" t="s">
        <v>2686</v>
      </c>
      <c r="C313" s="401">
        <v>0.125</v>
      </c>
      <c r="D313" s="401">
        <v>0.127</v>
      </c>
      <c r="E313" s="401">
        <v>0.14399999999999999</v>
      </c>
      <c r="F313" s="401">
        <v>0.115</v>
      </c>
      <c r="G313" s="402">
        <v>0.13600000000000001</v>
      </c>
    </row>
    <row r="314" spans="1:7">
      <c r="A314" s="411" t="s">
        <v>288</v>
      </c>
      <c r="B314" s="400" t="s">
        <v>2691</v>
      </c>
      <c r="C314" s="417"/>
      <c r="D314" s="417"/>
      <c r="E314" s="417"/>
      <c r="F314" s="401">
        <v>0.05</v>
      </c>
      <c r="G314" s="418"/>
    </row>
    <row r="315" spans="1:7">
      <c r="A315" s="411" t="s">
        <v>288</v>
      </c>
      <c r="B315" s="400" t="s">
        <v>2696</v>
      </c>
      <c r="C315" s="417"/>
      <c r="D315" s="417"/>
      <c r="E315" s="417"/>
      <c r="F315" s="401">
        <v>0.05</v>
      </c>
      <c r="G315" s="418"/>
    </row>
    <row r="316" spans="1:7">
      <c r="A316" s="411" t="s">
        <v>288</v>
      </c>
      <c r="B316" s="400" t="s">
        <v>2701</v>
      </c>
      <c r="C316" s="412"/>
      <c r="D316" s="412"/>
      <c r="E316" s="412"/>
      <c r="F316" s="401">
        <v>0.05</v>
      </c>
      <c r="G316" s="418"/>
    </row>
    <row r="317" spans="1:7">
      <c r="A317" s="411" t="s">
        <v>288</v>
      </c>
      <c r="B317" s="400" t="s">
        <v>2705</v>
      </c>
      <c r="C317" s="412"/>
      <c r="D317" s="412"/>
      <c r="E317" s="412"/>
      <c r="F317" s="401">
        <v>0.05</v>
      </c>
      <c r="G317" s="418"/>
    </row>
    <row r="318" spans="1:7">
      <c r="A318" s="411" t="s">
        <v>288</v>
      </c>
      <c r="B318" s="400" t="s">
        <v>2709</v>
      </c>
      <c r="C318" s="412"/>
      <c r="D318" s="412"/>
      <c r="E318" s="412"/>
      <c r="F318" s="401">
        <v>0.05</v>
      </c>
      <c r="G318" s="418"/>
    </row>
    <row r="319" spans="1:7">
      <c r="A319" s="411" t="s">
        <v>288</v>
      </c>
      <c r="B319" s="400" t="s">
        <v>2713</v>
      </c>
      <c r="C319" s="412"/>
      <c r="D319" s="412"/>
      <c r="E319" s="412"/>
      <c r="F319" s="401">
        <v>0.05</v>
      </c>
      <c r="G319" s="418"/>
    </row>
    <row r="320" spans="1:7">
      <c r="A320" s="411" t="s">
        <v>288</v>
      </c>
      <c r="B320" s="400" t="s">
        <v>2716</v>
      </c>
      <c r="C320" s="412"/>
      <c r="D320" s="412"/>
      <c r="E320" s="412"/>
      <c r="F320" s="401">
        <v>0.05</v>
      </c>
      <c r="G320" s="418"/>
    </row>
    <row r="321" spans="1:7">
      <c r="A321" s="411" t="s">
        <v>288</v>
      </c>
      <c r="B321" s="400" t="s">
        <v>2718</v>
      </c>
      <c r="C321" s="412"/>
      <c r="D321" s="412"/>
      <c r="E321" s="412"/>
      <c r="F321" s="401">
        <v>0.05</v>
      </c>
      <c r="G321" s="418"/>
    </row>
    <row r="322" spans="1:7">
      <c r="A322" s="411" t="s">
        <v>288</v>
      </c>
      <c r="B322" s="400" t="s">
        <v>2720</v>
      </c>
      <c r="C322" s="412"/>
      <c r="D322" s="412"/>
      <c r="E322" s="412"/>
      <c r="F322" s="401">
        <v>0.05</v>
      </c>
      <c r="G322" s="418"/>
    </row>
    <row r="323" spans="1:7">
      <c r="A323" s="411" t="s">
        <v>288</v>
      </c>
      <c r="B323" s="400" t="s">
        <v>2722</v>
      </c>
      <c r="C323" s="412"/>
      <c r="D323" s="412"/>
      <c r="E323" s="412"/>
      <c r="F323" s="401">
        <v>0.05</v>
      </c>
      <c r="G323" s="418"/>
    </row>
    <row r="324" spans="1:7">
      <c r="A324" s="411" t="s">
        <v>288</v>
      </c>
      <c r="B324" s="400" t="s">
        <v>2724</v>
      </c>
      <c r="C324" s="412"/>
      <c r="D324" s="412"/>
      <c r="E324" s="412"/>
      <c r="F324" s="401">
        <v>0.05</v>
      </c>
      <c r="G324" s="418"/>
    </row>
    <row r="325" spans="1:7">
      <c r="A325" s="411" t="s">
        <v>288</v>
      </c>
      <c r="B325" s="400" t="s">
        <v>2726</v>
      </c>
      <c r="C325" s="412"/>
      <c r="D325" s="412"/>
      <c r="E325" s="412"/>
      <c r="F325" s="401">
        <v>0.05</v>
      </c>
      <c r="G325" s="418"/>
    </row>
    <row r="326" spans="1:7">
      <c r="A326" s="414" t="s">
        <v>288</v>
      </c>
      <c r="B326" s="404" t="s">
        <v>2728</v>
      </c>
      <c r="C326" s="406"/>
      <c r="D326" s="406"/>
      <c r="E326" s="406"/>
      <c r="F326" s="405">
        <v>0.05</v>
      </c>
      <c r="G326" s="419"/>
    </row>
    <row r="327" spans="1:7">
      <c r="A327" s="410" t="s">
        <v>292</v>
      </c>
      <c r="B327" s="396" t="s">
        <v>2369</v>
      </c>
      <c r="C327" s="397">
        <v>0.15</v>
      </c>
      <c r="D327" s="397">
        <v>0.15</v>
      </c>
      <c r="E327" s="397">
        <v>0.15</v>
      </c>
      <c r="F327" s="397">
        <v>0.15</v>
      </c>
      <c r="G327" s="398">
        <v>0.15</v>
      </c>
    </row>
    <row r="328" spans="1:7">
      <c r="A328" s="411" t="s">
        <v>292</v>
      </c>
      <c r="B328" s="400" t="s">
        <v>2382</v>
      </c>
      <c r="C328" s="401">
        <v>0.15</v>
      </c>
      <c r="D328" s="401">
        <v>0.15</v>
      </c>
      <c r="E328" s="401">
        <v>0.15</v>
      </c>
      <c r="F328" s="401">
        <v>0.126</v>
      </c>
      <c r="G328" s="402">
        <v>0.15</v>
      </c>
    </row>
    <row r="329" spans="1:7">
      <c r="A329" s="411" t="s">
        <v>292</v>
      </c>
      <c r="B329" s="400" t="s">
        <v>2396</v>
      </c>
      <c r="C329" s="401">
        <v>0.15</v>
      </c>
      <c r="D329" s="401">
        <v>0.15</v>
      </c>
      <c r="E329" s="401">
        <v>0.15</v>
      </c>
      <c r="F329" s="401">
        <v>0.15</v>
      </c>
      <c r="G329" s="402">
        <v>0.15</v>
      </c>
    </row>
    <row r="330" spans="1:7">
      <c r="A330" s="411" t="s">
        <v>292</v>
      </c>
      <c r="B330" s="400" t="s">
        <v>2408</v>
      </c>
      <c r="C330" s="401">
        <v>0.15</v>
      </c>
      <c r="D330" s="401">
        <v>0.15</v>
      </c>
      <c r="E330" s="401">
        <v>0.15</v>
      </c>
      <c r="F330" s="401">
        <v>0.15</v>
      </c>
      <c r="G330" s="402">
        <v>0.15</v>
      </c>
    </row>
    <row r="331" spans="1:7">
      <c r="A331" s="411" t="s">
        <v>292</v>
      </c>
      <c r="B331" s="400" t="s">
        <v>2420</v>
      </c>
      <c r="C331" s="401">
        <v>0.15</v>
      </c>
      <c r="D331" s="401">
        <v>0.15</v>
      </c>
      <c r="E331" s="401">
        <v>0.15</v>
      </c>
      <c r="F331" s="401">
        <v>0.15</v>
      </c>
      <c r="G331" s="402">
        <v>0.15</v>
      </c>
    </row>
    <row r="332" spans="1:7">
      <c r="A332" s="411" t="s">
        <v>292</v>
      </c>
      <c r="B332" s="400" t="s">
        <v>2431</v>
      </c>
      <c r="C332" s="401">
        <v>0.15</v>
      </c>
      <c r="D332" s="401">
        <v>0.15</v>
      </c>
      <c r="E332" s="401">
        <v>0.15</v>
      </c>
      <c r="F332" s="401">
        <v>0.15</v>
      </c>
      <c r="G332" s="402">
        <v>0.15</v>
      </c>
    </row>
    <row r="333" spans="1:7">
      <c r="A333" s="411" t="s">
        <v>292</v>
      </c>
      <c r="B333" s="400" t="s">
        <v>2442</v>
      </c>
      <c r="C333" s="401">
        <v>0.14899999999999999</v>
      </c>
      <c r="D333" s="401">
        <v>0.14899999999999999</v>
      </c>
      <c r="E333" s="401">
        <v>0.15</v>
      </c>
      <c r="F333" s="401">
        <v>0.11600000000000001</v>
      </c>
      <c r="G333" s="402">
        <v>0.15</v>
      </c>
    </row>
    <row r="334" spans="1:7">
      <c r="A334" s="411" t="s">
        <v>292</v>
      </c>
      <c r="B334" s="400" t="s">
        <v>2453</v>
      </c>
      <c r="C334" s="401">
        <v>0.15</v>
      </c>
      <c r="D334" s="401">
        <v>0.15</v>
      </c>
      <c r="E334" s="401">
        <v>0.15</v>
      </c>
      <c r="F334" s="401">
        <v>0.13</v>
      </c>
      <c r="G334" s="402">
        <v>0.15</v>
      </c>
    </row>
    <row r="335" spans="1:7">
      <c r="A335" s="411" t="s">
        <v>292</v>
      </c>
      <c r="B335" s="400" t="s">
        <v>2463</v>
      </c>
      <c r="C335" s="401">
        <v>0.15</v>
      </c>
      <c r="D335" s="401">
        <v>0.15</v>
      </c>
      <c r="E335" s="401">
        <v>0.15</v>
      </c>
      <c r="F335" s="401">
        <v>0.14399999999999999</v>
      </c>
      <c r="G335" s="402">
        <v>0.15</v>
      </c>
    </row>
    <row r="336" spans="1:7">
      <c r="A336" s="411" t="s">
        <v>292</v>
      </c>
      <c r="B336" s="400" t="s">
        <v>2473</v>
      </c>
      <c r="C336" s="401">
        <v>0.15</v>
      </c>
      <c r="D336" s="401">
        <v>0.15</v>
      </c>
      <c r="E336" s="401">
        <v>0.15</v>
      </c>
      <c r="F336" s="401">
        <v>0.14199999999999999</v>
      </c>
      <c r="G336" s="402">
        <v>0.15</v>
      </c>
    </row>
    <row r="337" spans="1:7">
      <c r="A337" s="411" t="s">
        <v>292</v>
      </c>
      <c r="B337" s="400" t="s">
        <v>2483</v>
      </c>
      <c r="C337" s="401">
        <v>0.15</v>
      </c>
      <c r="D337" s="401">
        <v>0.15</v>
      </c>
      <c r="E337" s="401">
        <v>0.15</v>
      </c>
      <c r="F337" s="401">
        <v>0.14499999999999999</v>
      </c>
      <c r="G337" s="402">
        <v>0.15</v>
      </c>
    </row>
    <row r="338" spans="1:7">
      <c r="A338" s="411" t="s">
        <v>292</v>
      </c>
      <c r="B338" s="400" t="s">
        <v>2493</v>
      </c>
      <c r="C338" s="401">
        <v>0.15</v>
      </c>
      <c r="D338" s="401">
        <v>0.15</v>
      </c>
      <c r="E338" s="401">
        <v>0.15</v>
      </c>
      <c r="F338" s="401">
        <v>0.15</v>
      </c>
      <c r="G338" s="402">
        <v>0.15</v>
      </c>
    </row>
    <row r="339" spans="1:7">
      <c r="A339" s="411" t="s">
        <v>292</v>
      </c>
      <c r="B339" s="400" t="s">
        <v>2502</v>
      </c>
      <c r="C339" s="401">
        <v>0.15</v>
      </c>
      <c r="D339" s="401">
        <v>0.15</v>
      </c>
      <c r="E339" s="401">
        <v>0.15</v>
      </c>
      <c r="F339" s="401">
        <v>0.14699999999999999</v>
      </c>
      <c r="G339" s="402">
        <v>0.15</v>
      </c>
    </row>
    <row r="340" spans="1:7">
      <c r="A340" s="411" t="s">
        <v>292</v>
      </c>
      <c r="B340" s="400" t="s">
        <v>2512</v>
      </c>
      <c r="C340" s="401">
        <v>0.14599999999999999</v>
      </c>
      <c r="D340" s="401">
        <v>0.14599999999999999</v>
      </c>
      <c r="E340" s="401">
        <v>0.15</v>
      </c>
      <c r="F340" s="401">
        <v>0.14099999999999999</v>
      </c>
      <c r="G340" s="402">
        <v>0.14699999999999999</v>
      </c>
    </row>
    <row r="341" spans="1:7">
      <c r="A341" s="411" t="s">
        <v>292</v>
      </c>
      <c r="B341" s="400" t="s">
        <v>2522</v>
      </c>
      <c r="C341" s="401">
        <v>0.126</v>
      </c>
      <c r="D341" s="401">
        <v>0.124</v>
      </c>
      <c r="E341" s="401">
        <v>0.14099999999999999</v>
      </c>
      <c r="F341" s="401">
        <v>0.14399999999999999</v>
      </c>
      <c r="G341" s="402">
        <v>0.13</v>
      </c>
    </row>
    <row r="342" spans="1:7">
      <c r="A342" s="411" t="s">
        <v>292</v>
      </c>
      <c r="B342" s="400" t="s">
        <v>2532</v>
      </c>
      <c r="C342" s="401">
        <v>0.15</v>
      </c>
      <c r="D342" s="401">
        <v>0.15</v>
      </c>
      <c r="E342" s="401">
        <v>0.15</v>
      </c>
      <c r="F342" s="401">
        <v>0.14399999999999999</v>
      </c>
      <c r="G342" s="402">
        <v>0.15</v>
      </c>
    </row>
    <row r="343" spans="1:7">
      <c r="A343" s="411" t="s">
        <v>292</v>
      </c>
      <c r="B343" s="400" t="s">
        <v>2542</v>
      </c>
      <c r="C343" s="401">
        <v>0.15</v>
      </c>
      <c r="D343" s="401">
        <v>0.15</v>
      </c>
      <c r="E343" s="401">
        <v>0.15</v>
      </c>
      <c r="F343" s="401">
        <v>0.128</v>
      </c>
      <c r="G343" s="402">
        <v>0.15</v>
      </c>
    </row>
    <row r="344" spans="1:7">
      <c r="A344" s="411" t="s">
        <v>292</v>
      </c>
      <c r="B344" s="400" t="s">
        <v>2552</v>
      </c>
      <c r="C344" s="401">
        <v>0.15</v>
      </c>
      <c r="D344" s="401">
        <v>0.15</v>
      </c>
      <c r="E344" s="401">
        <v>0.15</v>
      </c>
      <c r="F344" s="401">
        <v>0.14799999999999999</v>
      </c>
      <c r="G344" s="402">
        <v>0.15</v>
      </c>
    </row>
    <row r="345" spans="1:7">
      <c r="A345" s="411" t="s">
        <v>292</v>
      </c>
      <c r="B345" s="400" t="s">
        <v>2562</v>
      </c>
      <c r="C345" s="401">
        <v>0.15</v>
      </c>
      <c r="D345" s="401">
        <v>0.15</v>
      </c>
      <c r="E345" s="401">
        <v>0.15</v>
      </c>
      <c r="F345" s="401">
        <v>0.13800000000000001</v>
      </c>
      <c r="G345" s="402">
        <v>0.15</v>
      </c>
    </row>
    <row r="346" spans="1:7">
      <c r="A346" s="411" t="s">
        <v>292</v>
      </c>
      <c r="B346" s="400" t="s">
        <v>2572</v>
      </c>
      <c r="C346" s="401">
        <v>0.15</v>
      </c>
      <c r="D346" s="401">
        <v>0.15</v>
      </c>
      <c r="E346" s="401">
        <v>0.15</v>
      </c>
      <c r="F346" s="401">
        <v>0.14399999999999999</v>
      </c>
      <c r="G346" s="402">
        <v>0.15</v>
      </c>
    </row>
    <row r="347" spans="1:7">
      <c r="A347" s="411" t="s">
        <v>292</v>
      </c>
      <c r="B347" s="400" t="s">
        <v>2581</v>
      </c>
      <c r="C347" s="401">
        <v>0.15</v>
      </c>
      <c r="D347" s="401">
        <v>0.15</v>
      </c>
      <c r="E347" s="401">
        <v>0.15</v>
      </c>
      <c r="F347" s="401">
        <v>0.14599999999999999</v>
      </c>
      <c r="G347" s="402">
        <v>0.15</v>
      </c>
    </row>
    <row r="348" spans="1:7">
      <c r="A348" s="411" t="s">
        <v>292</v>
      </c>
      <c r="B348" s="400" t="s">
        <v>2589</v>
      </c>
      <c r="C348" s="401">
        <v>0.15</v>
      </c>
      <c r="D348" s="401">
        <v>0.15</v>
      </c>
      <c r="E348" s="401">
        <v>0.15</v>
      </c>
      <c r="F348" s="401">
        <v>0.14399999999999999</v>
      </c>
      <c r="G348" s="402">
        <v>0.15</v>
      </c>
    </row>
    <row r="349" spans="1:7">
      <c r="A349" s="411" t="s">
        <v>292</v>
      </c>
      <c r="B349" s="400" t="s">
        <v>2597</v>
      </c>
      <c r="C349" s="401">
        <v>0.15</v>
      </c>
      <c r="D349" s="401">
        <v>0.15</v>
      </c>
      <c r="E349" s="401">
        <v>0.15</v>
      </c>
      <c r="F349" s="401">
        <v>0.15</v>
      </c>
      <c r="G349" s="402">
        <v>0.15</v>
      </c>
    </row>
    <row r="350" spans="1:7">
      <c r="A350" s="411" t="s">
        <v>292</v>
      </c>
      <c r="B350" s="400" t="s">
        <v>2605</v>
      </c>
      <c r="C350" s="401">
        <v>0.15</v>
      </c>
      <c r="D350" s="401">
        <v>0.15</v>
      </c>
      <c r="E350" s="401">
        <v>0.15</v>
      </c>
      <c r="F350" s="401">
        <v>0.14699999999999999</v>
      </c>
      <c r="G350" s="402">
        <v>0.15</v>
      </c>
    </row>
    <row r="351" spans="1:7">
      <c r="A351" s="411" t="s">
        <v>292</v>
      </c>
      <c r="B351" s="400" t="s">
        <v>2613</v>
      </c>
      <c r="C351" s="401">
        <v>0.15</v>
      </c>
      <c r="D351" s="401">
        <v>0.15</v>
      </c>
      <c r="E351" s="401">
        <v>0.15</v>
      </c>
      <c r="F351" s="401">
        <v>0.13</v>
      </c>
      <c r="G351" s="402">
        <v>0.15</v>
      </c>
    </row>
    <row r="352" spans="1:7">
      <c r="A352" s="411" t="s">
        <v>292</v>
      </c>
      <c r="B352" s="400" t="s">
        <v>2620</v>
      </c>
      <c r="C352" s="401">
        <v>0.15</v>
      </c>
      <c r="D352" s="401">
        <v>0.15</v>
      </c>
      <c r="E352" s="401">
        <v>0.15</v>
      </c>
      <c r="F352" s="401">
        <v>0.14599999999999999</v>
      </c>
      <c r="G352" s="402">
        <v>0.15</v>
      </c>
    </row>
    <row r="353" spans="1:7">
      <c r="A353" s="411" t="s">
        <v>292</v>
      </c>
      <c r="B353" s="400" t="s">
        <v>2627</v>
      </c>
      <c r="C353" s="401">
        <v>0.15</v>
      </c>
      <c r="D353" s="401">
        <v>0.15</v>
      </c>
      <c r="E353" s="401">
        <v>0.15</v>
      </c>
      <c r="F353" s="401">
        <v>0.14499999999999999</v>
      </c>
      <c r="G353" s="402">
        <v>0.15</v>
      </c>
    </row>
    <row r="354" spans="1:7">
      <c r="A354" s="411" t="s">
        <v>292</v>
      </c>
      <c r="B354" s="400" t="s">
        <v>2634</v>
      </c>
      <c r="C354" s="401">
        <v>0.15</v>
      </c>
      <c r="D354" s="401">
        <v>0.15</v>
      </c>
      <c r="E354" s="401">
        <v>0.15</v>
      </c>
      <c r="F354" s="401">
        <v>0.14099999999999999</v>
      </c>
      <c r="G354" s="402">
        <v>0.15</v>
      </c>
    </row>
    <row r="355" spans="1:7">
      <c r="A355" s="411" t="s">
        <v>292</v>
      </c>
      <c r="B355" s="400" t="s">
        <v>2641</v>
      </c>
      <c r="C355" s="401">
        <v>0.15</v>
      </c>
      <c r="D355" s="401">
        <v>0.15</v>
      </c>
      <c r="E355" s="401">
        <v>0.15</v>
      </c>
      <c r="F355" s="401">
        <v>0.15</v>
      </c>
      <c r="G355" s="402">
        <v>0.15</v>
      </c>
    </row>
    <row r="356" spans="1:7">
      <c r="A356" s="411" t="s">
        <v>292</v>
      </c>
      <c r="B356" s="400" t="s">
        <v>2648</v>
      </c>
      <c r="C356" s="401">
        <v>0.15</v>
      </c>
      <c r="D356" s="401">
        <v>0.15</v>
      </c>
      <c r="E356" s="401">
        <v>0.15</v>
      </c>
      <c r="F356" s="401">
        <v>0.15</v>
      </c>
      <c r="G356" s="402">
        <v>0.15</v>
      </c>
    </row>
    <row r="357" spans="1:7">
      <c r="A357" s="414" t="s">
        <v>292</v>
      </c>
      <c r="B357" s="404" t="s">
        <v>2655</v>
      </c>
      <c r="C357" s="405">
        <v>0.126</v>
      </c>
      <c r="D357" s="405">
        <v>0.127</v>
      </c>
      <c r="E357" s="405">
        <v>0.14299999999999999</v>
      </c>
      <c r="F357" s="405">
        <v>0.125</v>
      </c>
      <c r="G357" s="407">
        <v>0.129</v>
      </c>
    </row>
    <row r="358" spans="1:7">
      <c r="A358" s="410" t="s">
        <v>296</v>
      </c>
      <c r="B358" s="396" t="s">
        <v>2370</v>
      </c>
      <c r="C358" s="397">
        <v>0.15</v>
      </c>
      <c r="D358" s="397">
        <v>0.15</v>
      </c>
      <c r="E358" s="397">
        <v>0.15</v>
      </c>
      <c r="F358" s="397">
        <v>0.15</v>
      </c>
      <c r="G358" s="398">
        <v>0.15</v>
      </c>
    </row>
    <row r="359" spans="1:7">
      <c r="A359" s="411" t="s">
        <v>296</v>
      </c>
      <c r="B359" s="400" t="s">
        <v>2383</v>
      </c>
      <c r="C359" s="401">
        <v>0.1</v>
      </c>
      <c r="D359" s="401">
        <v>0.1</v>
      </c>
      <c r="E359" s="401">
        <v>0.1</v>
      </c>
      <c r="F359" s="401">
        <v>0.1</v>
      </c>
      <c r="G359" s="402">
        <v>0.1</v>
      </c>
    </row>
    <row r="360" spans="1:7">
      <c r="A360" s="411" t="s">
        <v>296</v>
      </c>
      <c r="B360" s="400" t="s">
        <v>2397</v>
      </c>
      <c r="C360" s="401">
        <v>0.15</v>
      </c>
      <c r="D360" s="401">
        <v>0.15</v>
      </c>
      <c r="E360" s="401">
        <v>0.15</v>
      </c>
      <c r="F360" s="401">
        <v>0.14899999999999999</v>
      </c>
      <c r="G360" s="402">
        <v>0.15</v>
      </c>
    </row>
    <row r="361" spans="1:7">
      <c r="A361" s="411" t="s">
        <v>296</v>
      </c>
      <c r="B361" s="400" t="s">
        <v>2409</v>
      </c>
      <c r="C361" s="401">
        <v>0.15</v>
      </c>
      <c r="D361" s="401">
        <v>0.15</v>
      </c>
      <c r="E361" s="401">
        <v>0.15</v>
      </c>
      <c r="F361" s="401">
        <v>0.115</v>
      </c>
      <c r="G361" s="402">
        <v>0.15</v>
      </c>
    </row>
    <row r="362" spans="1:7">
      <c r="A362" s="411" t="s">
        <v>296</v>
      </c>
      <c r="B362" s="400" t="s">
        <v>2421</v>
      </c>
      <c r="C362" s="401">
        <v>0.15</v>
      </c>
      <c r="D362" s="401">
        <v>0.15</v>
      </c>
      <c r="E362" s="401">
        <v>0.15</v>
      </c>
      <c r="F362" s="401">
        <v>0.106</v>
      </c>
      <c r="G362" s="402">
        <v>0.15</v>
      </c>
    </row>
    <row r="363" spans="1:7">
      <c r="A363" s="411" t="s">
        <v>296</v>
      </c>
      <c r="B363" s="400" t="s">
        <v>2432</v>
      </c>
      <c r="C363" s="401">
        <v>0.15</v>
      </c>
      <c r="D363" s="401">
        <v>0.15</v>
      </c>
      <c r="E363" s="401">
        <v>0.15</v>
      </c>
      <c r="F363" s="401">
        <v>0.14699999999999999</v>
      </c>
      <c r="G363" s="402">
        <v>0.15</v>
      </c>
    </row>
    <row r="364" spans="1:7">
      <c r="A364" s="411" t="s">
        <v>296</v>
      </c>
      <c r="B364" s="400" t="s">
        <v>2443</v>
      </c>
      <c r="C364" s="401">
        <v>0.15</v>
      </c>
      <c r="D364" s="401">
        <v>0.15</v>
      </c>
      <c r="E364" s="401">
        <v>0.15</v>
      </c>
      <c r="F364" s="401">
        <v>0.14799999999999999</v>
      </c>
      <c r="G364" s="402">
        <v>0.15</v>
      </c>
    </row>
    <row r="365" spans="1:7">
      <c r="A365" s="411" t="s">
        <v>296</v>
      </c>
      <c r="B365" s="400" t="s">
        <v>2454</v>
      </c>
      <c r="C365" s="401">
        <v>0.15</v>
      </c>
      <c r="D365" s="401">
        <v>0.15</v>
      </c>
      <c r="E365" s="401">
        <v>0.15</v>
      </c>
      <c r="F365" s="401">
        <v>0.15</v>
      </c>
      <c r="G365" s="402">
        <v>0.15</v>
      </c>
    </row>
    <row r="366" spans="1:7">
      <c r="A366" s="411" t="s">
        <v>296</v>
      </c>
      <c r="B366" s="400" t="s">
        <v>2464</v>
      </c>
      <c r="C366" s="401">
        <v>0.15</v>
      </c>
      <c r="D366" s="401">
        <v>0.15</v>
      </c>
      <c r="E366" s="401">
        <v>0.15</v>
      </c>
      <c r="F366" s="401">
        <v>0.15</v>
      </c>
      <c r="G366" s="402">
        <v>0.15</v>
      </c>
    </row>
    <row r="367" spans="1:7">
      <c r="A367" s="411" t="s">
        <v>296</v>
      </c>
      <c r="B367" s="400" t="s">
        <v>2474</v>
      </c>
      <c r="C367" s="401">
        <v>0.15</v>
      </c>
      <c r="D367" s="401">
        <v>0.15</v>
      </c>
      <c r="E367" s="401">
        <v>0.15</v>
      </c>
      <c r="F367" s="401">
        <v>0.14699999999999999</v>
      </c>
      <c r="G367" s="402">
        <v>0.15</v>
      </c>
    </row>
    <row r="368" spans="1:7">
      <c r="A368" s="411" t="s">
        <v>296</v>
      </c>
      <c r="B368" s="400" t="s">
        <v>2484</v>
      </c>
      <c r="C368" s="401">
        <v>0.15</v>
      </c>
      <c r="D368" s="401">
        <v>0.15</v>
      </c>
      <c r="E368" s="401">
        <v>0.15</v>
      </c>
      <c r="F368" s="401">
        <v>0.13600000000000001</v>
      </c>
      <c r="G368" s="402">
        <v>0.15</v>
      </c>
    </row>
    <row r="369" spans="1:7">
      <c r="A369" s="411" t="s">
        <v>296</v>
      </c>
      <c r="B369" s="400" t="s">
        <v>2494</v>
      </c>
      <c r="C369" s="401">
        <v>0.15</v>
      </c>
      <c r="D369" s="401">
        <v>0.15</v>
      </c>
      <c r="E369" s="401">
        <v>0.15</v>
      </c>
      <c r="F369" s="401">
        <v>0.14399999999999999</v>
      </c>
      <c r="G369" s="402">
        <v>0.15</v>
      </c>
    </row>
    <row r="370" spans="1:7">
      <c r="A370" s="411" t="s">
        <v>296</v>
      </c>
      <c r="B370" s="400" t="s">
        <v>2503</v>
      </c>
      <c r="C370" s="401">
        <v>0.15</v>
      </c>
      <c r="D370" s="401">
        <v>0.15</v>
      </c>
      <c r="E370" s="401">
        <v>0.15</v>
      </c>
      <c r="F370" s="401">
        <v>0.14599999999999999</v>
      </c>
      <c r="G370" s="402">
        <v>0.15</v>
      </c>
    </row>
    <row r="371" spans="1:7">
      <c r="A371" s="411" t="s">
        <v>296</v>
      </c>
      <c r="B371" s="400" t="s">
        <v>2513</v>
      </c>
      <c r="C371" s="401">
        <v>0.15</v>
      </c>
      <c r="D371" s="401">
        <v>0.15</v>
      </c>
      <c r="E371" s="401">
        <v>0.15</v>
      </c>
      <c r="F371" s="401">
        <v>0.12</v>
      </c>
      <c r="G371" s="402">
        <v>0.15</v>
      </c>
    </row>
    <row r="372" spans="1:7">
      <c r="A372" s="411" t="s">
        <v>296</v>
      </c>
      <c r="B372" s="400" t="s">
        <v>2523</v>
      </c>
      <c r="C372" s="401">
        <v>0.15</v>
      </c>
      <c r="D372" s="401">
        <v>0.15</v>
      </c>
      <c r="E372" s="401">
        <v>0.15</v>
      </c>
      <c r="F372" s="401">
        <v>0.14299999999999999</v>
      </c>
      <c r="G372" s="402">
        <v>0.15</v>
      </c>
    </row>
    <row r="373" spans="1:7">
      <c r="A373" s="411" t="s">
        <v>296</v>
      </c>
      <c r="B373" s="400" t="s">
        <v>2533</v>
      </c>
      <c r="C373" s="401">
        <v>0.15</v>
      </c>
      <c r="D373" s="401">
        <v>0.15</v>
      </c>
      <c r="E373" s="401">
        <v>0.15</v>
      </c>
      <c r="F373" s="401">
        <v>0.14599999999999999</v>
      </c>
      <c r="G373" s="402">
        <v>0.15</v>
      </c>
    </row>
    <row r="374" spans="1:7">
      <c r="A374" s="411" t="s">
        <v>296</v>
      </c>
      <c r="B374" s="400" t="s">
        <v>2543</v>
      </c>
      <c r="C374" s="401">
        <v>0.15</v>
      </c>
      <c r="D374" s="401">
        <v>0.15</v>
      </c>
      <c r="E374" s="401">
        <v>0.15</v>
      </c>
      <c r="F374" s="401">
        <v>0.14399999999999999</v>
      </c>
      <c r="G374" s="402">
        <v>0.15</v>
      </c>
    </row>
    <row r="375" spans="1:7">
      <c r="A375" s="411" t="s">
        <v>296</v>
      </c>
      <c r="B375" s="400" t="s">
        <v>2553</v>
      </c>
      <c r="C375" s="401">
        <v>0.15</v>
      </c>
      <c r="D375" s="401">
        <v>0.15</v>
      </c>
      <c r="E375" s="401">
        <v>0.15</v>
      </c>
      <c r="F375" s="401">
        <v>0.13</v>
      </c>
      <c r="G375" s="402">
        <v>0.15</v>
      </c>
    </row>
    <row r="376" spans="1:7">
      <c r="A376" s="411" t="s">
        <v>296</v>
      </c>
      <c r="B376" s="400" t="s">
        <v>2563</v>
      </c>
      <c r="C376" s="401">
        <v>0.15</v>
      </c>
      <c r="D376" s="401">
        <v>0.15</v>
      </c>
      <c r="E376" s="401">
        <v>0.15</v>
      </c>
      <c r="F376" s="401">
        <v>0.14199999999999999</v>
      </c>
      <c r="G376" s="402">
        <v>0.15</v>
      </c>
    </row>
    <row r="377" spans="1:7">
      <c r="A377" s="414" t="s">
        <v>296</v>
      </c>
      <c r="B377" s="404" t="s">
        <v>2573</v>
      </c>
      <c r="C377" s="405">
        <v>0.15</v>
      </c>
      <c r="D377" s="405">
        <v>0.15</v>
      </c>
      <c r="E377" s="405">
        <v>0.15</v>
      </c>
      <c r="F377" s="405">
        <v>0.14000000000000001</v>
      </c>
      <c r="G377" s="407">
        <v>0.15</v>
      </c>
    </row>
    <row r="378" spans="1:7">
      <c r="A378" s="410" t="s">
        <v>300</v>
      </c>
      <c r="B378" s="396" t="s">
        <v>2371</v>
      </c>
      <c r="C378" s="397">
        <v>0.15</v>
      </c>
      <c r="D378" s="397">
        <v>0.15</v>
      </c>
      <c r="E378" s="397">
        <v>0.15</v>
      </c>
      <c r="F378" s="397">
        <v>0.107</v>
      </c>
      <c r="G378" s="398">
        <v>0.15</v>
      </c>
    </row>
    <row r="379" spans="1:7">
      <c r="A379" s="411" t="s">
        <v>300</v>
      </c>
      <c r="B379" s="400" t="s">
        <v>2384</v>
      </c>
      <c r="C379" s="401">
        <v>0.15</v>
      </c>
      <c r="D379" s="401">
        <v>0.15</v>
      </c>
      <c r="E379" s="401">
        <v>0.15</v>
      </c>
      <c r="F379" s="401">
        <v>0.115</v>
      </c>
      <c r="G379" s="402">
        <v>0.14899999999999999</v>
      </c>
    </row>
    <row r="380" spans="1:7">
      <c r="A380" s="411" t="s">
        <v>300</v>
      </c>
      <c r="B380" s="400" t="s">
        <v>2398</v>
      </c>
      <c r="C380" s="401">
        <v>0.15</v>
      </c>
      <c r="D380" s="401">
        <v>0.15</v>
      </c>
      <c r="E380" s="401">
        <v>0.15</v>
      </c>
      <c r="F380" s="401">
        <v>0.1</v>
      </c>
      <c r="G380" s="402">
        <v>0.14799999999999999</v>
      </c>
    </row>
    <row r="381" spans="1:7">
      <c r="A381" s="411" t="s">
        <v>300</v>
      </c>
      <c r="B381" s="400" t="s">
        <v>2410</v>
      </c>
      <c r="C381" s="401">
        <v>0.15</v>
      </c>
      <c r="D381" s="401">
        <v>0.15</v>
      </c>
      <c r="E381" s="401">
        <v>0.15</v>
      </c>
      <c r="F381" s="401">
        <v>0.126</v>
      </c>
      <c r="G381" s="402">
        <v>0.15</v>
      </c>
    </row>
    <row r="382" spans="1:7">
      <c r="A382" s="411" t="s">
        <v>300</v>
      </c>
      <c r="B382" s="400" t="s">
        <v>2422</v>
      </c>
      <c r="C382" s="401">
        <v>0.15</v>
      </c>
      <c r="D382" s="401">
        <v>0.15</v>
      </c>
      <c r="E382" s="401">
        <v>0.15</v>
      </c>
      <c r="F382" s="401">
        <v>0.15</v>
      </c>
      <c r="G382" s="402">
        <v>0.15</v>
      </c>
    </row>
    <row r="383" spans="1:7">
      <c r="A383" s="411" t="s">
        <v>300</v>
      </c>
      <c r="B383" s="400" t="s">
        <v>2433</v>
      </c>
      <c r="C383" s="401">
        <v>0.15</v>
      </c>
      <c r="D383" s="401">
        <v>0.15</v>
      </c>
      <c r="E383" s="401">
        <v>0.15</v>
      </c>
      <c r="F383" s="401">
        <v>0.14699999999999999</v>
      </c>
      <c r="G383" s="402">
        <v>0.15</v>
      </c>
    </row>
    <row r="384" spans="1:7">
      <c r="A384" s="421" t="s">
        <v>300</v>
      </c>
      <c r="B384" s="422" t="s">
        <v>2444</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80"/>
  </cols>
  <sheetData>
    <row r="1" spans="1:6">
      <c r="A1" s="3948" t="s">
        <v>2747</v>
      </c>
      <c r="B1" s="3948"/>
      <c r="C1" s="3948"/>
      <c r="D1" s="3948"/>
      <c r="E1" s="3948"/>
      <c r="F1" s="3949"/>
    </row>
    <row r="2" spans="1:6">
      <c r="A2" s="381" t="s">
        <v>2748</v>
      </c>
      <c r="B2" s="382"/>
      <c r="C2" s="382"/>
      <c r="D2" s="382"/>
      <c r="E2" s="382"/>
      <c r="F2" s="382"/>
    </row>
    <row r="3" spans="1:6">
      <c r="A3" s="381" t="s">
        <v>2749</v>
      </c>
      <c r="B3" s="382"/>
      <c r="C3" s="382"/>
      <c r="D3" s="382"/>
      <c r="E3" s="382"/>
      <c r="F3" s="383" t="s">
        <v>2750</v>
      </c>
    </row>
    <row r="4" spans="1:6">
      <c r="A4" s="384" t="s">
        <v>405</v>
      </c>
      <c r="B4" s="384" t="s">
        <v>549</v>
      </c>
      <c r="C4" s="384" t="s">
        <v>1166</v>
      </c>
      <c r="D4" s="384" t="s">
        <v>2751</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306">
        <f>基准地价修正!G23</f>
        <v>44196</v>
      </c>
      <c r="B1" s="307" t="s">
        <v>2752</v>
      </c>
      <c r="C1" s="308"/>
      <c r="D1" s="308"/>
      <c r="E1" s="308"/>
      <c r="F1" s="308"/>
      <c r="G1" s="308"/>
      <c r="H1" s="308"/>
      <c r="I1" s="308"/>
      <c r="J1" s="334"/>
      <c r="K1" s="308" t="s">
        <v>2753</v>
      </c>
      <c r="L1" s="308"/>
      <c r="M1" s="308"/>
      <c r="N1" s="308"/>
      <c r="O1" s="308"/>
      <c r="P1" s="308"/>
      <c r="Q1" s="334"/>
      <c r="R1" s="3950" t="s">
        <v>2754</v>
      </c>
      <c r="S1" s="3951"/>
      <c r="T1" s="3951"/>
      <c r="U1" s="3951"/>
      <c r="V1" s="3951"/>
      <c r="W1" s="3951"/>
      <c r="X1" s="334"/>
      <c r="Y1" s="3950" t="s">
        <v>2755</v>
      </c>
      <c r="Z1" s="3951"/>
      <c r="AA1" s="3951"/>
      <c r="AB1" s="3951"/>
      <c r="AC1" s="3951"/>
      <c r="AD1" s="3951"/>
    </row>
    <row r="2" spans="1:30" s="298" customFormat="1">
      <c r="B2" s="309"/>
      <c r="C2" s="310"/>
      <c r="D2" s="311" t="s">
        <v>2756</v>
      </c>
      <c r="E2" s="312" t="s">
        <v>549</v>
      </c>
      <c r="F2" s="312" t="s">
        <v>1166</v>
      </c>
      <c r="G2" s="312" t="s">
        <v>413</v>
      </c>
      <c r="H2" s="312" t="s">
        <v>409</v>
      </c>
      <c r="I2" s="312" t="s">
        <v>280</v>
      </c>
      <c r="J2" s="335"/>
      <c r="K2" s="311" t="s">
        <v>2756</v>
      </c>
      <c r="L2" s="312" t="s">
        <v>549</v>
      </c>
      <c r="M2" s="312" t="s">
        <v>1166</v>
      </c>
      <c r="N2" s="312" t="s">
        <v>413</v>
      </c>
      <c r="O2" s="312" t="s">
        <v>409</v>
      </c>
      <c r="P2" s="312" t="s">
        <v>280</v>
      </c>
      <c r="Q2" s="335"/>
      <c r="R2" s="311" t="s">
        <v>2756</v>
      </c>
      <c r="S2" s="312" t="s">
        <v>549</v>
      </c>
      <c r="T2" s="312" t="s">
        <v>1166</v>
      </c>
      <c r="U2" s="312" t="s">
        <v>413</v>
      </c>
      <c r="V2" s="312" t="s">
        <v>409</v>
      </c>
      <c r="W2" s="312" t="s">
        <v>280</v>
      </c>
      <c r="X2" s="335"/>
      <c r="Y2" s="311" t="s">
        <v>2756</v>
      </c>
      <c r="Z2" s="312" t="s">
        <v>549</v>
      </c>
      <c r="AA2" s="312" t="s">
        <v>1166</v>
      </c>
      <c r="AB2" s="312" t="s">
        <v>413</v>
      </c>
      <c r="AC2" s="312" t="s">
        <v>409</v>
      </c>
      <c r="AD2" s="312" t="s">
        <v>280</v>
      </c>
    </row>
    <row r="3" spans="1:30" s="299" customFormat="1" ht="13.2">
      <c r="A3" s="313" t="s">
        <v>2757</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3.2">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3.2">
      <c r="A5" s="318" t="s">
        <v>2758</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3.2">
      <c r="A6" s="318" t="s">
        <v>2759</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3.2">
      <c r="A7" s="318" t="s">
        <v>2760</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3.2">
      <c r="A8" s="318" t="s">
        <v>2761</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3.2">
      <c r="A9" s="322" t="s">
        <v>2762</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3.2">
      <c r="A10" s="318" t="s">
        <v>2763</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3.2">
      <c r="A11" s="318" t="s">
        <v>2764</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3.2">
      <c r="A12" s="318" t="s">
        <v>2765</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3.2">
      <c r="A13" s="318" t="s">
        <v>2766</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3.2">
      <c r="A14" s="318" t="s">
        <v>2767</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3.2">
      <c r="A15" s="318" t="s">
        <v>2768</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3.2">
      <c r="A16" s="328" t="s">
        <v>2769</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2770</v>
      </c>
    </row>
    <row r="19" spans="1:30" s="304" customFormat="1">
      <c r="I19" s="353" t="s">
        <v>1672</v>
      </c>
    </row>
    <row r="20" spans="1:30" s="304" customFormat="1"/>
    <row r="21" spans="1:30" s="305" customFormat="1" ht="13.2">
      <c r="B21" s="307" t="s">
        <v>2771</v>
      </c>
      <c r="C21" s="308"/>
      <c r="D21" s="308"/>
      <c r="E21" s="308"/>
      <c r="F21" s="308"/>
      <c r="G21" s="308"/>
      <c r="H21" s="308"/>
      <c r="I21" s="308"/>
      <c r="J21" s="334"/>
      <c r="K21" s="308" t="s">
        <v>2753</v>
      </c>
      <c r="L21" s="308"/>
      <c r="M21" s="308"/>
      <c r="N21" s="308"/>
      <c r="O21" s="308"/>
      <c r="P21" s="308"/>
      <c r="Q21" s="334"/>
      <c r="R21" s="3950" t="s">
        <v>2754</v>
      </c>
      <c r="S21" s="3951"/>
      <c r="T21" s="3951"/>
      <c r="U21" s="3951"/>
      <c r="V21" s="3951"/>
      <c r="W21" s="3951"/>
      <c r="X21" s="334"/>
      <c r="Y21" s="3950" t="s">
        <v>2755</v>
      </c>
      <c r="Z21" s="3951"/>
      <c r="AA21" s="3951"/>
      <c r="AB21" s="3951"/>
      <c r="AC21" s="3951"/>
      <c r="AD21" s="3951"/>
    </row>
    <row r="22" spans="1:30" s="298" customFormat="1">
      <c r="B22" s="309"/>
      <c r="C22" s="310"/>
      <c r="D22" s="311" t="s">
        <v>2756</v>
      </c>
      <c r="E22" s="312" t="s">
        <v>549</v>
      </c>
      <c r="F22" s="312" t="s">
        <v>1166</v>
      </c>
      <c r="G22" s="312" t="s">
        <v>413</v>
      </c>
      <c r="H22" s="312"/>
      <c r="I22" s="312" t="s">
        <v>280</v>
      </c>
      <c r="J22" s="335"/>
      <c r="K22" s="311" t="s">
        <v>2756</v>
      </c>
      <c r="L22" s="312" t="s">
        <v>549</v>
      </c>
      <c r="M22" s="312" t="s">
        <v>1166</v>
      </c>
      <c r="N22" s="312" t="s">
        <v>413</v>
      </c>
      <c r="O22" s="312"/>
      <c r="P22" s="312" t="s">
        <v>280</v>
      </c>
      <c r="Q22" s="335"/>
      <c r="R22" s="311" t="s">
        <v>2756</v>
      </c>
      <c r="S22" s="312" t="s">
        <v>549</v>
      </c>
      <c r="T22" s="312" t="s">
        <v>1166</v>
      </c>
      <c r="U22" s="312" t="s">
        <v>413</v>
      </c>
      <c r="V22" s="312"/>
      <c r="W22" s="312" t="s">
        <v>280</v>
      </c>
      <c r="X22" s="335"/>
      <c r="Y22" s="311" t="s">
        <v>2756</v>
      </c>
      <c r="Z22" s="312" t="s">
        <v>549</v>
      </c>
      <c r="AA22" s="312" t="s">
        <v>1166</v>
      </c>
      <c r="AB22" s="312" t="s">
        <v>413</v>
      </c>
      <c r="AC22" s="312"/>
      <c r="AD22" s="312" t="s">
        <v>280</v>
      </c>
    </row>
    <row r="23" spans="1:30" s="299" customFormat="1" ht="13.2">
      <c r="A23" s="313" t="s">
        <v>2757</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3.2">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3.2">
      <c r="A25" s="318" t="s">
        <v>2758</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3.2">
      <c r="A26" s="318" t="s">
        <v>2759</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3.2">
      <c r="A27" s="318" t="s">
        <v>2760</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3.2">
      <c r="A28" s="318" t="s">
        <v>2761</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3.2">
      <c r="A29" s="322" t="s">
        <v>2762</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3.2">
      <c r="A30" s="318" t="s">
        <v>2763</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3.2">
      <c r="A31" s="318" t="s">
        <v>2764</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3.2">
      <c r="A32" s="318" t="s">
        <v>2765</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3.2">
      <c r="A33" s="318" t="s">
        <v>2766</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3.2">
      <c r="A34" s="318" t="s">
        <v>2767</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3.2">
      <c r="A35" s="318" t="s">
        <v>2768</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3.2">
      <c r="A36" s="328" t="s">
        <v>2769</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2772</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73"/>
    <col min="2" max="6" width="9" style="173" customWidth="1"/>
    <col min="7" max="7" width="9" style="174"/>
    <col min="8" max="8" width="9" style="173"/>
    <col min="9" max="12" width="9" style="173" customWidth="1"/>
    <col min="13" max="13" width="2.21875" style="173" customWidth="1"/>
    <col min="14" max="14" width="9" style="174" customWidth="1"/>
    <col min="15" max="17" width="9" style="173" customWidth="1"/>
    <col min="18" max="18" width="2.33203125" style="173" customWidth="1"/>
    <col min="19" max="19" width="7.109375" style="174" customWidth="1"/>
    <col min="20" max="22" width="7.109375" style="173" customWidth="1"/>
    <col min="23" max="23" width="24.21875" style="173" customWidth="1"/>
    <col min="24" max="25" width="9" style="173"/>
    <col min="26" max="27" width="11.6640625" style="173" customWidth="1"/>
    <col min="28" max="28" width="9" style="173"/>
    <col min="29" max="29" width="2" style="173" customWidth="1"/>
    <col min="30" max="16384" width="9" style="173"/>
  </cols>
  <sheetData>
    <row r="1" spans="1:34" s="164" customFormat="1">
      <c r="B1" s="3952" t="s">
        <v>2773</v>
      </c>
      <c r="C1" s="3952"/>
      <c r="D1" s="3952"/>
      <c r="E1" s="3952"/>
      <c r="F1" s="3952"/>
      <c r="G1" s="3953" t="s">
        <v>2774</v>
      </c>
      <c r="H1" s="3953"/>
      <c r="I1" s="3953"/>
      <c r="J1" s="3953"/>
      <c r="K1" s="3953"/>
      <c r="L1" s="3953"/>
      <c r="N1" s="3953" t="s">
        <v>2753</v>
      </c>
      <c r="O1" s="3953"/>
      <c r="P1" s="3953"/>
      <c r="Q1" s="3953"/>
      <c r="S1" s="3953" t="s">
        <v>2775</v>
      </c>
      <c r="T1" s="3953"/>
      <c r="U1" s="3953"/>
      <c r="V1" s="3953"/>
      <c r="X1" s="3954" t="s">
        <v>2754</v>
      </c>
      <c r="Y1" s="3953"/>
      <c r="Z1" s="3953"/>
      <c r="AA1" s="3953"/>
      <c r="AB1" s="3953"/>
      <c r="AD1" s="3954" t="s">
        <v>2755</v>
      </c>
      <c r="AE1" s="3953"/>
      <c r="AF1" s="3953"/>
      <c r="AG1" s="3953"/>
      <c r="AH1" s="3953"/>
    </row>
    <row r="2" spans="1:34" s="165" customFormat="1" ht="14.4">
      <c r="B2" s="175" t="s">
        <v>2776</v>
      </c>
      <c r="C2" s="175" t="s">
        <v>2777</v>
      </c>
      <c r="D2" s="176" t="s">
        <v>1166</v>
      </c>
      <c r="E2" s="176" t="s">
        <v>413</v>
      </c>
      <c r="F2" s="175" t="s">
        <v>2778</v>
      </c>
      <c r="G2" s="177"/>
      <c r="I2" s="175" t="s">
        <v>2776</v>
      </c>
      <c r="J2" s="176" t="s">
        <v>2056</v>
      </c>
      <c r="K2" s="176" t="s">
        <v>413</v>
      </c>
      <c r="L2" s="175" t="s">
        <v>2778</v>
      </c>
      <c r="N2" s="175" t="s">
        <v>2776</v>
      </c>
      <c r="O2" s="176" t="s">
        <v>2056</v>
      </c>
      <c r="P2" s="176" t="s">
        <v>413</v>
      </c>
      <c r="Q2" s="175" t="s">
        <v>2778</v>
      </c>
      <c r="S2" s="175" t="s">
        <v>2776</v>
      </c>
      <c r="T2" s="176" t="s">
        <v>2056</v>
      </c>
      <c r="U2" s="176" t="s">
        <v>413</v>
      </c>
      <c r="V2" s="175" t="s">
        <v>2778</v>
      </c>
      <c r="X2" s="175" t="s">
        <v>2776</v>
      </c>
      <c r="Y2" s="175" t="s">
        <v>2777</v>
      </c>
      <c r="Z2" s="176" t="s">
        <v>1166</v>
      </c>
      <c r="AA2" s="176" t="s">
        <v>413</v>
      </c>
      <c r="AB2" s="175" t="s">
        <v>2778</v>
      </c>
      <c r="AD2" s="175" t="s">
        <v>2776</v>
      </c>
      <c r="AE2" s="175" t="s">
        <v>2777</v>
      </c>
      <c r="AF2" s="176" t="s">
        <v>1166</v>
      </c>
      <c r="AG2" s="176" t="s">
        <v>413</v>
      </c>
      <c r="AH2" s="175" t="s">
        <v>2778</v>
      </c>
    </row>
    <row r="3" spans="1:34" s="166" customFormat="1" ht="14.4">
      <c r="A3" s="178" t="s">
        <v>2757</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4">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2762</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2763</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2779</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2764</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2765</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2766</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2767</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2768</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2769</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2780</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2781</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2782</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2783</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2784</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2785</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2786</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2787</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2788</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55">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 customHeight="1">
      <c r="A22" s="187" t="s">
        <v>2789</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55"/>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 customHeight="1">
      <c r="A23" s="187" t="s">
        <v>2790</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55"/>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2791</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56"/>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2792</v>
      </c>
      <c r="B25" s="198">
        <v>439</v>
      </c>
      <c r="C25" s="198">
        <v>327</v>
      </c>
      <c r="D25" s="198">
        <f t="shared" si="217"/>
        <v>327</v>
      </c>
      <c r="E25" s="198">
        <v>627</v>
      </c>
      <c r="F25" s="199">
        <v>283</v>
      </c>
      <c r="G25" s="3957">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 customHeight="1">
      <c r="A26" s="187" t="s">
        <v>2793</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55"/>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 customHeight="1">
      <c r="A27" s="187" t="s">
        <v>2794</v>
      </c>
      <c r="B27" s="188">
        <f t="shared" si="232"/>
        <v>419.31181600000002</v>
      </c>
      <c r="C27" s="188">
        <f t="shared" si="233"/>
        <v>313.95436800000004</v>
      </c>
      <c r="D27" s="188">
        <f t="shared" si="234"/>
        <v>313.95436800000004</v>
      </c>
      <c r="E27" s="188">
        <f t="shared" si="235"/>
        <v>596.63028431999999</v>
      </c>
      <c r="F27" s="188">
        <f t="shared" si="236"/>
        <v>274.74220703999998</v>
      </c>
      <c r="G27" s="3955"/>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2795</v>
      </c>
      <c r="B28" s="188">
        <f t="shared" si="232"/>
        <v>405.524</v>
      </c>
      <c r="C28" s="188">
        <f t="shared" si="233"/>
        <v>307.79840000000002</v>
      </c>
      <c r="D28" s="188">
        <f t="shared" si="234"/>
        <v>307.79840000000002</v>
      </c>
      <c r="E28" s="188">
        <f t="shared" si="235"/>
        <v>574.67759999999998</v>
      </c>
      <c r="F28" s="188">
        <f t="shared" si="236"/>
        <v>270.20280000000002</v>
      </c>
      <c r="G28" s="3956"/>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2796</v>
      </c>
      <c r="B29" s="198">
        <v>392</v>
      </c>
      <c r="C29" s="198">
        <v>302</v>
      </c>
      <c r="D29" s="198">
        <f t="shared" si="234"/>
        <v>302</v>
      </c>
      <c r="E29" s="198">
        <v>553</v>
      </c>
      <c r="F29" s="199">
        <v>266</v>
      </c>
      <c r="G29" s="3957">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2797</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55"/>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2798</v>
      </c>
      <c r="B31" s="188">
        <f t="shared" si="245"/>
        <v>360.06949782209392</v>
      </c>
      <c r="C31" s="188">
        <f t="shared" si="245"/>
        <v>289.84672674747821</v>
      </c>
      <c r="D31" s="188">
        <f t="shared" si="246"/>
        <v>289.84672674747821</v>
      </c>
      <c r="E31" s="188">
        <f t="shared" si="247"/>
        <v>501.06543001181495</v>
      </c>
      <c r="F31" s="188">
        <f t="shared" si="247"/>
        <v>256.82882500744967</v>
      </c>
      <c r="G31" s="3955"/>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2799</v>
      </c>
      <c r="B32" s="188">
        <f t="shared" si="245"/>
        <v>346.720748986128</v>
      </c>
      <c r="C32" s="188">
        <f t="shared" si="245"/>
        <v>284.30282172386285</v>
      </c>
      <c r="D32" s="188">
        <f t="shared" si="246"/>
        <v>284.30282172386285</v>
      </c>
      <c r="E32" s="188">
        <f t="shared" si="247"/>
        <v>479.58023546306947</v>
      </c>
      <c r="F32" s="188">
        <f t="shared" si="247"/>
        <v>253.25788877571213</v>
      </c>
      <c r="G32" s="3958"/>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2800</v>
      </c>
      <c r="B33" s="198">
        <v>333</v>
      </c>
      <c r="C33" s="198">
        <v>277</v>
      </c>
      <c r="D33" s="198">
        <f t="shared" si="246"/>
        <v>277</v>
      </c>
      <c r="E33" s="198">
        <v>459</v>
      </c>
      <c r="F33" s="199">
        <v>249</v>
      </c>
      <c r="G33" s="3959">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2801</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55"/>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2802</v>
      </c>
      <c r="B35" s="188">
        <f t="shared" si="249"/>
        <v>322.34053690220776</v>
      </c>
      <c r="C35" s="188">
        <f t="shared" si="249"/>
        <v>271.46160770422546</v>
      </c>
      <c r="D35" s="188">
        <f t="shared" si="246"/>
        <v>271.46160770422546</v>
      </c>
      <c r="E35" s="188">
        <f t="shared" si="250"/>
        <v>442.69434542172456</v>
      </c>
      <c r="F35" s="188">
        <f t="shared" si="250"/>
        <v>241.34030753190925</v>
      </c>
      <c r="G35" s="3955"/>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2803</v>
      </c>
      <c r="B36" s="188">
        <f t="shared" si="249"/>
        <v>319.87748030386797</v>
      </c>
      <c r="C36" s="188">
        <f t="shared" si="249"/>
        <v>269.60135833173649</v>
      </c>
      <c r="D36" s="188">
        <f t="shared" si="246"/>
        <v>269.60135833173649</v>
      </c>
      <c r="E36" s="188">
        <f t="shared" si="250"/>
        <v>439.18089823583784</v>
      </c>
      <c r="F36" s="188">
        <f t="shared" si="250"/>
        <v>239.23503918706311</v>
      </c>
      <c r="G36" s="3958"/>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2804</v>
      </c>
      <c r="B37" s="202">
        <v>318</v>
      </c>
      <c r="C37" s="202">
        <v>268</v>
      </c>
      <c r="D37" s="202">
        <f t="shared" si="246"/>
        <v>268</v>
      </c>
      <c r="E37" s="202">
        <v>437</v>
      </c>
      <c r="F37" s="203">
        <v>237</v>
      </c>
      <c r="G37" s="3959">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2805</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55"/>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2806</v>
      </c>
      <c r="B39" s="188">
        <f t="shared" si="251"/>
        <v>314.72141172386546</v>
      </c>
      <c r="C39" s="188">
        <f t="shared" si="251"/>
        <v>263.03901319069001</v>
      </c>
      <c r="D39" s="188">
        <f t="shared" si="246"/>
        <v>263.03901319069001</v>
      </c>
      <c r="E39" s="188">
        <f t="shared" si="252"/>
        <v>433.65745506782821</v>
      </c>
      <c r="F39" s="188">
        <f t="shared" si="252"/>
        <v>233.23005080045735</v>
      </c>
      <c r="G39" s="3955"/>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2807</v>
      </c>
      <c r="B40" s="206">
        <f t="shared" si="251"/>
        <v>307.34512863658733</v>
      </c>
      <c r="C40" s="206">
        <f t="shared" si="251"/>
        <v>257.80556031626975</v>
      </c>
      <c r="D40" s="206">
        <f t="shared" si="246"/>
        <v>257.80556031626975</v>
      </c>
      <c r="E40" s="206">
        <f t="shared" si="252"/>
        <v>422.70928459677179</v>
      </c>
      <c r="F40" s="206">
        <f t="shared" si="252"/>
        <v>229.73803270336617</v>
      </c>
      <c r="G40" s="3958"/>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2808</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2809</v>
      </c>
      <c r="B41" s="198">
        <v>299</v>
      </c>
      <c r="C41" s="198">
        <v>252</v>
      </c>
      <c r="D41" s="198">
        <f t="shared" si="246"/>
        <v>252</v>
      </c>
      <c r="E41" s="198">
        <v>409</v>
      </c>
      <c r="F41" s="199">
        <v>227</v>
      </c>
      <c r="G41" s="3960">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2810</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61"/>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2811</v>
      </c>
      <c r="B43" s="188">
        <f t="shared" si="255"/>
        <v>288.2649053828776</v>
      </c>
      <c r="C43" s="188">
        <f t="shared" si="255"/>
        <v>243.64564425013293</v>
      </c>
      <c r="D43" s="188">
        <f t="shared" si="246"/>
        <v>243.64564425013293</v>
      </c>
      <c r="E43" s="188">
        <f t="shared" si="256"/>
        <v>393.31080825986544</v>
      </c>
      <c r="F43" s="188">
        <f t="shared" si="256"/>
        <v>223.07903790551154</v>
      </c>
      <c r="G43" s="3961"/>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2812</v>
      </c>
      <c r="B44" s="188">
        <f t="shared" si="255"/>
        <v>282.50186729015837</v>
      </c>
      <c r="C44" s="188">
        <f t="shared" si="255"/>
        <v>238.09796174155468</v>
      </c>
      <c r="D44" s="188">
        <f t="shared" si="246"/>
        <v>238.09796174155468</v>
      </c>
      <c r="E44" s="188">
        <f t="shared" si="256"/>
        <v>385.33438646014054</v>
      </c>
      <c r="F44" s="188">
        <f t="shared" si="256"/>
        <v>221.55034055567739</v>
      </c>
      <c r="G44" s="3962"/>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2813</v>
      </c>
      <c r="B45" s="209">
        <v>278</v>
      </c>
      <c r="C45" s="209">
        <v>234</v>
      </c>
      <c r="D45" s="209">
        <f t="shared" si="246"/>
        <v>234</v>
      </c>
      <c r="E45" s="209">
        <v>379</v>
      </c>
      <c r="F45" s="210">
        <v>220</v>
      </c>
      <c r="G45" s="3959">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2814</v>
      </c>
      <c r="B46" s="188">
        <f>B45/(1+N45)</f>
        <v>275.49301357645425</v>
      </c>
      <c r="C46" s="188">
        <f>C45/(1+O45)</f>
        <v>232.41954707985698</v>
      </c>
      <c r="D46" s="188">
        <f t="shared" si="246"/>
        <v>232.41954707985698</v>
      </c>
      <c r="E46" s="188">
        <f t="shared" ref="E46:F48" si="257">E45/(1+P45)</f>
        <v>375.32184591008121</v>
      </c>
      <c r="F46" s="188">
        <f t="shared" si="257"/>
        <v>218.03766105054513</v>
      </c>
      <c r="G46" s="3955"/>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2815</v>
      </c>
      <c r="B47" s="188">
        <f>B46/(1+N46)</f>
        <v>275.24529281292263</v>
      </c>
      <c r="C47" s="188">
        <f>C46/(1+O46)</f>
        <v>231.74747938962707</v>
      </c>
      <c r="D47" s="188">
        <f t="shared" si="246"/>
        <v>231.74747938962707</v>
      </c>
      <c r="E47" s="188">
        <f t="shared" si="257"/>
        <v>375.35938184826603</v>
      </c>
      <c r="F47" s="188">
        <f t="shared" si="257"/>
        <v>216.78033510692495</v>
      </c>
      <c r="G47" s="3955"/>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2816</v>
      </c>
      <c r="B48" s="188">
        <f>B47/(1+N47)</f>
        <v>275.19025476197027</v>
      </c>
      <c r="C48" s="211">
        <v>232</v>
      </c>
      <c r="D48" s="211">
        <f t="shared" si="246"/>
        <v>232</v>
      </c>
      <c r="E48" s="188">
        <f t="shared" si="257"/>
        <v>375.65990977608692</v>
      </c>
      <c r="F48" s="188">
        <f t="shared" si="257"/>
        <v>214.12518283971252</v>
      </c>
      <c r="G48" s="3958"/>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2817</v>
      </c>
      <c r="B49" s="198">
        <v>275</v>
      </c>
      <c r="C49" s="198">
        <v>232</v>
      </c>
      <c r="D49" s="198">
        <f t="shared" si="246"/>
        <v>232</v>
      </c>
      <c r="E49" s="198">
        <v>376</v>
      </c>
      <c r="F49" s="199">
        <v>213</v>
      </c>
      <c r="G49" s="3959">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2818</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55">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2819</v>
      </c>
      <c r="B51" s="188">
        <f t="shared" si="258"/>
        <v>275.19335084830601</v>
      </c>
      <c r="C51" s="188">
        <f t="shared" si="258"/>
        <v>230.18088050139744</v>
      </c>
      <c r="D51" s="188">
        <f t="shared" si="246"/>
        <v>230.18088050139744</v>
      </c>
      <c r="E51" s="188">
        <f t="shared" si="259"/>
        <v>377.58482925212331</v>
      </c>
      <c r="F51" s="188">
        <f t="shared" si="259"/>
        <v>210.90687997847917</v>
      </c>
      <c r="G51" s="3955">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2820</v>
      </c>
      <c r="B52" s="188">
        <f t="shared" si="258"/>
        <v>276.29854502841971</v>
      </c>
      <c r="C52" s="188">
        <f t="shared" si="258"/>
        <v>229.79023709833027</v>
      </c>
      <c r="D52" s="188">
        <f t="shared" si="246"/>
        <v>229.79023709833027</v>
      </c>
      <c r="E52" s="188">
        <f t="shared" si="259"/>
        <v>379.78759731655936</v>
      </c>
      <c r="F52" s="188">
        <f t="shared" si="259"/>
        <v>211.32953905659235</v>
      </c>
      <c r="G52" s="3958">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2821</v>
      </c>
      <c r="B53" s="198">
        <v>269</v>
      </c>
      <c r="C53" s="198">
        <v>221</v>
      </c>
      <c r="D53" s="198">
        <f t="shared" si="246"/>
        <v>221</v>
      </c>
      <c r="E53" s="198">
        <v>373</v>
      </c>
      <c r="F53" s="199">
        <v>196</v>
      </c>
      <c r="G53" s="3959">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2822</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55">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2823</v>
      </c>
      <c r="B55" s="188">
        <f t="shared" si="260"/>
        <v>242.95398227588385</v>
      </c>
      <c r="C55" s="188">
        <f t="shared" si="260"/>
        <v>199.59137053614126</v>
      </c>
      <c r="D55" s="188">
        <f t="shared" si="246"/>
        <v>199.59137053614126</v>
      </c>
      <c r="E55" s="188">
        <f t="shared" si="261"/>
        <v>335.92189522342125</v>
      </c>
      <c r="F55" s="188">
        <f t="shared" si="261"/>
        <v>183.10139991109489</v>
      </c>
      <c r="G55" s="3955">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2824</v>
      </c>
      <c r="B56" s="188">
        <f t="shared" si="260"/>
        <v>232.06990378821649</v>
      </c>
      <c r="C56" s="188">
        <f t="shared" si="260"/>
        <v>192.74878854286936</v>
      </c>
      <c r="D56" s="188">
        <f t="shared" si="246"/>
        <v>192.74878854286936</v>
      </c>
      <c r="E56" s="188">
        <f t="shared" si="261"/>
        <v>319.71247284992984</v>
      </c>
      <c r="F56" s="188">
        <f t="shared" si="261"/>
        <v>175.67053622862409</v>
      </c>
      <c r="G56" s="3958">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2825</v>
      </c>
      <c r="B57" s="198">
        <v>220</v>
      </c>
      <c r="C57" s="198">
        <v>187</v>
      </c>
      <c r="D57" s="198">
        <f t="shared" si="246"/>
        <v>187</v>
      </c>
      <c r="E57" s="198">
        <v>301</v>
      </c>
      <c r="F57" s="199">
        <v>168</v>
      </c>
      <c r="G57" s="3959">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2826</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55">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2827</v>
      </c>
      <c r="B59" s="188">
        <f t="shared" si="262"/>
        <v>210.630522469011</v>
      </c>
      <c r="C59" s="188">
        <f t="shared" si="262"/>
        <v>181.69567812247232</v>
      </c>
      <c r="D59" s="188">
        <f t="shared" si="246"/>
        <v>181.69567812247232</v>
      </c>
      <c r="E59" s="188">
        <f t="shared" si="263"/>
        <v>286.13517466736738</v>
      </c>
      <c r="F59" s="188">
        <f t="shared" si="263"/>
        <v>165.47535084591149</v>
      </c>
      <c r="G59" s="3955">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2828</v>
      </c>
      <c r="B60" s="188">
        <f t="shared" si="262"/>
        <v>208.83454537875372</v>
      </c>
      <c r="C60" s="188">
        <f t="shared" si="262"/>
        <v>183.77230517090351</v>
      </c>
      <c r="D60" s="188">
        <f t="shared" si="246"/>
        <v>183.77230517090351</v>
      </c>
      <c r="E60" s="188">
        <f t="shared" si="263"/>
        <v>281.10342338870947</v>
      </c>
      <c r="F60" s="188">
        <f t="shared" si="263"/>
        <v>168.97309388942256</v>
      </c>
      <c r="G60" s="3958">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2829</v>
      </c>
      <c r="B61" s="209">
        <v>214</v>
      </c>
      <c r="C61" s="209">
        <v>188</v>
      </c>
      <c r="D61" s="209">
        <f t="shared" si="246"/>
        <v>188</v>
      </c>
      <c r="E61" s="209">
        <v>289</v>
      </c>
      <c r="F61" s="210">
        <v>166</v>
      </c>
      <c r="G61" s="3959">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2830</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55">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2831</v>
      </c>
      <c r="B63" s="188">
        <f t="shared" si="264"/>
        <v>206.31694671589116</v>
      </c>
      <c r="C63" s="188">
        <f t="shared" si="264"/>
        <v>183.61041121036101</v>
      </c>
      <c r="D63" s="188">
        <f t="shared" si="246"/>
        <v>183.61041121036101</v>
      </c>
      <c r="E63" s="188">
        <f t="shared" si="265"/>
        <v>276.66850301795557</v>
      </c>
      <c r="F63" s="188">
        <f t="shared" si="265"/>
        <v>165.1360938278614</v>
      </c>
      <c r="G63" s="3955">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2832</v>
      </c>
      <c r="B64" s="212">
        <f t="shared" si="264"/>
        <v>196.62341248059772</v>
      </c>
      <c r="C64" s="212">
        <f t="shared" si="264"/>
        <v>170.99125648199012</v>
      </c>
      <c r="D64" s="212">
        <f t="shared" si="246"/>
        <v>170.99125648199012</v>
      </c>
      <c r="E64" s="212">
        <f t="shared" si="265"/>
        <v>266.07857570490052</v>
      </c>
      <c r="F64" s="212">
        <f t="shared" si="265"/>
        <v>154.53499328828505</v>
      </c>
      <c r="G64" s="3958">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2833</v>
      </c>
      <c r="B65" s="198">
        <v>188</v>
      </c>
      <c r="C65" s="198">
        <v>165</v>
      </c>
      <c r="D65" s="198">
        <f t="shared" si="246"/>
        <v>165</v>
      </c>
      <c r="E65" s="198">
        <v>254</v>
      </c>
      <c r="F65" s="199">
        <v>148</v>
      </c>
      <c r="G65" s="3959">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2834</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55">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2835</v>
      </c>
      <c r="B67" s="188">
        <f t="shared" si="268"/>
        <v>168.82017748715555</v>
      </c>
      <c r="C67" s="188">
        <f t="shared" si="268"/>
        <v>148.06267029972753</v>
      </c>
      <c r="D67" s="188">
        <f t="shared" si="246"/>
        <v>148.06267029972753</v>
      </c>
      <c r="E67" s="188">
        <f t="shared" si="269"/>
        <v>216.46288379323747</v>
      </c>
      <c r="F67" s="188">
        <f t="shared" si="269"/>
        <v>134.23529411764704</v>
      </c>
      <c r="G67" s="3955">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2836</v>
      </c>
      <c r="B68" s="188">
        <f t="shared" si="268"/>
        <v>163.84913591779542</v>
      </c>
      <c r="C68" s="188">
        <f t="shared" si="268"/>
        <v>145.0283378746594</v>
      </c>
      <c r="D68" s="188">
        <f t="shared" si="246"/>
        <v>145.0283378746594</v>
      </c>
      <c r="E68" s="188">
        <f t="shared" si="269"/>
        <v>204.95180722891567</v>
      </c>
      <c r="F68" s="188">
        <f t="shared" si="269"/>
        <v>125.95920303605313</v>
      </c>
      <c r="G68" s="3958">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2837</v>
      </c>
      <c r="B69" s="202">
        <v>159</v>
      </c>
      <c r="C69" s="202">
        <v>141</v>
      </c>
      <c r="D69" s="202">
        <f t="shared" si="246"/>
        <v>141</v>
      </c>
      <c r="E69" s="202">
        <v>195</v>
      </c>
      <c r="F69" s="203">
        <v>122</v>
      </c>
      <c r="G69" s="3959">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2838</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55">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2839</v>
      </c>
      <c r="B71" s="188">
        <f t="shared" si="272"/>
        <v>146.57412060301507</v>
      </c>
      <c r="C71" s="188">
        <f t="shared" si="272"/>
        <v>136.46831955922866</v>
      </c>
      <c r="D71" s="188">
        <f t="shared" si="246"/>
        <v>136.46831955922866</v>
      </c>
      <c r="E71" s="188">
        <f t="shared" si="273"/>
        <v>166.73864894795128</v>
      </c>
      <c r="F71" s="188">
        <f t="shared" si="273"/>
        <v>115.05882352941177</v>
      </c>
      <c r="G71" s="3955">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2840</v>
      </c>
      <c r="B72" s="188">
        <f t="shared" si="272"/>
        <v>144.04145728643215</v>
      </c>
      <c r="C72" s="188">
        <f t="shared" si="272"/>
        <v>136.12396694214877</v>
      </c>
      <c r="D72" s="188">
        <f t="shared" si="246"/>
        <v>136.12396694214877</v>
      </c>
      <c r="E72" s="188">
        <f t="shared" si="273"/>
        <v>158.32225913621264</v>
      </c>
      <c r="F72" s="188">
        <f t="shared" si="273"/>
        <v>114.04278074866311</v>
      </c>
      <c r="G72" s="3958">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2841</v>
      </c>
      <c r="B73" s="202">
        <v>138</v>
      </c>
      <c r="C73" s="202">
        <v>131</v>
      </c>
      <c r="D73" s="202">
        <f t="shared" si="246"/>
        <v>131</v>
      </c>
      <c r="E73" s="202">
        <v>155</v>
      </c>
      <c r="F73" s="203">
        <v>114</v>
      </c>
      <c r="G73" s="3959">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2842</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55">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2843</v>
      </c>
      <c r="B75" s="188">
        <f t="shared" si="276"/>
        <v>124.29032258064517</v>
      </c>
      <c r="C75" s="188">
        <f t="shared" si="276"/>
        <v>123.8968609865471</v>
      </c>
      <c r="D75" s="188">
        <f t="shared" si="246"/>
        <v>123.8968609865471</v>
      </c>
      <c r="E75" s="188">
        <f t="shared" si="277"/>
        <v>138.00507614213197</v>
      </c>
      <c r="F75" s="188">
        <f t="shared" si="277"/>
        <v>107.96106557377048</v>
      </c>
      <c r="G75" s="3955">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2844</v>
      </c>
      <c r="B76" s="188">
        <f t="shared" si="276"/>
        <v>122.57204301075269</v>
      </c>
      <c r="C76" s="188">
        <f t="shared" si="276"/>
        <v>123.4932735426009</v>
      </c>
      <c r="D76" s="188">
        <f t="shared" si="246"/>
        <v>123.4932735426009</v>
      </c>
      <c r="E76" s="188">
        <f t="shared" si="277"/>
        <v>129.82233502538071</v>
      </c>
      <c r="F76" s="188">
        <f t="shared" si="277"/>
        <v>107.39446721311475</v>
      </c>
      <c r="G76" s="3958">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2845</v>
      </c>
      <c r="B77" s="209">
        <v>121</v>
      </c>
      <c r="C77" s="209">
        <v>122</v>
      </c>
      <c r="D77" s="209">
        <f t="shared" si="246"/>
        <v>122</v>
      </c>
      <c r="E77" s="209">
        <v>124</v>
      </c>
      <c r="F77" s="210">
        <v>107</v>
      </c>
      <c r="G77" s="3959">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2846</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55">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2847</v>
      </c>
      <c r="B79" s="188">
        <f t="shared" si="280"/>
        <v>116.99099099099099</v>
      </c>
      <c r="C79" s="188">
        <f t="shared" si="280"/>
        <v>118.84848484848486</v>
      </c>
      <c r="D79" s="188">
        <f t="shared" si="246"/>
        <v>118.84848484848486</v>
      </c>
      <c r="E79" s="188">
        <f t="shared" si="281"/>
        <v>117.60960960960961</v>
      </c>
      <c r="F79" s="188">
        <f t="shared" si="281"/>
        <v>104</v>
      </c>
      <c r="G79" s="3955">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2848</v>
      </c>
      <c r="B80" s="212">
        <f t="shared" si="280"/>
        <v>112.48648648648648</v>
      </c>
      <c r="C80" s="212">
        <f t="shared" si="280"/>
        <v>115.21212121212122</v>
      </c>
      <c r="D80" s="212">
        <f t="shared" si="246"/>
        <v>115.21212121212122</v>
      </c>
      <c r="E80" s="212">
        <f t="shared" si="281"/>
        <v>110.4024024024024</v>
      </c>
      <c r="F80" s="212">
        <f t="shared" si="281"/>
        <v>104</v>
      </c>
      <c r="G80" s="3958">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2849</v>
      </c>
      <c r="B81" s="262">
        <v>111</v>
      </c>
      <c r="C81" s="262">
        <v>114</v>
      </c>
      <c r="D81" s="262">
        <f t="shared" si="246"/>
        <v>114</v>
      </c>
      <c r="E81" s="262">
        <v>108</v>
      </c>
      <c r="F81" s="263">
        <v>104</v>
      </c>
      <c r="G81" s="3959">
        <v>2003</v>
      </c>
      <c r="H81" s="261">
        <v>4</v>
      </c>
      <c r="I81" s="281"/>
      <c r="J81" s="281"/>
      <c r="K81" s="281"/>
      <c r="L81" s="281"/>
      <c r="N81" s="282"/>
      <c r="O81" s="281"/>
      <c r="P81" s="281"/>
      <c r="Q81" s="281"/>
      <c r="S81" s="282"/>
      <c r="T81" s="281"/>
      <c r="U81" s="281"/>
      <c r="V81" s="281"/>
      <c r="X81" s="287"/>
      <c r="Y81" s="287"/>
      <c r="Z81" s="287"/>
    </row>
    <row r="82" spans="1:26">
      <c r="A82" s="187" t="s">
        <v>2850</v>
      </c>
      <c r="B82" s="264">
        <f t="shared" ref="B82:C84" si="282">B83+(B$81-B$85)/4</f>
        <v>109.75</v>
      </c>
      <c r="C82" s="264">
        <f t="shared" si="282"/>
        <v>112.25</v>
      </c>
      <c r="D82" s="264">
        <f t="shared" si="246"/>
        <v>112.25</v>
      </c>
      <c r="E82" s="264">
        <f t="shared" ref="E82:F84" si="283">E83+(E$81-E$85)/4</f>
        <v>107.25</v>
      </c>
      <c r="F82" s="264">
        <f t="shared" si="283"/>
        <v>103.5</v>
      </c>
      <c r="G82" s="3955">
        <v>2003</v>
      </c>
      <c r="H82" s="201">
        <v>3</v>
      </c>
      <c r="I82" s="281"/>
      <c r="J82" s="281"/>
      <c r="K82" s="281"/>
      <c r="L82" s="281"/>
      <c r="X82" s="287"/>
      <c r="Y82" s="287"/>
      <c r="Z82" s="287"/>
    </row>
    <row r="83" spans="1:26">
      <c r="A83" s="187" t="s">
        <v>2851</v>
      </c>
      <c r="B83" s="264">
        <f t="shared" si="282"/>
        <v>108.5</v>
      </c>
      <c r="C83" s="264">
        <f t="shared" si="282"/>
        <v>110.5</v>
      </c>
      <c r="D83" s="264">
        <f t="shared" si="246"/>
        <v>110.5</v>
      </c>
      <c r="E83" s="264">
        <f t="shared" si="283"/>
        <v>106.5</v>
      </c>
      <c r="F83" s="264">
        <f t="shared" si="283"/>
        <v>103</v>
      </c>
      <c r="G83" s="3955">
        <v>2003</v>
      </c>
      <c r="H83" s="197">
        <v>2</v>
      </c>
      <c r="I83" s="281"/>
      <c r="J83" s="281"/>
      <c r="K83" s="281"/>
      <c r="L83" s="281"/>
      <c r="X83" s="287"/>
      <c r="Y83" s="287"/>
      <c r="Z83" s="287"/>
    </row>
    <row r="84" spans="1:26">
      <c r="A84" s="187" t="s">
        <v>2852</v>
      </c>
      <c r="B84" s="264">
        <f t="shared" si="282"/>
        <v>107.25</v>
      </c>
      <c r="C84" s="264">
        <f t="shared" si="282"/>
        <v>108.75</v>
      </c>
      <c r="D84" s="264">
        <f t="shared" si="246"/>
        <v>108.75</v>
      </c>
      <c r="E84" s="264">
        <f t="shared" si="283"/>
        <v>105.75</v>
      </c>
      <c r="F84" s="264">
        <f t="shared" si="283"/>
        <v>102.5</v>
      </c>
      <c r="G84" s="3958">
        <v>2003</v>
      </c>
      <c r="H84" s="265">
        <v>1</v>
      </c>
      <c r="I84" s="281"/>
      <c r="J84" s="281"/>
      <c r="K84" s="281"/>
      <c r="L84" s="281"/>
      <c r="S84" s="218"/>
      <c r="T84" s="219"/>
      <c r="U84" s="219"/>
      <c r="X84" s="287"/>
      <c r="Y84" s="287"/>
      <c r="Z84" s="287"/>
    </row>
    <row r="85" spans="1:26">
      <c r="A85" s="187" t="s">
        <v>2853</v>
      </c>
      <c r="B85" s="266">
        <v>106</v>
      </c>
      <c r="C85" s="266">
        <v>107</v>
      </c>
      <c r="D85" s="266">
        <f t="shared" si="246"/>
        <v>107</v>
      </c>
      <c r="E85" s="266">
        <v>105</v>
      </c>
      <c r="F85" s="267">
        <v>102</v>
      </c>
      <c r="G85" s="3959">
        <v>2002</v>
      </c>
      <c r="H85" s="200">
        <v>4</v>
      </c>
      <c r="I85" s="281"/>
      <c r="J85" s="281"/>
      <c r="K85" s="281"/>
      <c r="L85" s="281"/>
      <c r="N85" s="282"/>
      <c r="O85" s="281"/>
      <c r="P85" s="281"/>
      <c r="Q85" s="281"/>
      <c r="S85" s="282"/>
      <c r="T85" s="281"/>
      <c r="U85" s="281"/>
      <c r="V85" s="281"/>
      <c r="X85" s="287"/>
      <c r="Y85" s="287"/>
      <c r="Z85" s="287"/>
    </row>
    <row r="86" spans="1:26">
      <c r="A86" s="187" t="s">
        <v>2854</v>
      </c>
      <c r="B86" s="264">
        <f t="shared" ref="B86:C88" si="284">B87+(B$85-B$89)/4</f>
        <v>105</v>
      </c>
      <c r="C86" s="264">
        <f t="shared" si="284"/>
        <v>106</v>
      </c>
      <c r="D86" s="264">
        <f t="shared" si="246"/>
        <v>106</v>
      </c>
      <c r="E86" s="264">
        <f t="shared" ref="E86:F88" si="285">E87+(E$85-E$89)/4</f>
        <v>104.5</v>
      </c>
      <c r="F86" s="264">
        <f t="shared" si="285"/>
        <v>101.5</v>
      </c>
      <c r="G86" s="3955">
        <v>2002</v>
      </c>
      <c r="H86" s="201">
        <v>3</v>
      </c>
      <c r="I86" s="281"/>
      <c r="J86" s="281"/>
      <c r="K86" s="281"/>
      <c r="L86" s="281"/>
      <c r="X86" s="287"/>
      <c r="Y86" s="287"/>
      <c r="Z86" s="287"/>
    </row>
    <row r="87" spans="1:26">
      <c r="A87" s="187" t="s">
        <v>2855</v>
      </c>
      <c r="B87" s="264">
        <f t="shared" si="284"/>
        <v>104</v>
      </c>
      <c r="C87" s="264">
        <f t="shared" si="284"/>
        <v>105</v>
      </c>
      <c r="D87" s="264">
        <f t="shared" si="246"/>
        <v>105</v>
      </c>
      <c r="E87" s="264">
        <f t="shared" si="285"/>
        <v>104</v>
      </c>
      <c r="F87" s="264">
        <f t="shared" si="285"/>
        <v>101</v>
      </c>
      <c r="G87" s="3955">
        <v>2002</v>
      </c>
      <c r="H87" s="197">
        <v>2</v>
      </c>
      <c r="I87" s="281"/>
      <c r="J87" s="281"/>
      <c r="K87" s="281"/>
      <c r="L87" s="281"/>
      <c r="X87" s="287"/>
      <c r="Y87" s="287"/>
      <c r="Z87" s="287"/>
    </row>
    <row r="88" spans="1:26" s="170" customFormat="1">
      <c r="A88" s="205" t="s">
        <v>2856</v>
      </c>
      <c r="B88" s="249">
        <f t="shared" si="284"/>
        <v>103</v>
      </c>
      <c r="C88" s="249">
        <f t="shared" si="284"/>
        <v>104</v>
      </c>
      <c r="D88" s="249">
        <f t="shared" si="246"/>
        <v>104</v>
      </c>
      <c r="E88" s="249">
        <f t="shared" si="285"/>
        <v>103.5</v>
      </c>
      <c r="F88" s="249">
        <f t="shared" si="285"/>
        <v>100.5</v>
      </c>
      <c r="G88" s="3958">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2857</v>
      </c>
      <c r="G91" s="273"/>
      <c r="N91" s="273"/>
      <c r="S91" s="273"/>
    </row>
    <row r="92" spans="1:26" s="172" customFormat="1">
      <c r="A92" s="172" t="s">
        <v>2858</v>
      </c>
      <c r="G92" s="273"/>
      <c r="N92" s="273"/>
      <c r="S92" s="273"/>
    </row>
    <row r="93" spans="1:26" s="172" customFormat="1">
      <c r="A93" s="172" t="s">
        <v>2859</v>
      </c>
      <c r="G93" s="273"/>
      <c r="I93" s="285"/>
      <c r="J93" s="285"/>
      <c r="K93" s="285"/>
      <c r="L93" s="285"/>
      <c r="N93" s="286"/>
      <c r="O93" s="285"/>
      <c r="P93" s="285"/>
      <c r="Q93" s="285"/>
      <c r="S93" s="286"/>
      <c r="T93" s="285"/>
      <c r="U93" s="285"/>
      <c r="V93" s="285"/>
    </row>
    <row r="94" spans="1:26" s="172" customFormat="1">
      <c r="A94" s="172" t="s">
        <v>2860</v>
      </c>
      <c r="G94" s="273"/>
      <c r="N94" s="273"/>
      <c r="S94" s="273"/>
    </row>
    <row r="102" spans="7:22">
      <c r="G102" s="173"/>
      <c r="S102" s="290" t="s">
        <v>2861</v>
      </c>
      <c r="T102" s="291" t="s">
        <v>2862</v>
      </c>
      <c r="U102" s="291" t="s">
        <v>2863</v>
      </c>
      <c r="V102" s="291" t="s">
        <v>2864</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93" customWidth="1"/>
    <col min="2" max="2" width="13.21875" style="94" customWidth="1"/>
    <col min="3" max="3" width="15.6640625" style="94" customWidth="1"/>
    <col min="4" max="4" width="9.33203125" style="94" customWidth="1"/>
    <col min="5" max="5" width="13.44140625" style="94" customWidth="1"/>
    <col min="6" max="6" width="9" style="94"/>
    <col min="7" max="7" width="9.33203125" style="94" customWidth="1"/>
    <col min="8" max="8" width="12.21875" style="94" customWidth="1"/>
    <col min="9" max="9" width="9" style="94"/>
    <col min="10" max="10" width="9.33203125" style="94" customWidth="1"/>
    <col min="11" max="11" width="4" style="93" customWidth="1"/>
    <col min="12" max="12" width="5.109375" style="94" customWidth="1"/>
    <col min="13" max="13" width="13.77734375" style="94" customWidth="1"/>
    <col min="14" max="256" width="9" style="94"/>
    <col min="257" max="257" width="4.88671875" style="95" customWidth="1"/>
    <col min="258" max="258" width="13.21875" style="95" customWidth="1"/>
    <col min="259" max="259" width="15.6640625" style="95" customWidth="1"/>
    <col min="260" max="260" width="9.33203125" style="95" customWidth="1"/>
    <col min="261" max="261" width="13.44140625" style="95" customWidth="1"/>
    <col min="262" max="262" width="9" style="95"/>
    <col min="263" max="263" width="9.33203125" style="95" customWidth="1"/>
    <col min="264" max="265" width="9" style="95"/>
    <col min="266" max="266" width="9.33203125" style="95" customWidth="1"/>
    <col min="267" max="267" width="4" style="95" customWidth="1"/>
    <col min="268" max="268" width="5.109375" style="95" customWidth="1"/>
    <col min="269" max="269" width="13.77734375" style="95" customWidth="1"/>
    <col min="270" max="512" width="9" style="95"/>
    <col min="513" max="513" width="4.88671875" style="95" customWidth="1"/>
    <col min="514" max="514" width="13.21875" style="95" customWidth="1"/>
    <col min="515" max="515" width="15.6640625" style="95" customWidth="1"/>
    <col min="516" max="516" width="9.33203125" style="95" customWidth="1"/>
    <col min="517" max="517" width="13.44140625" style="95" customWidth="1"/>
    <col min="518" max="518" width="9" style="95"/>
    <col min="519" max="519" width="9.33203125" style="95" customWidth="1"/>
    <col min="520" max="521" width="9" style="95"/>
    <col min="522" max="522" width="9.33203125" style="95" customWidth="1"/>
    <col min="523" max="523" width="4" style="95" customWidth="1"/>
    <col min="524" max="524" width="5.109375" style="95" customWidth="1"/>
    <col min="525" max="525" width="13.77734375" style="95" customWidth="1"/>
    <col min="526" max="768" width="9" style="95"/>
    <col min="769" max="769" width="4.88671875" style="95" customWidth="1"/>
    <col min="770" max="770" width="13.21875" style="95" customWidth="1"/>
    <col min="771" max="771" width="15.6640625" style="95" customWidth="1"/>
    <col min="772" max="772" width="9.33203125" style="95" customWidth="1"/>
    <col min="773" max="773" width="13.44140625" style="95" customWidth="1"/>
    <col min="774" max="774" width="9" style="95"/>
    <col min="775" max="775" width="9.33203125" style="95" customWidth="1"/>
    <col min="776" max="777" width="9" style="95"/>
    <col min="778" max="778" width="9.33203125" style="95" customWidth="1"/>
    <col min="779" max="779" width="4" style="95" customWidth="1"/>
    <col min="780" max="780" width="5.109375" style="95" customWidth="1"/>
    <col min="781" max="781" width="13.77734375" style="95" customWidth="1"/>
    <col min="782" max="1024" width="9" style="95"/>
    <col min="1025" max="1025" width="4.88671875" style="95" customWidth="1"/>
    <col min="1026" max="1026" width="13.21875" style="95" customWidth="1"/>
    <col min="1027" max="1027" width="15.6640625" style="95" customWidth="1"/>
    <col min="1028" max="1028" width="9.33203125" style="95" customWidth="1"/>
    <col min="1029" max="1029" width="13.44140625" style="95" customWidth="1"/>
    <col min="1030" max="1030" width="9" style="95"/>
    <col min="1031" max="1031" width="9.33203125" style="95" customWidth="1"/>
    <col min="1032" max="1033" width="9" style="95"/>
    <col min="1034" max="1034" width="9.33203125" style="95" customWidth="1"/>
    <col min="1035" max="1035" width="4" style="95" customWidth="1"/>
    <col min="1036" max="1036" width="5.109375" style="95" customWidth="1"/>
    <col min="1037" max="1037" width="13.77734375" style="95" customWidth="1"/>
    <col min="1038" max="1280" width="9" style="95"/>
    <col min="1281" max="1281" width="4.88671875" style="95" customWidth="1"/>
    <col min="1282" max="1282" width="13.21875" style="95" customWidth="1"/>
    <col min="1283" max="1283" width="15.6640625" style="95" customWidth="1"/>
    <col min="1284" max="1284" width="9.33203125" style="95" customWidth="1"/>
    <col min="1285" max="1285" width="13.44140625" style="95" customWidth="1"/>
    <col min="1286" max="1286" width="9" style="95"/>
    <col min="1287" max="1287" width="9.33203125" style="95" customWidth="1"/>
    <col min="1288" max="1289" width="9" style="95"/>
    <col min="1290" max="1290" width="9.33203125" style="95" customWidth="1"/>
    <col min="1291" max="1291" width="4" style="95" customWidth="1"/>
    <col min="1292" max="1292" width="5.109375" style="95" customWidth="1"/>
    <col min="1293" max="1293" width="13.77734375" style="95" customWidth="1"/>
    <col min="1294" max="1536" width="9" style="95"/>
    <col min="1537" max="1537" width="4.88671875" style="95" customWidth="1"/>
    <col min="1538" max="1538" width="13.21875" style="95" customWidth="1"/>
    <col min="1539" max="1539" width="15.6640625" style="95" customWidth="1"/>
    <col min="1540" max="1540" width="9.33203125" style="95" customWidth="1"/>
    <col min="1541" max="1541" width="13.44140625" style="95" customWidth="1"/>
    <col min="1542" max="1542" width="9" style="95"/>
    <col min="1543" max="1543" width="9.33203125" style="95" customWidth="1"/>
    <col min="1544" max="1545" width="9" style="95"/>
    <col min="1546" max="1546" width="9.33203125" style="95" customWidth="1"/>
    <col min="1547" max="1547" width="4" style="95" customWidth="1"/>
    <col min="1548" max="1548" width="5.109375" style="95" customWidth="1"/>
    <col min="1549" max="1549" width="13.77734375" style="95" customWidth="1"/>
    <col min="1550" max="1792" width="9" style="95"/>
    <col min="1793" max="1793" width="4.88671875" style="95" customWidth="1"/>
    <col min="1794" max="1794" width="13.21875" style="95" customWidth="1"/>
    <col min="1795" max="1795" width="15.6640625" style="95" customWidth="1"/>
    <col min="1796" max="1796" width="9.33203125" style="95" customWidth="1"/>
    <col min="1797" max="1797" width="13.44140625" style="95" customWidth="1"/>
    <col min="1798" max="1798" width="9" style="95"/>
    <col min="1799" max="1799" width="9.33203125" style="95" customWidth="1"/>
    <col min="1800" max="1801" width="9" style="95"/>
    <col min="1802" max="1802" width="9.33203125" style="95" customWidth="1"/>
    <col min="1803" max="1803" width="4" style="95" customWidth="1"/>
    <col min="1804" max="1804" width="5.109375" style="95" customWidth="1"/>
    <col min="1805" max="1805" width="13.77734375" style="95" customWidth="1"/>
    <col min="1806" max="2048" width="9" style="95"/>
    <col min="2049" max="2049" width="4.88671875" style="95" customWidth="1"/>
    <col min="2050" max="2050" width="13.21875" style="95" customWidth="1"/>
    <col min="2051" max="2051" width="15.6640625" style="95" customWidth="1"/>
    <col min="2052" max="2052" width="9.33203125" style="95" customWidth="1"/>
    <col min="2053" max="2053" width="13.44140625" style="95" customWidth="1"/>
    <col min="2054" max="2054" width="9" style="95"/>
    <col min="2055" max="2055" width="9.33203125" style="95" customWidth="1"/>
    <col min="2056" max="2057" width="9" style="95"/>
    <col min="2058" max="2058" width="9.33203125" style="95" customWidth="1"/>
    <col min="2059" max="2059" width="4" style="95" customWidth="1"/>
    <col min="2060" max="2060" width="5.109375" style="95" customWidth="1"/>
    <col min="2061" max="2061" width="13.77734375" style="95" customWidth="1"/>
    <col min="2062" max="2304" width="9" style="95"/>
    <col min="2305" max="2305" width="4.88671875" style="95" customWidth="1"/>
    <col min="2306" max="2306" width="13.21875" style="95" customWidth="1"/>
    <col min="2307" max="2307" width="15.6640625" style="95" customWidth="1"/>
    <col min="2308" max="2308" width="9.33203125" style="95" customWidth="1"/>
    <col min="2309" max="2309" width="13.44140625" style="95" customWidth="1"/>
    <col min="2310" max="2310" width="9" style="95"/>
    <col min="2311" max="2311" width="9.33203125" style="95" customWidth="1"/>
    <col min="2312" max="2313" width="9" style="95"/>
    <col min="2314" max="2314" width="9.33203125" style="95" customWidth="1"/>
    <col min="2315" max="2315" width="4" style="95" customWidth="1"/>
    <col min="2316" max="2316" width="5.109375" style="95" customWidth="1"/>
    <col min="2317" max="2317" width="13.77734375" style="95" customWidth="1"/>
    <col min="2318" max="2560" width="9" style="95"/>
    <col min="2561" max="2561" width="4.88671875" style="95" customWidth="1"/>
    <col min="2562" max="2562" width="13.21875" style="95" customWidth="1"/>
    <col min="2563" max="2563" width="15.6640625" style="95" customWidth="1"/>
    <col min="2564" max="2564" width="9.33203125" style="95" customWidth="1"/>
    <col min="2565" max="2565" width="13.44140625" style="95" customWidth="1"/>
    <col min="2566" max="2566" width="9" style="95"/>
    <col min="2567" max="2567" width="9.33203125" style="95" customWidth="1"/>
    <col min="2568" max="2569" width="9" style="95"/>
    <col min="2570" max="2570" width="9.33203125" style="95" customWidth="1"/>
    <col min="2571" max="2571" width="4" style="95" customWidth="1"/>
    <col min="2572" max="2572" width="5.109375" style="95" customWidth="1"/>
    <col min="2573" max="2573" width="13.77734375" style="95" customWidth="1"/>
    <col min="2574" max="2816" width="9" style="95"/>
    <col min="2817" max="2817" width="4.88671875" style="95" customWidth="1"/>
    <col min="2818" max="2818" width="13.21875" style="95" customWidth="1"/>
    <col min="2819" max="2819" width="15.6640625" style="95" customWidth="1"/>
    <col min="2820" max="2820" width="9.33203125" style="95" customWidth="1"/>
    <col min="2821" max="2821" width="13.44140625" style="95" customWidth="1"/>
    <col min="2822" max="2822" width="9" style="95"/>
    <col min="2823" max="2823" width="9.33203125" style="95" customWidth="1"/>
    <col min="2824" max="2825" width="9" style="95"/>
    <col min="2826" max="2826" width="9.33203125" style="95" customWidth="1"/>
    <col min="2827" max="2827" width="4" style="95" customWidth="1"/>
    <col min="2828" max="2828" width="5.109375" style="95" customWidth="1"/>
    <col min="2829" max="2829" width="13.77734375" style="95" customWidth="1"/>
    <col min="2830" max="3072" width="9" style="95"/>
    <col min="3073" max="3073" width="4.88671875" style="95" customWidth="1"/>
    <col min="3074" max="3074" width="13.21875" style="95" customWidth="1"/>
    <col min="3075" max="3075" width="15.6640625" style="95" customWidth="1"/>
    <col min="3076" max="3076" width="9.33203125" style="95" customWidth="1"/>
    <col min="3077" max="3077" width="13.44140625" style="95" customWidth="1"/>
    <col min="3078" max="3078" width="9" style="95"/>
    <col min="3079" max="3079" width="9.33203125" style="95" customWidth="1"/>
    <col min="3080" max="3081" width="9" style="95"/>
    <col min="3082" max="3082" width="9.33203125" style="95" customWidth="1"/>
    <col min="3083" max="3083" width="4" style="95" customWidth="1"/>
    <col min="3084" max="3084" width="5.109375" style="95" customWidth="1"/>
    <col min="3085" max="3085" width="13.77734375" style="95" customWidth="1"/>
    <col min="3086" max="3328" width="9" style="95"/>
    <col min="3329" max="3329" width="4.88671875" style="95" customWidth="1"/>
    <col min="3330" max="3330" width="13.21875" style="95" customWidth="1"/>
    <col min="3331" max="3331" width="15.6640625" style="95" customWidth="1"/>
    <col min="3332" max="3332" width="9.33203125" style="95" customWidth="1"/>
    <col min="3333" max="3333" width="13.44140625" style="95" customWidth="1"/>
    <col min="3334" max="3334" width="9" style="95"/>
    <col min="3335" max="3335" width="9.33203125" style="95" customWidth="1"/>
    <col min="3336" max="3337" width="9" style="95"/>
    <col min="3338" max="3338" width="9.33203125" style="95" customWidth="1"/>
    <col min="3339" max="3339" width="4" style="95" customWidth="1"/>
    <col min="3340" max="3340" width="5.109375" style="95" customWidth="1"/>
    <col min="3341" max="3341" width="13.77734375" style="95" customWidth="1"/>
    <col min="3342" max="3584" width="9" style="95"/>
    <col min="3585" max="3585" width="4.88671875" style="95" customWidth="1"/>
    <col min="3586" max="3586" width="13.21875" style="95" customWidth="1"/>
    <col min="3587" max="3587" width="15.6640625" style="95" customWidth="1"/>
    <col min="3588" max="3588" width="9.33203125" style="95" customWidth="1"/>
    <col min="3589" max="3589" width="13.44140625" style="95" customWidth="1"/>
    <col min="3590" max="3590" width="9" style="95"/>
    <col min="3591" max="3591" width="9.33203125" style="95" customWidth="1"/>
    <col min="3592" max="3593" width="9" style="95"/>
    <col min="3594" max="3594" width="9.33203125" style="95" customWidth="1"/>
    <col min="3595" max="3595" width="4" style="95" customWidth="1"/>
    <col min="3596" max="3596" width="5.109375" style="95" customWidth="1"/>
    <col min="3597" max="3597" width="13.77734375" style="95" customWidth="1"/>
    <col min="3598" max="3840" width="9" style="95"/>
    <col min="3841" max="3841" width="4.88671875" style="95" customWidth="1"/>
    <col min="3842" max="3842" width="13.21875" style="95" customWidth="1"/>
    <col min="3843" max="3843" width="15.6640625" style="95" customWidth="1"/>
    <col min="3844" max="3844" width="9.33203125" style="95" customWidth="1"/>
    <col min="3845" max="3845" width="13.44140625" style="95" customWidth="1"/>
    <col min="3846" max="3846" width="9" style="95"/>
    <col min="3847" max="3847" width="9.33203125" style="95" customWidth="1"/>
    <col min="3848" max="3849" width="9" style="95"/>
    <col min="3850" max="3850" width="9.33203125" style="95" customWidth="1"/>
    <col min="3851" max="3851" width="4" style="95" customWidth="1"/>
    <col min="3852" max="3852" width="5.109375" style="95" customWidth="1"/>
    <col min="3853" max="3853" width="13.77734375" style="95" customWidth="1"/>
    <col min="3854" max="4096" width="9" style="95"/>
    <col min="4097" max="4097" width="4.88671875" style="95" customWidth="1"/>
    <col min="4098" max="4098" width="13.21875" style="95" customWidth="1"/>
    <col min="4099" max="4099" width="15.6640625" style="95" customWidth="1"/>
    <col min="4100" max="4100" width="9.33203125" style="95" customWidth="1"/>
    <col min="4101" max="4101" width="13.44140625" style="95" customWidth="1"/>
    <col min="4102" max="4102" width="9" style="95"/>
    <col min="4103" max="4103" width="9.33203125" style="95" customWidth="1"/>
    <col min="4104" max="4105" width="9" style="95"/>
    <col min="4106" max="4106" width="9.33203125" style="95" customWidth="1"/>
    <col min="4107" max="4107" width="4" style="95" customWidth="1"/>
    <col min="4108" max="4108" width="5.109375" style="95" customWidth="1"/>
    <col min="4109" max="4109" width="13.77734375" style="95" customWidth="1"/>
    <col min="4110" max="4352" width="9" style="95"/>
    <col min="4353" max="4353" width="4.88671875" style="95" customWidth="1"/>
    <col min="4354" max="4354" width="13.21875" style="95" customWidth="1"/>
    <col min="4355" max="4355" width="15.6640625" style="95" customWidth="1"/>
    <col min="4356" max="4356" width="9.33203125" style="95" customWidth="1"/>
    <col min="4357" max="4357" width="13.44140625" style="95" customWidth="1"/>
    <col min="4358" max="4358" width="9" style="95"/>
    <col min="4359" max="4359" width="9.33203125" style="95" customWidth="1"/>
    <col min="4360" max="4361" width="9" style="95"/>
    <col min="4362" max="4362" width="9.33203125" style="95" customWidth="1"/>
    <col min="4363" max="4363" width="4" style="95" customWidth="1"/>
    <col min="4364" max="4364" width="5.109375" style="95" customWidth="1"/>
    <col min="4365" max="4365" width="13.77734375" style="95" customWidth="1"/>
    <col min="4366" max="4608" width="9" style="95"/>
    <col min="4609" max="4609" width="4.88671875" style="95" customWidth="1"/>
    <col min="4610" max="4610" width="13.21875" style="95" customWidth="1"/>
    <col min="4611" max="4611" width="15.6640625" style="95" customWidth="1"/>
    <col min="4612" max="4612" width="9.33203125" style="95" customWidth="1"/>
    <col min="4613" max="4613" width="13.44140625" style="95" customWidth="1"/>
    <col min="4614" max="4614" width="9" style="95"/>
    <col min="4615" max="4615" width="9.33203125" style="95" customWidth="1"/>
    <col min="4616" max="4617" width="9" style="95"/>
    <col min="4618" max="4618" width="9.33203125" style="95" customWidth="1"/>
    <col min="4619" max="4619" width="4" style="95" customWidth="1"/>
    <col min="4620" max="4620" width="5.109375" style="95" customWidth="1"/>
    <col min="4621" max="4621" width="13.77734375" style="95" customWidth="1"/>
    <col min="4622" max="4864" width="9" style="95"/>
    <col min="4865" max="4865" width="4.88671875" style="95" customWidth="1"/>
    <col min="4866" max="4866" width="13.21875" style="95" customWidth="1"/>
    <col min="4867" max="4867" width="15.6640625" style="95" customWidth="1"/>
    <col min="4868" max="4868" width="9.33203125" style="95" customWidth="1"/>
    <col min="4869" max="4869" width="13.44140625" style="95" customWidth="1"/>
    <col min="4870" max="4870" width="9" style="95"/>
    <col min="4871" max="4871" width="9.33203125" style="95" customWidth="1"/>
    <col min="4872" max="4873" width="9" style="95"/>
    <col min="4874" max="4874" width="9.33203125" style="95" customWidth="1"/>
    <col min="4875" max="4875" width="4" style="95" customWidth="1"/>
    <col min="4876" max="4876" width="5.109375" style="95" customWidth="1"/>
    <col min="4877" max="4877" width="13.77734375" style="95" customWidth="1"/>
    <col min="4878" max="5120" width="9" style="95"/>
    <col min="5121" max="5121" width="4.88671875" style="95" customWidth="1"/>
    <col min="5122" max="5122" width="13.21875" style="95" customWidth="1"/>
    <col min="5123" max="5123" width="15.6640625" style="95" customWidth="1"/>
    <col min="5124" max="5124" width="9.33203125" style="95" customWidth="1"/>
    <col min="5125" max="5125" width="13.44140625" style="95" customWidth="1"/>
    <col min="5126" max="5126" width="9" style="95"/>
    <col min="5127" max="5127" width="9.33203125" style="95" customWidth="1"/>
    <col min="5128" max="5129" width="9" style="95"/>
    <col min="5130" max="5130" width="9.33203125" style="95" customWidth="1"/>
    <col min="5131" max="5131" width="4" style="95" customWidth="1"/>
    <col min="5132" max="5132" width="5.109375" style="95" customWidth="1"/>
    <col min="5133" max="5133" width="13.77734375" style="95" customWidth="1"/>
    <col min="5134" max="5376" width="9" style="95"/>
    <col min="5377" max="5377" width="4.88671875" style="95" customWidth="1"/>
    <col min="5378" max="5378" width="13.21875" style="95" customWidth="1"/>
    <col min="5379" max="5379" width="15.6640625" style="95" customWidth="1"/>
    <col min="5380" max="5380" width="9.33203125" style="95" customWidth="1"/>
    <col min="5381" max="5381" width="13.44140625" style="95" customWidth="1"/>
    <col min="5382" max="5382" width="9" style="95"/>
    <col min="5383" max="5383" width="9.33203125" style="95" customWidth="1"/>
    <col min="5384" max="5385" width="9" style="95"/>
    <col min="5386" max="5386" width="9.33203125" style="95" customWidth="1"/>
    <col min="5387" max="5387" width="4" style="95" customWidth="1"/>
    <col min="5388" max="5388" width="5.109375" style="95" customWidth="1"/>
    <col min="5389" max="5389" width="13.77734375" style="95" customWidth="1"/>
    <col min="5390" max="5632" width="9" style="95"/>
    <col min="5633" max="5633" width="4.88671875" style="95" customWidth="1"/>
    <col min="5634" max="5634" width="13.21875" style="95" customWidth="1"/>
    <col min="5635" max="5635" width="15.6640625" style="95" customWidth="1"/>
    <col min="5636" max="5636" width="9.33203125" style="95" customWidth="1"/>
    <col min="5637" max="5637" width="13.44140625" style="95" customWidth="1"/>
    <col min="5638" max="5638" width="9" style="95"/>
    <col min="5639" max="5639" width="9.33203125" style="95" customWidth="1"/>
    <col min="5640" max="5641" width="9" style="95"/>
    <col min="5642" max="5642" width="9.33203125" style="95" customWidth="1"/>
    <col min="5643" max="5643" width="4" style="95" customWidth="1"/>
    <col min="5644" max="5644" width="5.109375" style="95" customWidth="1"/>
    <col min="5645" max="5645" width="13.77734375" style="95" customWidth="1"/>
    <col min="5646" max="5888" width="9" style="95"/>
    <col min="5889" max="5889" width="4.88671875" style="95" customWidth="1"/>
    <col min="5890" max="5890" width="13.21875" style="95" customWidth="1"/>
    <col min="5891" max="5891" width="15.6640625" style="95" customWidth="1"/>
    <col min="5892" max="5892" width="9.33203125" style="95" customWidth="1"/>
    <col min="5893" max="5893" width="13.44140625" style="95" customWidth="1"/>
    <col min="5894" max="5894" width="9" style="95"/>
    <col min="5895" max="5895" width="9.33203125" style="95" customWidth="1"/>
    <col min="5896" max="5897" width="9" style="95"/>
    <col min="5898" max="5898" width="9.33203125" style="95" customWidth="1"/>
    <col min="5899" max="5899" width="4" style="95" customWidth="1"/>
    <col min="5900" max="5900" width="5.109375" style="95" customWidth="1"/>
    <col min="5901" max="5901" width="13.77734375" style="95" customWidth="1"/>
    <col min="5902" max="6144" width="9" style="95"/>
    <col min="6145" max="6145" width="4.88671875" style="95" customWidth="1"/>
    <col min="6146" max="6146" width="13.21875" style="95" customWidth="1"/>
    <col min="6147" max="6147" width="15.6640625" style="95" customWidth="1"/>
    <col min="6148" max="6148" width="9.33203125" style="95" customWidth="1"/>
    <col min="6149" max="6149" width="13.44140625" style="95" customWidth="1"/>
    <col min="6150" max="6150" width="9" style="95"/>
    <col min="6151" max="6151" width="9.33203125" style="95" customWidth="1"/>
    <col min="6152" max="6153" width="9" style="95"/>
    <col min="6154" max="6154" width="9.33203125" style="95" customWidth="1"/>
    <col min="6155" max="6155" width="4" style="95" customWidth="1"/>
    <col min="6156" max="6156" width="5.109375" style="95" customWidth="1"/>
    <col min="6157" max="6157" width="13.77734375" style="95" customWidth="1"/>
    <col min="6158" max="6400" width="9" style="95"/>
    <col min="6401" max="6401" width="4.88671875" style="95" customWidth="1"/>
    <col min="6402" max="6402" width="13.21875" style="95" customWidth="1"/>
    <col min="6403" max="6403" width="15.6640625" style="95" customWidth="1"/>
    <col min="6404" max="6404" width="9.33203125" style="95" customWidth="1"/>
    <col min="6405" max="6405" width="13.44140625" style="95" customWidth="1"/>
    <col min="6406" max="6406" width="9" style="95"/>
    <col min="6407" max="6407" width="9.33203125" style="95" customWidth="1"/>
    <col min="6408" max="6409" width="9" style="95"/>
    <col min="6410" max="6410" width="9.33203125" style="95" customWidth="1"/>
    <col min="6411" max="6411" width="4" style="95" customWidth="1"/>
    <col min="6412" max="6412" width="5.109375" style="95" customWidth="1"/>
    <col min="6413" max="6413" width="13.77734375" style="95" customWidth="1"/>
    <col min="6414" max="6656" width="9" style="95"/>
    <col min="6657" max="6657" width="4.88671875" style="95" customWidth="1"/>
    <col min="6658" max="6658" width="13.21875" style="95" customWidth="1"/>
    <col min="6659" max="6659" width="15.6640625" style="95" customWidth="1"/>
    <col min="6660" max="6660" width="9.33203125" style="95" customWidth="1"/>
    <col min="6661" max="6661" width="13.44140625" style="95" customWidth="1"/>
    <col min="6662" max="6662" width="9" style="95"/>
    <col min="6663" max="6663" width="9.33203125" style="95" customWidth="1"/>
    <col min="6664" max="6665" width="9" style="95"/>
    <col min="6666" max="6666" width="9.33203125" style="95" customWidth="1"/>
    <col min="6667" max="6667" width="4" style="95" customWidth="1"/>
    <col min="6668" max="6668" width="5.109375" style="95" customWidth="1"/>
    <col min="6669" max="6669" width="13.77734375" style="95" customWidth="1"/>
    <col min="6670" max="6912" width="9" style="95"/>
    <col min="6913" max="6913" width="4.88671875" style="95" customWidth="1"/>
    <col min="6914" max="6914" width="13.21875" style="95" customWidth="1"/>
    <col min="6915" max="6915" width="15.6640625" style="95" customWidth="1"/>
    <col min="6916" max="6916" width="9.33203125" style="95" customWidth="1"/>
    <col min="6917" max="6917" width="13.44140625" style="95" customWidth="1"/>
    <col min="6918" max="6918" width="9" style="95"/>
    <col min="6919" max="6919" width="9.33203125" style="95" customWidth="1"/>
    <col min="6920" max="6921" width="9" style="95"/>
    <col min="6922" max="6922" width="9.33203125" style="95" customWidth="1"/>
    <col min="6923" max="6923" width="4" style="95" customWidth="1"/>
    <col min="6924" max="6924" width="5.109375" style="95" customWidth="1"/>
    <col min="6925" max="6925" width="13.77734375" style="95" customWidth="1"/>
    <col min="6926" max="7168" width="9" style="95"/>
    <col min="7169" max="7169" width="4.88671875" style="95" customWidth="1"/>
    <col min="7170" max="7170" width="13.21875" style="95" customWidth="1"/>
    <col min="7171" max="7171" width="15.6640625" style="95" customWidth="1"/>
    <col min="7172" max="7172" width="9.33203125" style="95" customWidth="1"/>
    <col min="7173" max="7173" width="13.44140625" style="95" customWidth="1"/>
    <col min="7174" max="7174" width="9" style="95"/>
    <col min="7175" max="7175" width="9.33203125" style="95" customWidth="1"/>
    <col min="7176" max="7177" width="9" style="95"/>
    <col min="7178" max="7178" width="9.33203125" style="95" customWidth="1"/>
    <col min="7179" max="7179" width="4" style="95" customWidth="1"/>
    <col min="7180" max="7180" width="5.109375" style="95" customWidth="1"/>
    <col min="7181" max="7181" width="13.77734375" style="95" customWidth="1"/>
    <col min="7182" max="7424" width="9" style="95"/>
    <col min="7425" max="7425" width="4.88671875" style="95" customWidth="1"/>
    <col min="7426" max="7426" width="13.21875" style="95" customWidth="1"/>
    <col min="7427" max="7427" width="15.6640625" style="95" customWidth="1"/>
    <col min="7428" max="7428" width="9.33203125" style="95" customWidth="1"/>
    <col min="7429" max="7429" width="13.44140625" style="95" customWidth="1"/>
    <col min="7430" max="7430" width="9" style="95"/>
    <col min="7431" max="7431" width="9.33203125" style="95" customWidth="1"/>
    <col min="7432" max="7433" width="9" style="95"/>
    <col min="7434" max="7434" width="9.33203125" style="95" customWidth="1"/>
    <col min="7435" max="7435" width="4" style="95" customWidth="1"/>
    <col min="7436" max="7436" width="5.109375" style="95" customWidth="1"/>
    <col min="7437" max="7437" width="13.77734375" style="95" customWidth="1"/>
    <col min="7438" max="7680" width="9" style="95"/>
    <col min="7681" max="7681" width="4.88671875" style="95" customWidth="1"/>
    <col min="7682" max="7682" width="13.21875" style="95" customWidth="1"/>
    <col min="7683" max="7683" width="15.6640625" style="95" customWidth="1"/>
    <col min="7684" max="7684" width="9.33203125" style="95" customWidth="1"/>
    <col min="7685" max="7685" width="13.44140625" style="95" customWidth="1"/>
    <col min="7686" max="7686" width="9" style="95"/>
    <col min="7687" max="7687" width="9.33203125" style="95" customWidth="1"/>
    <col min="7688" max="7689" width="9" style="95"/>
    <col min="7690" max="7690" width="9.33203125" style="95" customWidth="1"/>
    <col min="7691" max="7691" width="4" style="95" customWidth="1"/>
    <col min="7692" max="7692" width="5.109375" style="95" customWidth="1"/>
    <col min="7693" max="7693" width="13.77734375" style="95" customWidth="1"/>
    <col min="7694" max="7936" width="9" style="95"/>
    <col min="7937" max="7937" width="4.88671875" style="95" customWidth="1"/>
    <col min="7938" max="7938" width="13.21875" style="95" customWidth="1"/>
    <col min="7939" max="7939" width="15.6640625" style="95" customWidth="1"/>
    <col min="7940" max="7940" width="9.33203125" style="95" customWidth="1"/>
    <col min="7941" max="7941" width="13.44140625" style="95" customWidth="1"/>
    <col min="7942" max="7942" width="9" style="95"/>
    <col min="7943" max="7943" width="9.33203125" style="95" customWidth="1"/>
    <col min="7944" max="7945" width="9" style="95"/>
    <col min="7946" max="7946" width="9.33203125" style="95" customWidth="1"/>
    <col min="7947" max="7947" width="4" style="95" customWidth="1"/>
    <col min="7948" max="7948" width="5.109375" style="95" customWidth="1"/>
    <col min="7949" max="7949" width="13.77734375" style="95" customWidth="1"/>
    <col min="7950" max="8192" width="9" style="95"/>
    <col min="8193" max="8193" width="4.88671875" style="95" customWidth="1"/>
    <col min="8194" max="8194" width="13.21875" style="95" customWidth="1"/>
    <col min="8195" max="8195" width="15.6640625" style="95" customWidth="1"/>
    <col min="8196" max="8196" width="9.33203125" style="95" customWidth="1"/>
    <col min="8197" max="8197" width="13.44140625" style="95" customWidth="1"/>
    <col min="8198" max="8198" width="9" style="95"/>
    <col min="8199" max="8199" width="9.33203125" style="95" customWidth="1"/>
    <col min="8200" max="8201" width="9" style="95"/>
    <col min="8202" max="8202" width="9.33203125" style="95" customWidth="1"/>
    <col min="8203" max="8203" width="4" style="95" customWidth="1"/>
    <col min="8204" max="8204" width="5.109375" style="95" customWidth="1"/>
    <col min="8205" max="8205" width="13.77734375" style="95" customWidth="1"/>
    <col min="8206" max="8448" width="9" style="95"/>
    <col min="8449" max="8449" width="4.88671875" style="95" customWidth="1"/>
    <col min="8450" max="8450" width="13.21875" style="95" customWidth="1"/>
    <col min="8451" max="8451" width="15.6640625" style="95" customWidth="1"/>
    <col min="8452" max="8452" width="9.33203125" style="95" customWidth="1"/>
    <col min="8453" max="8453" width="13.44140625" style="95" customWidth="1"/>
    <col min="8454" max="8454" width="9" style="95"/>
    <col min="8455" max="8455" width="9.33203125" style="95" customWidth="1"/>
    <col min="8456" max="8457" width="9" style="95"/>
    <col min="8458" max="8458" width="9.33203125" style="95" customWidth="1"/>
    <col min="8459" max="8459" width="4" style="95" customWidth="1"/>
    <col min="8460" max="8460" width="5.109375" style="95" customWidth="1"/>
    <col min="8461" max="8461" width="13.77734375" style="95" customWidth="1"/>
    <col min="8462" max="8704" width="9" style="95"/>
    <col min="8705" max="8705" width="4.88671875" style="95" customWidth="1"/>
    <col min="8706" max="8706" width="13.21875" style="95" customWidth="1"/>
    <col min="8707" max="8707" width="15.6640625" style="95" customWidth="1"/>
    <col min="8708" max="8708" width="9.33203125" style="95" customWidth="1"/>
    <col min="8709" max="8709" width="13.44140625" style="95" customWidth="1"/>
    <col min="8710" max="8710" width="9" style="95"/>
    <col min="8711" max="8711" width="9.33203125" style="95" customWidth="1"/>
    <col min="8712" max="8713" width="9" style="95"/>
    <col min="8714" max="8714" width="9.33203125" style="95" customWidth="1"/>
    <col min="8715" max="8715" width="4" style="95" customWidth="1"/>
    <col min="8716" max="8716" width="5.109375" style="95" customWidth="1"/>
    <col min="8717" max="8717" width="13.77734375" style="95" customWidth="1"/>
    <col min="8718" max="8960" width="9" style="95"/>
    <col min="8961" max="8961" width="4.88671875" style="95" customWidth="1"/>
    <col min="8962" max="8962" width="13.21875" style="95" customWidth="1"/>
    <col min="8963" max="8963" width="15.6640625" style="95" customWidth="1"/>
    <col min="8964" max="8964" width="9.33203125" style="95" customWidth="1"/>
    <col min="8965" max="8965" width="13.44140625" style="95" customWidth="1"/>
    <col min="8966" max="8966" width="9" style="95"/>
    <col min="8967" max="8967" width="9.33203125" style="95" customWidth="1"/>
    <col min="8968" max="8969" width="9" style="95"/>
    <col min="8970" max="8970" width="9.33203125" style="95" customWidth="1"/>
    <col min="8971" max="8971" width="4" style="95" customWidth="1"/>
    <col min="8972" max="8972" width="5.109375" style="95" customWidth="1"/>
    <col min="8973" max="8973" width="13.77734375" style="95" customWidth="1"/>
    <col min="8974" max="9216" width="9" style="95"/>
    <col min="9217" max="9217" width="4.88671875" style="95" customWidth="1"/>
    <col min="9218" max="9218" width="13.21875" style="95" customWidth="1"/>
    <col min="9219" max="9219" width="15.6640625" style="95" customWidth="1"/>
    <col min="9220" max="9220" width="9.33203125" style="95" customWidth="1"/>
    <col min="9221" max="9221" width="13.44140625" style="95" customWidth="1"/>
    <col min="9222" max="9222" width="9" style="95"/>
    <col min="9223" max="9223" width="9.33203125" style="95" customWidth="1"/>
    <col min="9224" max="9225" width="9" style="95"/>
    <col min="9226" max="9226" width="9.33203125" style="95" customWidth="1"/>
    <col min="9227" max="9227" width="4" style="95" customWidth="1"/>
    <col min="9228" max="9228" width="5.109375" style="95" customWidth="1"/>
    <col min="9229" max="9229" width="13.77734375" style="95" customWidth="1"/>
    <col min="9230" max="9472" width="9" style="95"/>
    <col min="9473" max="9473" width="4.88671875" style="95" customWidth="1"/>
    <col min="9474" max="9474" width="13.21875" style="95" customWidth="1"/>
    <col min="9475" max="9475" width="15.6640625" style="95" customWidth="1"/>
    <col min="9476" max="9476" width="9.33203125" style="95" customWidth="1"/>
    <col min="9477" max="9477" width="13.44140625" style="95" customWidth="1"/>
    <col min="9478" max="9478" width="9" style="95"/>
    <col min="9479" max="9479" width="9.33203125" style="95" customWidth="1"/>
    <col min="9480" max="9481" width="9" style="95"/>
    <col min="9482" max="9482" width="9.33203125" style="95" customWidth="1"/>
    <col min="9483" max="9483" width="4" style="95" customWidth="1"/>
    <col min="9484" max="9484" width="5.109375" style="95" customWidth="1"/>
    <col min="9485" max="9485" width="13.77734375" style="95" customWidth="1"/>
    <col min="9486" max="9728" width="9" style="95"/>
    <col min="9729" max="9729" width="4.88671875" style="95" customWidth="1"/>
    <col min="9730" max="9730" width="13.21875" style="95" customWidth="1"/>
    <col min="9731" max="9731" width="15.6640625" style="95" customWidth="1"/>
    <col min="9732" max="9732" width="9.33203125" style="95" customWidth="1"/>
    <col min="9733" max="9733" width="13.44140625" style="95" customWidth="1"/>
    <col min="9734" max="9734" width="9" style="95"/>
    <col min="9735" max="9735" width="9.33203125" style="95" customWidth="1"/>
    <col min="9736" max="9737" width="9" style="95"/>
    <col min="9738" max="9738" width="9.33203125" style="95" customWidth="1"/>
    <col min="9739" max="9739" width="4" style="95" customWidth="1"/>
    <col min="9740" max="9740" width="5.109375" style="95" customWidth="1"/>
    <col min="9741" max="9741" width="13.77734375" style="95" customWidth="1"/>
    <col min="9742" max="9984" width="9" style="95"/>
    <col min="9985" max="9985" width="4.88671875" style="95" customWidth="1"/>
    <col min="9986" max="9986" width="13.21875" style="95" customWidth="1"/>
    <col min="9987" max="9987" width="15.6640625" style="95" customWidth="1"/>
    <col min="9988" max="9988" width="9.33203125" style="95" customWidth="1"/>
    <col min="9989" max="9989" width="13.44140625" style="95" customWidth="1"/>
    <col min="9990" max="9990" width="9" style="95"/>
    <col min="9991" max="9991" width="9.33203125" style="95" customWidth="1"/>
    <col min="9992" max="9993" width="9" style="95"/>
    <col min="9994" max="9994" width="9.33203125" style="95" customWidth="1"/>
    <col min="9995" max="9995" width="4" style="95" customWidth="1"/>
    <col min="9996" max="9996" width="5.109375" style="95" customWidth="1"/>
    <col min="9997" max="9997" width="13.77734375" style="95" customWidth="1"/>
    <col min="9998" max="10240" width="9" style="95"/>
    <col min="10241" max="10241" width="4.88671875" style="95" customWidth="1"/>
    <col min="10242" max="10242" width="13.21875" style="95" customWidth="1"/>
    <col min="10243" max="10243" width="15.6640625" style="95" customWidth="1"/>
    <col min="10244" max="10244" width="9.33203125" style="95" customWidth="1"/>
    <col min="10245" max="10245" width="13.44140625" style="95" customWidth="1"/>
    <col min="10246" max="10246" width="9" style="95"/>
    <col min="10247" max="10247" width="9.33203125" style="95" customWidth="1"/>
    <col min="10248" max="10249" width="9" style="95"/>
    <col min="10250" max="10250" width="9.33203125" style="95" customWidth="1"/>
    <col min="10251" max="10251" width="4" style="95" customWidth="1"/>
    <col min="10252" max="10252" width="5.109375" style="95" customWidth="1"/>
    <col min="10253" max="10253" width="13.77734375" style="95" customWidth="1"/>
    <col min="10254" max="10496" width="9" style="95"/>
    <col min="10497" max="10497" width="4.88671875" style="95" customWidth="1"/>
    <col min="10498" max="10498" width="13.21875" style="95" customWidth="1"/>
    <col min="10499" max="10499" width="15.6640625" style="95" customWidth="1"/>
    <col min="10500" max="10500" width="9.33203125" style="95" customWidth="1"/>
    <col min="10501" max="10501" width="13.44140625" style="95" customWidth="1"/>
    <col min="10502" max="10502" width="9" style="95"/>
    <col min="10503" max="10503" width="9.33203125" style="95" customWidth="1"/>
    <col min="10504" max="10505" width="9" style="95"/>
    <col min="10506" max="10506" width="9.33203125" style="95" customWidth="1"/>
    <col min="10507" max="10507" width="4" style="95" customWidth="1"/>
    <col min="10508" max="10508" width="5.109375" style="95" customWidth="1"/>
    <col min="10509" max="10509" width="13.77734375" style="95" customWidth="1"/>
    <col min="10510" max="10752" width="9" style="95"/>
    <col min="10753" max="10753" width="4.88671875" style="95" customWidth="1"/>
    <col min="10754" max="10754" width="13.21875" style="95" customWidth="1"/>
    <col min="10755" max="10755" width="15.6640625" style="95" customWidth="1"/>
    <col min="10756" max="10756" width="9.33203125" style="95" customWidth="1"/>
    <col min="10757" max="10757" width="13.44140625" style="95" customWidth="1"/>
    <col min="10758" max="10758" width="9" style="95"/>
    <col min="10759" max="10759" width="9.33203125" style="95" customWidth="1"/>
    <col min="10760" max="10761" width="9" style="95"/>
    <col min="10762" max="10762" width="9.33203125" style="95" customWidth="1"/>
    <col min="10763" max="10763" width="4" style="95" customWidth="1"/>
    <col min="10764" max="10764" width="5.109375" style="95" customWidth="1"/>
    <col min="10765" max="10765" width="13.77734375" style="95" customWidth="1"/>
    <col min="10766" max="11008" width="9" style="95"/>
    <col min="11009" max="11009" width="4.88671875" style="95" customWidth="1"/>
    <col min="11010" max="11010" width="13.21875" style="95" customWidth="1"/>
    <col min="11011" max="11011" width="15.6640625" style="95" customWidth="1"/>
    <col min="11012" max="11012" width="9.33203125" style="95" customWidth="1"/>
    <col min="11013" max="11013" width="13.44140625" style="95" customWidth="1"/>
    <col min="11014" max="11014" width="9" style="95"/>
    <col min="11015" max="11015" width="9.33203125" style="95" customWidth="1"/>
    <col min="11016" max="11017" width="9" style="95"/>
    <col min="11018" max="11018" width="9.33203125" style="95" customWidth="1"/>
    <col min="11019" max="11019" width="4" style="95" customWidth="1"/>
    <col min="11020" max="11020" width="5.109375" style="95" customWidth="1"/>
    <col min="11021" max="11021" width="13.77734375" style="95" customWidth="1"/>
    <col min="11022" max="11264" width="9" style="95"/>
    <col min="11265" max="11265" width="4.88671875" style="95" customWidth="1"/>
    <col min="11266" max="11266" width="13.21875" style="95" customWidth="1"/>
    <col min="11267" max="11267" width="15.6640625" style="95" customWidth="1"/>
    <col min="11268" max="11268" width="9.33203125" style="95" customWidth="1"/>
    <col min="11269" max="11269" width="13.44140625" style="95" customWidth="1"/>
    <col min="11270" max="11270" width="9" style="95"/>
    <col min="11271" max="11271" width="9.33203125" style="95" customWidth="1"/>
    <col min="11272" max="11273" width="9" style="95"/>
    <col min="11274" max="11274" width="9.33203125" style="95" customWidth="1"/>
    <col min="11275" max="11275" width="4" style="95" customWidth="1"/>
    <col min="11276" max="11276" width="5.109375" style="95" customWidth="1"/>
    <col min="11277" max="11277" width="13.77734375" style="95" customWidth="1"/>
    <col min="11278" max="11520" width="9" style="95"/>
    <col min="11521" max="11521" width="4.88671875" style="95" customWidth="1"/>
    <col min="11522" max="11522" width="13.21875" style="95" customWidth="1"/>
    <col min="11523" max="11523" width="15.6640625" style="95" customWidth="1"/>
    <col min="11524" max="11524" width="9.33203125" style="95" customWidth="1"/>
    <col min="11525" max="11525" width="13.44140625" style="95" customWidth="1"/>
    <col min="11526" max="11526" width="9" style="95"/>
    <col min="11527" max="11527" width="9.33203125" style="95" customWidth="1"/>
    <col min="11528" max="11529" width="9" style="95"/>
    <col min="11530" max="11530" width="9.33203125" style="95" customWidth="1"/>
    <col min="11531" max="11531" width="4" style="95" customWidth="1"/>
    <col min="11532" max="11532" width="5.109375" style="95" customWidth="1"/>
    <col min="11533" max="11533" width="13.77734375" style="95" customWidth="1"/>
    <col min="11534" max="11776" width="9" style="95"/>
    <col min="11777" max="11777" width="4.88671875" style="95" customWidth="1"/>
    <col min="11778" max="11778" width="13.21875" style="95" customWidth="1"/>
    <col min="11779" max="11779" width="15.6640625" style="95" customWidth="1"/>
    <col min="11780" max="11780" width="9.33203125" style="95" customWidth="1"/>
    <col min="11781" max="11781" width="13.44140625" style="95" customWidth="1"/>
    <col min="11782" max="11782" width="9" style="95"/>
    <col min="11783" max="11783" width="9.33203125" style="95" customWidth="1"/>
    <col min="11784" max="11785" width="9" style="95"/>
    <col min="11786" max="11786" width="9.33203125" style="95" customWidth="1"/>
    <col min="11787" max="11787" width="4" style="95" customWidth="1"/>
    <col min="11788" max="11788" width="5.109375" style="95" customWidth="1"/>
    <col min="11789" max="11789" width="13.77734375" style="95" customWidth="1"/>
    <col min="11790" max="12032" width="9" style="95"/>
    <col min="12033" max="12033" width="4.88671875" style="95" customWidth="1"/>
    <col min="12034" max="12034" width="13.21875" style="95" customWidth="1"/>
    <col min="12035" max="12035" width="15.6640625" style="95" customWidth="1"/>
    <col min="12036" max="12036" width="9.33203125" style="95" customWidth="1"/>
    <col min="12037" max="12037" width="13.44140625" style="95" customWidth="1"/>
    <col min="12038" max="12038" width="9" style="95"/>
    <col min="12039" max="12039" width="9.33203125" style="95" customWidth="1"/>
    <col min="12040" max="12041" width="9" style="95"/>
    <col min="12042" max="12042" width="9.33203125" style="95" customWidth="1"/>
    <col min="12043" max="12043" width="4" style="95" customWidth="1"/>
    <col min="12044" max="12044" width="5.109375" style="95" customWidth="1"/>
    <col min="12045" max="12045" width="13.77734375" style="95" customWidth="1"/>
    <col min="12046" max="12288" width="9" style="95"/>
    <col min="12289" max="12289" width="4.88671875" style="95" customWidth="1"/>
    <col min="12290" max="12290" width="13.21875" style="95" customWidth="1"/>
    <col min="12291" max="12291" width="15.6640625" style="95" customWidth="1"/>
    <col min="12292" max="12292" width="9.33203125" style="95" customWidth="1"/>
    <col min="12293" max="12293" width="13.44140625" style="95" customWidth="1"/>
    <col min="12294" max="12294" width="9" style="95"/>
    <col min="12295" max="12295" width="9.33203125" style="95" customWidth="1"/>
    <col min="12296" max="12297" width="9" style="95"/>
    <col min="12298" max="12298" width="9.33203125" style="95" customWidth="1"/>
    <col min="12299" max="12299" width="4" style="95" customWidth="1"/>
    <col min="12300" max="12300" width="5.109375" style="95" customWidth="1"/>
    <col min="12301" max="12301" width="13.77734375" style="95" customWidth="1"/>
    <col min="12302" max="12544" width="9" style="95"/>
    <col min="12545" max="12545" width="4.88671875" style="95" customWidth="1"/>
    <col min="12546" max="12546" width="13.21875" style="95" customWidth="1"/>
    <col min="12547" max="12547" width="15.6640625" style="95" customWidth="1"/>
    <col min="12548" max="12548" width="9.33203125" style="95" customWidth="1"/>
    <col min="12549" max="12549" width="13.44140625" style="95" customWidth="1"/>
    <col min="12550" max="12550" width="9" style="95"/>
    <col min="12551" max="12551" width="9.33203125" style="95" customWidth="1"/>
    <col min="12552" max="12553" width="9" style="95"/>
    <col min="12554" max="12554" width="9.33203125" style="95" customWidth="1"/>
    <col min="12555" max="12555" width="4" style="95" customWidth="1"/>
    <col min="12556" max="12556" width="5.109375" style="95" customWidth="1"/>
    <col min="12557" max="12557" width="13.77734375" style="95" customWidth="1"/>
    <col min="12558" max="12800" width="9" style="95"/>
    <col min="12801" max="12801" width="4.88671875" style="95" customWidth="1"/>
    <col min="12802" max="12802" width="13.21875" style="95" customWidth="1"/>
    <col min="12803" max="12803" width="15.6640625" style="95" customWidth="1"/>
    <col min="12804" max="12804" width="9.33203125" style="95" customWidth="1"/>
    <col min="12805" max="12805" width="13.44140625" style="95" customWidth="1"/>
    <col min="12806" max="12806" width="9" style="95"/>
    <col min="12807" max="12807" width="9.33203125" style="95" customWidth="1"/>
    <col min="12808" max="12809" width="9" style="95"/>
    <col min="12810" max="12810" width="9.33203125" style="95" customWidth="1"/>
    <col min="12811" max="12811" width="4" style="95" customWidth="1"/>
    <col min="12812" max="12812" width="5.109375" style="95" customWidth="1"/>
    <col min="12813" max="12813" width="13.77734375" style="95" customWidth="1"/>
    <col min="12814" max="13056" width="9" style="95"/>
    <col min="13057" max="13057" width="4.88671875" style="95" customWidth="1"/>
    <col min="13058" max="13058" width="13.21875" style="95" customWidth="1"/>
    <col min="13059" max="13059" width="15.6640625" style="95" customWidth="1"/>
    <col min="13060" max="13060" width="9.33203125" style="95" customWidth="1"/>
    <col min="13061" max="13061" width="13.44140625" style="95" customWidth="1"/>
    <col min="13062" max="13062" width="9" style="95"/>
    <col min="13063" max="13063" width="9.33203125" style="95" customWidth="1"/>
    <col min="13064" max="13065" width="9" style="95"/>
    <col min="13066" max="13066" width="9.33203125" style="95" customWidth="1"/>
    <col min="13067" max="13067" width="4" style="95" customWidth="1"/>
    <col min="13068" max="13068" width="5.109375" style="95" customWidth="1"/>
    <col min="13069" max="13069" width="13.77734375" style="95" customWidth="1"/>
    <col min="13070" max="13312" width="9" style="95"/>
    <col min="13313" max="13313" width="4.88671875" style="95" customWidth="1"/>
    <col min="13314" max="13314" width="13.21875" style="95" customWidth="1"/>
    <col min="13315" max="13315" width="15.6640625" style="95" customWidth="1"/>
    <col min="13316" max="13316" width="9.33203125" style="95" customWidth="1"/>
    <col min="13317" max="13317" width="13.44140625" style="95" customWidth="1"/>
    <col min="13318" max="13318" width="9" style="95"/>
    <col min="13319" max="13319" width="9.33203125" style="95" customWidth="1"/>
    <col min="13320" max="13321" width="9" style="95"/>
    <col min="13322" max="13322" width="9.33203125" style="95" customWidth="1"/>
    <col min="13323" max="13323" width="4" style="95" customWidth="1"/>
    <col min="13324" max="13324" width="5.109375" style="95" customWidth="1"/>
    <col min="13325" max="13325" width="13.77734375" style="95" customWidth="1"/>
    <col min="13326" max="13568" width="9" style="95"/>
    <col min="13569" max="13569" width="4.88671875" style="95" customWidth="1"/>
    <col min="13570" max="13570" width="13.21875" style="95" customWidth="1"/>
    <col min="13571" max="13571" width="15.6640625" style="95" customWidth="1"/>
    <col min="13572" max="13572" width="9.33203125" style="95" customWidth="1"/>
    <col min="13573" max="13573" width="13.44140625" style="95" customWidth="1"/>
    <col min="13574" max="13574" width="9" style="95"/>
    <col min="13575" max="13575" width="9.33203125" style="95" customWidth="1"/>
    <col min="13576" max="13577" width="9" style="95"/>
    <col min="13578" max="13578" width="9.33203125" style="95" customWidth="1"/>
    <col min="13579" max="13579" width="4" style="95" customWidth="1"/>
    <col min="13580" max="13580" width="5.109375" style="95" customWidth="1"/>
    <col min="13581" max="13581" width="13.77734375" style="95" customWidth="1"/>
    <col min="13582" max="13824" width="9" style="95"/>
    <col min="13825" max="13825" width="4.88671875" style="95" customWidth="1"/>
    <col min="13826" max="13826" width="13.21875" style="95" customWidth="1"/>
    <col min="13827" max="13827" width="15.6640625" style="95" customWidth="1"/>
    <col min="13828" max="13828" width="9.33203125" style="95" customWidth="1"/>
    <col min="13829" max="13829" width="13.44140625" style="95" customWidth="1"/>
    <col min="13830" max="13830" width="9" style="95"/>
    <col min="13831" max="13831" width="9.33203125" style="95" customWidth="1"/>
    <col min="13832" max="13833" width="9" style="95"/>
    <col min="13834" max="13834" width="9.33203125" style="95" customWidth="1"/>
    <col min="13835" max="13835" width="4" style="95" customWidth="1"/>
    <col min="13836" max="13836" width="5.109375" style="95" customWidth="1"/>
    <col min="13837" max="13837" width="13.77734375" style="95" customWidth="1"/>
    <col min="13838" max="14080" width="9" style="95"/>
    <col min="14081" max="14081" width="4.88671875" style="95" customWidth="1"/>
    <col min="14082" max="14082" width="13.21875" style="95" customWidth="1"/>
    <col min="14083" max="14083" width="15.6640625" style="95" customWidth="1"/>
    <col min="14084" max="14084" width="9.33203125" style="95" customWidth="1"/>
    <col min="14085" max="14085" width="13.44140625" style="95" customWidth="1"/>
    <col min="14086" max="14086" width="9" style="95"/>
    <col min="14087" max="14087" width="9.33203125" style="95" customWidth="1"/>
    <col min="14088" max="14089" width="9" style="95"/>
    <col min="14090" max="14090" width="9.33203125" style="95" customWidth="1"/>
    <col min="14091" max="14091" width="4" style="95" customWidth="1"/>
    <col min="14092" max="14092" width="5.109375" style="95" customWidth="1"/>
    <col min="14093" max="14093" width="13.77734375" style="95" customWidth="1"/>
    <col min="14094" max="14336" width="9" style="95"/>
    <col min="14337" max="14337" width="4.88671875" style="95" customWidth="1"/>
    <col min="14338" max="14338" width="13.21875" style="95" customWidth="1"/>
    <col min="14339" max="14339" width="15.6640625" style="95" customWidth="1"/>
    <col min="14340" max="14340" width="9.33203125" style="95" customWidth="1"/>
    <col min="14341" max="14341" width="13.44140625" style="95" customWidth="1"/>
    <col min="14342" max="14342" width="9" style="95"/>
    <col min="14343" max="14343" width="9.33203125" style="95" customWidth="1"/>
    <col min="14344" max="14345" width="9" style="95"/>
    <col min="14346" max="14346" width="9.33203125" style="95" customWidth="1"/>
    <col min="14347" max="14347" width="4" style="95" customWidth="1"/>
    <col min="14348" max="14348" width="5.109375" style="95" customWidth="1"/>
    <col min="14349" max="14349" width="13.77734375" style="95" customWidth="1"/>
    <col min="14350" max="14592" width="9" style="95"/>
    <col min="14593" max="14593" width="4.88671875" style="95" customWidth="1"/>
    <col min="14594" max="14594" width="13.21875" style="95" customWidth="1"/>
    <col min="14595" max="14595" width="15.6640625" style="95" customWidth="1"/>
    <col min="14596" max="14596" width="9.33203125" style="95" customWidth="1"/>
    <col min="14597" max="14597" width="13.44140625" style="95" customWidth="1"/>
    <col min="14598" max="14598" width="9" style="95"/>
    <col min="14599" max="14599" width="9.33203125" style="95" customWidth="1"/>
    <col min="14600" max="14601" width="9" style="95"/>
    <col min="14602" max="14602" width="9.33203125" style="95" customWidth="1"/>
    <col min="14603" max="14603" width="4" style="95" customWidth="1"/>
    <col min="14604" max="14604" width="5.109375" style="95" customWidth="1"/>
    <col min="14605" max="14605" width="13.77734375" style="95" customWidth="1"/>
    <col min="14606" max="14848" width="9" style="95"/>
    <col min="14849" max="14849" width="4.88671875" style="95" customWidth="1"/>
    <col min="14850" max="14850" width="13.21875" style="95" customWidth="1"/>
    <col min="14851" max="14851" width="15.6640625" style="95" customWidth="1"/>
    <col min="14852" max="14852" width="9.33203125" style="95" customWidth="1"/>
    <col min="14853" max="14853" width="13.44140625" style="95" customWidth="1"/>
    <col min="14854" max="14854" width="9" style="95"/>
    <col min="14855" max="14855" width="9.33203125" style="95" customWidth="1"/>
    <col min="14856" max="14857" width="9" style="95"/>
    <col min="14858" max="14858" width="9.33203125" style="95" customWidth="1"/>
    <col min="14859" max="14859" width="4" style="95" customWidth="1"/>
    <col min="14860" max="14860" width="5.109375" style="95" customWidth="1"/>
    <col min="14861" max="14861" width="13.77734375" style="95" customWidth="1"/>
    <col min="14862" max="15104" width="9" style="95"/>
    <col min="15105" max="15105" width="4.88671875" style="95" customWidth="1"/>
    <col min="15106" max="15106" width="13.21875" style="95" customWidth="1"/>
    <col min="15107" max="15107" width="15.6640625" style="95" customWidth="1"/>
    <col min="15108" max="15108" width="9.33203125" style="95" customWidth="1"/>
    <col min="15109" max="15109" width="13.44140625" style="95" customWidth="1"/>
    <col min="15110" max="15110" width="9" style="95"/>
    <col min="15111" max="15111" width="9.33203125" style="95" customWidth="1"/>
    <col min="15112" max="15113" width="9" style="95"/>
    <col min="15114" max="15114" width="9.33203125" style="95" customWidth="1"/>
    <col min="15115" max="15115" width="4" style="95" customWidth="1"/>
    <col min="15116" max="15116" width="5.109375" style="95" customWidth="1"/>
    <col min="15117" max="15117" width="13.77734375" style="95" customWidth="1"/>
    <col min="15118" max="15360" width="9" style="95"/>
    <col min="15361" max="15361" width="4.88671875" style="95" customWidth="1"/>
    <col min="15362" max="15362" width="13.21875" style="95" customWidth="1"/>
    <col min="15363" max="15363" width="15.6640625" style="95" customWidth="1"/>
    <col min="15364" max="15364" width="9.33203125" style="95" customWidth="1"/>
    <col min="15365" max="15365" width="13.44140625" style="95" customWidth="1"/>
    <col min="15366" max="15366" width="9" style="95"/>
    <col min="15367" max="15367" width="9.33203125" style="95" customWidth="1"/>
    <col min="15368" max="15369" width="9" style="95"/>
    <col min="15370" max="15370" width="9.33203125" style="95" customWidth="1"/>
    <col min="15371" max="15371" width="4" style="95" customWidth="1"/>
    <col min="15372" max="15372" width="5.109375" style="95" customWidth="1"/>
    <col min="15373" max="15373" width="13.77734375" style="95" customWidth="1"/>
    <col min="15374" max="15616" width="9" style="95"/>
    <col min="15617" max="15617" width="4.88671875" style="95" customWidth="1"/>
    <col min="15618" max="15618" width="13.21875" style="95" customWidth="1"/>
    <col min="15619" max="15619" width="15.6640625" style="95" customWidth="1"/>
    <col min="15620" max="15620" width="9.33203125" style="95" customWidth="1"/>
    <col min="15621" max="15621" width="13.44140625" style="95" customWidth="1"/>
    <col min="15622" max="15622" width="9" style="95"/>
    <col min="15623" max="15623" width="9.33203125" style="95" customWidth="1"/>
    <col min="15624" max="15625" width="9" style="95"/>
    <col min="15626" max="15626" width="9.33203125" style="95" customWidth="1"/>
    <col min="15627" max="15627" width="4" style="95" customWidth="1"/>
    <col min="15628" max="15628" width="5.109375" style="95" customWidth="1"/>
    <col min="15629" max="15629" width="13.77734375" style="95" customWidth="1"/>
    <col min="15630" max="15872" width="9" style="95"/>
    <col min="15873" max="15873" width="4.88671875" style="95" customWidth="1"/>
    <col min="15874" max="15874" width="13.21875" style="95" customWidth="1"/>
    <col min="15875" max="15875" width="15.6640625" style="95" customWidth="1"/>
    <col min="15876" max="15876" width="9.33203125" style="95" customWidth="1"/>
    <col min="15877" max="15877" width="13.44140625" style="95" customWidth="1"/>
    <col min="15878" max="15878" width="9" style="95"/>
    <col min="15879" max="15879" width="9.33203125" style="95" customWidth="1"/>
    <col min="15880" max="15881" width="9" style="95"/>
    <col min="15882" max="15882" width="9.33203125" style="95" customWidth="1"/>
    <col min="15883" max="15883" width="4" style="95" customWidth="1"/>
    <col min="15884" max="15884" width="5.109375" style="95" customWidth="1"/>
    <col min="15885" max="15885" width="13.77734375" style="95" customWidth="1"/>
    <col min="15886" max="16128" width="9" style="95"/>
    <col min="16129" max="16129" width="4.88671875" style="95" customWidth="1"/>
    <col min="16130" max="16130" width="13.21875" style="95" customWidth="1"/>
    <col min="16131" max="16131" width="15.6640625" style="95" customWidth="1"/>
    <col min="16132" max="16132" width="9.33203125" style="95" customWidth="1"/>
    <col min="16133" max="16133" width="13.44140625" style="95" customWidth="1"/>
    <col min="16134" max="16134" width="9" style="95"/>
    <col min="16135" max="16135" width="9.33203125" style="95" customWidth="1"/>
    <col min="16136" max="16137" width="9" style="95"/>
    <col min="16138" max="16138" width="9.33203125" style="95" customWidth="1"/>
    <col min="16139" max="16139" width="4" style="95" customWidth="1"/>
    <col min="16140" max="16140" width="5.109375" style="95" customWidth="1"/>
    <col min="16141" max="16141" width="13.77734375" style="95" customWidth="1"/>
    <col min="16142" max="16384" width="9" style="95"/>
  </cols>
  <sheetData>
    <row r="1" spans="1:257" s="91" customFormat="1">
      <c r="A1" s="96"/>
      <c r="B1" s="97" t="s">
        <v>342</v>
      </c>
      <c r="C1" s="98">
        <f>项目基本情况!D3</f>
        <v>44196</v>
      </c>
      <c r="D1" s="97" t="s">
        <v>2865</v>
      </c>
      <c r="E1" s="99">
        <f>'数据-取费表'!B22</f>
        <v>2</v>
      </c>
      <c r="F1" s="97" t="s">
        <v>2866</v>
      </c>
      <c r="G1" s="100">
        <f ca="1">INDIRECT("d"&amp;$K$1)/100</f>
        <v>3.85E-2</v>
      </c>
      <c r="H1" s="97" t="s">
        <v>2867</v>
      </c>
      <c r="I1" s="100">
        <f ca="1">F4/100</f>
        <v>1.4999999999999999E-2</v>
      </c>
      <c r="J1" s="149">
        <f>IF(C1&gt;C13,0,MATCH(C1,C$13:C$109,-1))+IF(SUMIF(C13:C109,C1,D13:D109)=0,13,12)</f>
        <v>17</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2866</v>
      </c>
      <c r="E2" s="101"/>
      <c r="F2" s="101" t="s">
        <v>2868</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2869</v>
      </c>
      <c r="C3" s="104">
        <v>0</v>
      </c>
      <c r="D3" s="105">
        <f ca="1">INDIRECT("d"&amp;$J$1)</f>
        <v>3.85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2870</v>
      </c>
      <c r="C4" s="109">
        <v>0.5</v>
      </c>
      <c r="D4" s="110">
        <f ca="1">INDIRECT("e"&amp;$J$1)</f>
        <v>3.85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2871</v>
      </c>
      <c r="C5" s="109">
        <v>1</v>
      </c>
      <c r="D5" s="110">
        <f ca="1">INDIRECT("f"&amp;$J$1)</f>
        <v>3.85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2872</v>
      </c>
      <c r="C6" s="109">
        <v>3</v>
      </c>
      <c r="D6" s="110">
        <f ca="1">INDIRECT("g"&amp;$J$1)</f>
        <v>3.85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2873</v>
      </c>
      <c r="C7" s="114">
        <v>5</v>
      </c>
      <c r="D7" s="115">
        <f ca="1">INDIRECT("h"&amp;$J$1)</f>
        <v>4.6500000000000004</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399999999999999">
      <c r="A9" s="121"/>
      <c r="B9" s="122" t="s">
        <v>2874</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2">
      <c r="A10" s="125"/>
      <c r="B10" s="126" t="s">
        <v>2875</v>
      </c>
      <c r="C10" s="125"/>
      <c r="D10" s="125"/>
      <c r="E10" s="125"/>
      <c r="F10" s="125"/>
      <c r="G10" s="125"/>
      <c r="H10" s="125"/>
      <c r="I10" s="93"/>
      <c r="J10" s="93"/>
      <c r="K10" s="125"/>
      <c r="L10" s="126" t="s">
        <v>2876</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2877</v>
      </c>
      <c r="C11" s="129" t="s">
        <v>2878</v>
      </c>
      <c r="D11" s="130" t="s">
        <v>2879</v>
      </c>
      <c r="E11" s="131"/>
      <c r="F11" s="130" t="s">
        <v>2880</v>
      </c>
      <c r="G11" s="132"/>
      <c r="H11" s="131"/>
      <c r="I11" s="130" t="s">
        <v>2881</v>
      </c>
      <c r="J11" s="131"/>
      <c r="K11" s="127"/>
      <c r="L11" s="128" t="s">
        <v>2877</v>
      </c>
      <c r="M11" s="129" t="s">
        <v>2878</v>
      </c>
      <c r="N11" s="128" t="s">
        <v>2882</v>
      </c>
      <c r="O11" s="130" t="s">
        <v>2883</v>
      </c>
      <c r="P11" s="132"/>
      <c r="Q11" s="132"/>
      <c r="R11" s="132"/>
      <c r="S11" s="132"/>
      <c r="T11" s="131"/>
      <c r="U11" s="130" t="s">
        <v>2884</v>
      </c>
      <c r="V11" s="132"/>
      <c r="W11" s="131"/>
      <c r="X11" s="128" t="s">
        <v>2885</v>
      </c>
      <c r="Y11" s="128" t="s">
        <v>2886</v>
      </c>
      <c r="Z11" s="128" t="s">
        <v>2887</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2888</v>
      </c>
      <c r="E12" s="136" t="s">
        <v>2870</v>
      </c>
      <c r="F12" s="136" t="s">
        <v>2871</v>
      </c>
      <c r="G12" s="136" t="s">
        <v>2872</v>
      </c>
      <c r="H12" s="136" t="s">
        <v>2873</v>
      </c>
      <c r="I12" s="150" t="s">
        <v>2889</v>
      </c>
      <c r="J12" s="150" t="s">
        <v>2889</v>
      </c>
      <c r="K12" s="133"/>
      <c r="L12" s="134"/>
      <c r="M12" s="135"/>
      <c r="N12" s="134"/>
      <c r="O12" s="150" t="s">
        <v>2890</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31.2">
      <c r="A13" s="137"/>
      <c r="B13" s="138" t="s">
        <v>2891</v>
      </c>
      <c r="C13" s="139">
        <v>44795</v>
      </c>
      <c r="D13" s="140">
        <v>3.65</v>
      </c>
      <c r="E13" s="140">
        <f>D13</f>
        <v>3.65</v>
      </c>
      <c r="F13" s="140">
        <f>D13</f>
        <v>3.65</v>
      </c>
      <c r="G13" s="140">
        <f>D13</f>
        <v>3.65</v>
      </c>
      <c r="H13" s="140">
        <v>4.3</v>
      </c>
      <c r="I13" s="140"/>
      <c r="J13" s="140"/>
      <c r="K13" s="137"/>
      <c r="L13" s="138" t="s">
        <v>2891</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5.6">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5.6">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5.6">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5.6">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6.8">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5.6">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5.6">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5.6">
      <c r="A21" s="137"/>
      <c r="B21" s="138" t="s">
        <v>2892</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5.6">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2893</v>
      </c>
      <c r="Y42" s="142" t="s">
        <v>2893</v>
      </c>
      <c r="Z42" s="142" t="s">
        <v>2893</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2893</v>
      </c>
      <c r="Y43" s="142" t="s">
        <v>2893</v>
      </c>
      <c r="Z43" s="142" t="s">
        <v>2893</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2893</v>
      </c>
      <c r="Y44" s="142" t="s">
        <v>2893</v>
      </c>
      <c r="Z44" s="142" t="s">
        <v>2893</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2893</v>
      </c>
      <c r="Y45" s="142" t="s">
        <v>2893</v>
      </c>
      <c r="Z45" s="142" t="s">
        <v>2893</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2893</v>
      </c>
      <c r="Y46" s="142" t="s">
        <v>2893</v>
      </c>
      <c r="Z46" s="142" t="s">
        <v>2893</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2893</v>
      </c>
      <c r="Y47" s="142" t="s">
        <v>2893</v>
      </c>
      <c r="Z47" s="142" t="s">
        <v>2893</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2893</v>
      </c>
      <c r="Y48" s="142" t="s">
        <v>2893</v>
      </c>
      <c r="Z48" s="142" t="s">
        <v>2893</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2893</v>
      </c>
      <c r="Y49" s="142" t="s">
        <v>2893</v>
      </c>
      <c r="Z49" s="142" t="s">
        <v>2893</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2893</v>
      </c>
      <c r="Y50" s="142" t="s">
        <v>2893</v>
      </c>
      <c r="Z50" s="142" t="s">
        <v>2893</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2893</v>
      </c>
      <c r="V51" s="142" t="s">
        <v>2893</v>
      </c>
      <c r="W51" s="142" t="s">
        <v>2893</v>
      </c>
      <c r="X51" s="142" t="s">
        <v>2893</v>
      </c>
      <c r="Y51" s="142" t="s">
        <v>2893</v>
      </c>
      <c r="Z51" s="142" t="s">
        <v>2893</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2893</v>
      </c>
      <c r="J64" s="142" t="s">
        <v>2893</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4.4"/>
  <cols>
    <col min="6" max="6" width="11.88671875" customWidth="1"/>
    <col min="10" max="10" width="13.44140625" customWidth="1"/>
    <col min="12" max="12" width="13.44140625" customWidth="1"/>
  </cols>
  <sheetData>
    <row r="1" spans="1:13" s="81" customFormat="1" ht="12.9" customHeight="1">
      <c r="A1" s="84" t="s">
        <v>2125</v>
      </c>
      <c r="B1" s="84" t="s">
        <v>1238</v>
      </c>
      <c r="C1" s="84" t="s">
        <v>2894</v>
      </c>
      <c r="D1" s="84" t="s">
        <v>2895</v>
      </c>
      <c r="E1" s="84" t="s">
        <v>2896</v>
      </c>
      <c r="F1" s="85" t="s">
        <v>2897</v>
      </c>
      <c r="G1" s="84" t="s">
        <v>2898</v>
      </c>
      <c r="H1" s="84" t="s">
        <v>2899</v>
      </c>
      <c r="I1" s="84" t="s">
        <v>1244</v>
      </c>
      <c r="J1" s="84" t="s">
        <v>2900</v>
      </c>
      <c r="K1" s="85" t="s">
        <v>2901</v>
      </c>
      <c r="L1" s="85" t="s">
        <v>2902</v>
      </c>
      <c r="M1" s="84" t="s">
        <v>2903</v>
      </c>
    </row>
    <row r="2" spans="1:13" s="81" customFormat="1" ht="15" customHeight="1">
      <c r="A2" s="84">
        <v>71</v>
      </c>
      <c r="B2" s="84" t="s">
        <v>2904</v>
      </c>
      <c r="C2" s="84" t="s">
        <v>2905</v>
      </c>
      <c r="D2" s="84" t="s">
        <v>2906</v>
      </c>
      <c r="E2" s="84" t="s">
        <v>2907</v>
      </c>
      <c r="F2" s="85">
        <v>6343</v>
      </c>
      <c r="G2" s="84" t="s">
        <v>2908</v>
      </c>
      <c r="H2" s="84">
        <v>2022</v>
      </c>
      <c r="I2" s="84" t="s">
        <v>2909</v>
      </c>
      <c r="J2" s="84" t="s">
        <v>2910</v>
      </c>
      <c r="K2" s="85">
        <v>152</v>
      </c>
      <c r="L2" s="85">
        <v>23963</v>
      </c>
      <c r="M2" s="84" t="s">
        <v>2911</v>
      </c>
    </row>
    <row r="3" spans="1:13" s="81" customFormat="1" ht="15" customHeight="1">
      <c r="A3" s="84">
        <v>72</v>
      </c>
      <c r="B3" s="84" t="s">
        <v>2912</v>
      </c>
      <c r="C3" s="84" t="s">
        <v>2905</v>
      </c>
      <c r="D3" s="84" t="s">
        <v>2913</v>
      </c>
      <c r="E3" s="84" t="s">
        <v>2914</v>
      </c>
      <c r="F3" s="85">
        <v>17265</v>
      </c>
      <c r="G3" s="84" t="s">
        <v>2908</v>
      </c>
      <c r="H3" s="84">
        <v>2022</v>
      </c>
      <c r="I3" s="84" t="s">
        <v>2915</v>
      </c>
      <c r="J3" s="84" t="s">
        <v>2916</v>
      </c>
      <c r="K3" s="85">
        <v>163</v>
      </c>
      <c r="L3" s="85">
        <v>9441</v>
      </c>
      <c r="M3" s="84" t="s">
        <v>2911</v>
      </c>
    </row>
    <row r="4" spans="1:13" s="81" customFormat="1" ht="15" customHeight="1">
      <c r="A4" s="84">
        <v>73</v>
      </c>
      <c r="B4" s="84" t="s">
        <v>2917</v>
      </c>
      <c r="C4" s="84" t="s">
        <v>2905</v>
      </c>
      <c r="D4" s="84" t="s">
        <v>2918</v>
      </c>
      <c r="E4" s="84" t="s">
        <v>2907</v>
      </c>
      <c r="F4" s="85">
        <v>24165</v>
      </c>
      <c r="G4" s="84" t="s">
        <v>2908</v>
      </c>
      <c r="H4" s="84">
        <v>2022</v>
      </c>
      <c r="I4" s="84" t="s">
        <v>2919</v>
      </c>
      <c r="J4" s="84" t="s">
        <v>2920</v>
      </c>
      <c r="K4" s="85">
        <v>750</v>
      </c>
      <c r="L4" s="85">
        <v>31037</v>
      </c>
      <c r="M4" s="84" t="s">
        <v>2921</v>
      </c>
    </row>
    <row r="5" spans="1:13" s="81" customFormat="1" ht="15" customHeight="1">
      <c r="A5" s="84">
        <v>74</v>
      </c>
      <c r="B5" s="84" t="s">
        <v>2922</v>
      </c>
      <c r="C5" s="84" t="s">
        <v>2905</v>
      </c>
      <c r="D5" s="84" t="s">
        <v>2923</v>
      </c>
      <c r="E5" s="84" t="s">
        <v>2924</v>
      </c>
      <c r="F5" s="85">
        <v>96740</v>
      </c>
      <c r="G5" s="84" t="s">
        <v>2908</v>
      </c>
      <c r="H5" s="84">
        <v>2022</v>
      </c>
      <c r="I5" s="84" t="s">
        <v>2925</v>
      </c>
      <c r="J5" s="84" t="s">
        <v>2926</v>
      </c>
      <c r="K5" s="85">
        <v>1870</v>
      </c>
      <c r="L5" s="85">
        <v>19330</v>
      </c>
      <c r="M5" s="84" t="s">
        <v>2911</v>
      </c>
    </row>
    <row r="6" spans="1:13" s="81" customFormat="1" ht="15" customHeight="1">
      <c r="A6" s="84">
        <v>75</v>
      </c>
      <c r="B6" s="84" t="s">
        <v>2927</v>
      </c>
      <c r="C6" s="84" t="s">
        <v>2905</v>
      </c>
      <c r="D6" s="84" t="s">
        <v>2928</v>
      </c>
      <c r="E6" s="84" t="s">
        <v>2907</v>
      </c>
      <c r="F6" s="85">
        <v>119000</v>
      </c>
      <c r="G6" s="84" t="s">
        <v>2929</v>
      </c>
      <c r="H6" s="84">
        <v>2022</v>
      </c>
      <c r="I6" s="84" t="s">
        <v>2930</v>
      </c>
      <c r="J6" s="84" t="s">
        <v>2931</v>
      </c>
      <c r="K6" s="85">
        <v>5015</v>
      </c>
      <c r="L6" s="85">
        <v>42143</v>
      </c>
      <c r="M6" s="84" t="s">
        <v>2921</v>
      </c>
    </row>
    <row r="7" spans="1:13" s="81" customFormat="1" ht="15" customHeight="1">
      <c r="A7" s="84">
        <v>76</v>
      </c>
      <c r="B7" s="84" t="s">
        <v>2932</v>
      </c>
      <c r="C7" s="84" t="s">
        <v>2905</v>
      </c>
      <c r="D7" s="84" t="s">
        <v>2933</v>
      </c>
      <c r="E7" s="84" t="s">
        <v>2934</v>
      </c>
      <c r="F7" s="85">
        <v>30120</v>
      </c>
      <c r="G7" s="84" t="s">
        <v>2929</v>
      </c>
      <c r="H7" s="84">
        <v>2022</v>
      </c>
      <c r="I7" s="84" t="s">
        <v>2935</v>
      </c>
      <c r="J7" s="84" t="s">
        <v>2936</v>
      </c>
      <c r="K7" s="85">
        <v>1080</v>
      </c>
      <c r="L7" s="85">
        <v>35857</v>
      </c>
      <c r="M7" s="84" t="s">
        <v>2921</v>
      </c>
    </row>
    <row r="8" spans="1:13" s="81" customFormat="1" ht="15" customHeight="1">
      <c r="A8" s="84">
        <v>77</v>
      </c>
      <c r="B8" s="84" t="s">
        <v>2937</v>
      </c>
      <c r="C8" s="84" t="s">
        <v>2905</v>
      </c>
      <c r="D8" s="84" t="s">
        <v>2918</v>
      </c>
      <c r="E8" s="84" t="s">
        <v>2938</v>
      </c>
      <c r="F8" s="85">
        <v>175969</v>
      </c>
      <c r="G8" s="84" t="s">
        <v>2929</v>
      </c>
      <c r="H8" s="84">
        <v>2022</v>
      </c>
      <c r="I8" s="84" t="s">
        <v>2930</v>
      </c>
      <c r="J8" s="84" t="s">
        <v>2939</v>
      </c>
      <c r="K8" s="85">
        <v>3000</v>
      </c>
      <c r="L8" s="85">
        <v>34097</v>
      </c>
      <c r="M8" s="84" t="s">
        <v>2921</v>
      </c>
    </row>
    <row r="9" spans="1:13" s="81" customFormat="1" ht="15" customHeight="1">
      <c r="A9" s="84">
        <v>78</v>
      </c>
      <c r="B9" s="84" t="s">
        <v>2940</v>
      </c>
      <c r="C9" s="84" t="s">
        <v>2905</v>
      </c>
      <c r="D9" s="84" t="s">
        <v>2941</v>
      </c>
      <c r="E9" s="84" t="s">
        <v>2924</v>
      </c>
      <c r="F9" s="85">
        <v>13139</v>
      </c>
      <c r="G9" s="84" t="s">
        <v>2929</v>
      </c>
      <c r="H9" s="84">
        <v>2022</v>
      </c>
      <c r="I9" s="84" t="s">
        <v>2942</v>
      </c>
      <c r="J9" s="84" t="s">
        <v>2943</v>
      </c>
      <c r="K9" s="85">
        <v>580</v>
      </c>
      <c r="L9" s="85">
        <v>44143</v>
      </c>
      <c r="M9" s="84" t="s">
        <v>2921</v>
      </c>
    </row>
    <row r="10" spans="1:13" s="81" customFormat="1" ht="15" customHeight="1">
      <c r="A10" s="84">
        <v>79</v>
      </c>
      <c r="B10" s="84" t="s">
        <v>2944</v>
      </c>
      <c r="C10" s="84" t="s">
        <v>2905</v>
      </c>
      <c r="D10" s="84" t="s">
        <v>2906</v>
      </c>
      <c r="E10" s="84" t="s">
        <v>2945</v>
      </c>
      <c r="F10" s="85">
        <v>14585</v>
      </c>
      <c r="G10" s="84" t="s">
        <v>2946</v>
      </c>
      <c r="H10" s="84">
        <v>2022</v>
      </c>
      <c r="I10" s="84" t="s">
        <v>2947</v>
      </c>
      <c r="J10" s="84" t="s">
        <v>2948</v>
      </c>
      <c r="K10" s="85">
        <v>294</v>
      </c>
      <c r="L10" s="85">
        <v>20158</v>
      </c>
      <c r="M10" s="84" t="s">
        <v>2911</v>
      </c>
    </row>
    <row r="11" spans="1:13" s="81" customFormat="1" ht="15" customHeight="1">
      <c r="A11" s="84">
        <v>80</v>
      </c>
      <c r="B11" s="84" t="s">
        <v>2949</v>
      </c>
      <c r="C11" s="84" t="s">
        <v>2905</v>
      </c>
      <c r="D11" s="84" t="s">
        <v>2918</v>
      </c>
      <c r="E11" s="84" t="s">
        <v>2934</v>
      </c>
      <c r="F11" s="85">
        <v>12092</v>
      </c>
      <c r="G11" s="84" t="s">
        <v>2946</v>
      </c>
      <c r="H11" s="84">
        <v>2022</v>
      </c>
      <c r="I11" s="84" t="s">
        <v>2920</v>
      </c>
      <c r="J11" s="84" t="s">
        <v>2950</v>
      </c>
      <c r="K11" s="85">
        <v>500</v>
      </c>
      <c r="L11" s="85">
        <v>41350</v>
      </c>
      <c r="M11" s="84" t="s">
        <v>2921</v>
      </c>
    </row>
    <row r="12" spans="1:13" s="81" customFormat="1" ht="15" customHeight="1">
      <c r="A12" s="84">
        <v>81</v>
      </c>
      <c r="B12" s="84" t="s">
        <v>2951</v>
      </c>
      <c r="C12" s="84" t="s">
        <v>2905</v>
      </c>
      <c r="D12" s="84" t="s">
        <v>2923</v>
      </c>
      <c r="E12" s="84" t="s">
        <v>2945</v>
      </c>
      <c r="F12" s="85">
        <v>118997</v>
      </c>
      <c r="G12" s="84" t="s">
        <v>2946</v>
      </c>
      <c r="H12" s="84">
        <v>2022</v>
      </c>
      <c r="I12" s="84" t="s">
        <v>2952</v>
      </c>
      <c r="J12" s="84" t="s">
        <v>2953</v>
      </c>
      <c r="K12" s="85">
        <v>1250</v>
      </c>
      <c r="L12" s="85">
        <v>10500</v>
      </c>
      <c r="M12" s="84" t="s">
        <v>2921</v>
      </c>
    </row>
    <row r="13" spans="1:13" s="82" customFormat="1" ht="15" customHeight="1">
      <c r="A13" s="86">
        <v>82</v>
      </c>
      <c r="B13" s="86" t="s">
        <v>2954</v>
      </c>
      <c r="C13" s="86" t="s">
        <v>2905</v>
      </c>
      <c r="D13" s="86" t="s">
        <v>2918</v>
      </c>
      <c r="E13" s="86" t="s">
        <v>2907</v>
      </c>
      <c r="F13" s="87">
        <v>40824</v>
      </c>
      <c r="G13" s="86" t="s">
        <v>2946</v>
      </c>
      <c r="H13" s="86">
        <v>2022</v>
      </c>
      <c r="I13" s="86" t="s">
        <v>2955</v>
      </c>
      <c r="J13" s="86" t="s">
        <v>2956</v>
      </c>
      <c r="K13" s="87">
        <v>1342</v>
      </c>
      <c r="L13" s="87">
        <v>70831</v>
      </c>
      <c r="M13" s="86" t="s">
        <v>2921</v>
      </c>
    </row>
    <row r="14" spans="1:13" s="81" customFormat="1" ht="15" customHeight="1">
      <c r="A14" s="84">
        <v>83</v>
      </c>
      <c r="B14" s="84" t="s">
        <v>2957</v>
      </c>
      <c r="C14" s="84" t="s">
        <v>2905</v>
      </c>
      <c r="D14" s="84" t="s">
        <v>2906</v>
      </c>
      <c r="E14" s="84" t="s">
        <v>2945</v>
      </c>
      <c r="F14" s="85">
        <v>11235</v>
      </c>
      <c r="G14" s="84" t="s">
        <v>2946</v>
      </c>
      <c r="H14" s="84">
        <v>2022</v>
      </c>
      <c r="I14" s="84" t="s">
        <v>2958</v>
      </c>
      <c r="J14" s="84" t="s">
        <v>2959</v>
      </c>
      <c r="K14" s="85">
        <v>427</v>
      </c>
      <c r="L14" s="85">
        <v>38000</v>
      </c>
      <c r="M14" s="84" t="s">
        <v>2911</v>
      </c>
    </row>
    <row r="15" spans="1:13" s="81" customFormat="1" ht="15" customHeight="1">
      <c r="A15" s="84">
        <v>84</v>
      </c>
      <c r="B15" s="84" t="s">
        <v>2960</v>
      </c>
      <c r="C15" s="84" t="s">
        <v>2905</v>
      </c>
      <c r="D15" s="84" t="s">
        <v>2928</v>
      </c>
      <c r="E15" s="84" t="s">
        <v>2907</v>
      </c>
      <c r="F15" s="85">
        <v>12500</v>
      </c>
      <c r="G15" s="84" t="s">
        <v>2946</v>
      </c>
      <c r="H15" s="84">
        <v>2022</v>
      </c>
      <c r="I15" s="84" t="s">
        <v>2961</v>
      </c>
      <c r="J15" s="84" t="s">
        <v>2962</v>
      </c>
      <c r="K15" s="85">
        <v>550</v>
      </c>
      <c r="L15" s="85">
        <v>44000</v>
      </c>
      <c r="M15" s="84" t="s">
        <v>2911</v>
      </c>
    </row>
    <row r="16" spans="1:13" s="81" customFormat="1" ht="15" customHeight="1">
      <c r="A16" s="84">
        <v>85</v>
      </c>
      <c r="B16" s="84" t="s">
        <v>2963</v>
      </c>
      <c r="C16" s="84" t="s">
        <v>2905</v>
      </c>
      <c r="D16" s="84" t="s">
        <v>2918</v>
      </c>
      <c r="E16" s="84" t="s">
        <v>2914</v>
      </c>
      <c r="F16" s="85">
        <v>6297</v>
      </c>
      <c r="G16" s="84" t="s">
        <v>2946</v>
      </c>
      <c r="H16" s="84">
        <v>2022</v>
      </c>
      <c r="I16" s="84" t="s">
        <v>2964</v>
      </c>
      <c r="J16" s="84" t="s">
        <v>2965</v>
      </c>
      <c r="K16" s="85">
        <v>187</v>
      </c>
      <c r="L16" s="85">
        <v>29697</v>
      </c>
      <c r="M16" s="84" t="s">
        <v>2911</v>
      </c>
    </row>
    <row r="17" spans="1:13" s="83" customFormat="1" ht="15" customHeight="1">
      <c r="A17" s="88">
        <v>86</v>
      </c>
      <c r="B17" s="88" t="s">
        <v>2966</v>
      </c>
      <c r="C17" s="88" t="s">
        <v>2905</v>
      </c>
      <c r="D17" s="88" t="s">
        <v>2928</v>
      </c>
      <c r="E17" s="88" t="s">
        <v>2907</v>
      </c>
      <c r="F17" s="89">
        <v>7618</v>
      </c>
      <c r="G17" s="88" t="s">
        <v>2946</v>
      </c>
      <c r="H17" s="88">
        <v>2022</v>
      </c>
      <c r="I17" s="88" t="s">
        <v>2967</v>
      </c>
      <c r="J17" s="88" t="s">
        <v>2968</v>
      </c>
      <c r="K17" s="89">
        <v>433</v>
      </c>
      <c r="L17" s="89">
        <v>56867</v>
      </c>
      <c r="M17" s="88" t="s">
        <v>2911</v>
      </c>
    </row>
    <row r="18" spans="1:13" s="81" customFormat="1" ht="15" customHeight="1">
      <c r="A18" s="84">
        <v>87</v>
      </c>
      <c r="B18" s="84" t="s">
        <v>2969</v>
      </c>
      <c r="C18" s="84" t="s">
        <v>2905</v>
      </c>
      <c r="D18" s="84" t="s">
        <v>2918</v>
      </c>
      <c r="E18" s="84" t="s">
        <v>2907</v>
      </c>
      <c r="F18" s="85">
        <v>58239</v>
      </c>
      <c r="G18" s="84" t="s">
        <v>2970</v>
      </c>
      <c r="H18" s="84">
        <v>2022</v>
      </c>
      <c r="I18" s="84" t="s">
        <v>2971</v>
      </c>
      <c r="J18" s="84" t="s">
        <v>2972</v>
      </c>
      <c r="K18" s="85">
        <v>2037</v>
      </c>
      <c r="L18" s="85">
        <v>34977</v>
      </c>
      <c r="M18" s="84" t="s">
        <v>2911</v>
      </c>
    </row>
    <row r="19" spans="1:13" s="81" customFormat="1" ht="15" customHeight="1">
      <c r="A19" s="84">
        <v>88</v>
      </c>
      <c r="B19" s="84" t="s">
        <v>2973</v>
      </c>
      <c r="C19" s="84" t="s">
        <v>2905</v>
      </c>
      <c r="D19" s="84" t="s">
        <v>2918</v>
      </c>
      <c r="E19" s="84" t="s">
        <v>2934</v>
      </c>
      <c r="F19" s="85">
        <v>30530</v>
      </c>
      <c r="G19" s="84" t="s">
        <v>2970</v>
      </c>
      <c r="H19" s="84">
        <v>2022</v>
      </c>
      <c r="I19" s="84" t="s">
        <v>2974</v>
      </c>
      <c r="J19" s="84" t="s">
        <v>2975</v>
      </c>
      <c r="K19" s="85">
        <v>849</v>
      </c>
      <c r="L19" s="85">
        <v>27809</v>
      </c>
      <c r="M19" s="84" t="s">
        <v>2911</v>
      </c>
    </row>
    <row r="20" spans="1:13" s="83" customFormat="1" ht="15" customHeight="1">
      <c r="A20" s="88">
        <v>89</v>
      </c>
      <c r="B20" s="90" t="s">
        <v>2976</v>
      </c>
      <c r="C20" s="88" t="s">
        <v>2905</v>
      </c>
      <c r="D20" s="88" t="s">
        <v>2928</v>
      </c>
      <c r="E20" s="88" t="s">
        <v>2907</v>
      </c>
      <c r="F20" s="89">
        <v>6461</v>
      </c>
      <c r="G20" s="88" t="s">
        <v>2970</v>
      </c>
      <c r="H20" s="88">
        <v>2022</v>
      </c>
      <c r="I20" s="88" t="s">
        <v>2977</v>
      </c>
      <c r="J20" s="88" t="s">
        <v>2978</v>
      </c>
      <c r="K20" s="89">
        <v>321</v>
      </c>
      <c r="L20" s="89">
        <v>49683</v>
      </c>
      <c r="M20" s="88" t="s">
        <v>2911</v>
      </c>
    </row>
    <row r="21" spans="1:13" s="82" customFormat="1" ht="15" customHeight="1">
      <c r="A21" s="86">
        <v>90</v>
      </c>
      <c r="B21" s="86" t="s">
        <v>2979</v>
      </c>
      <c r="C21" s="86" t="s">
        <v>2905</v>
      </c>
      <c r="D21" s="86" t="s">
        <v>2928</v>
      </c>
      <c r="E21" s="86" t="s">
        <v>2907</v>
      </c>
      <c r="F21" s="87">
        <v>5000</v>
      </c>
      <c r="G21" s="86" t="s">
        <v>2970</v>
      </c>
      <c r="H21" s="86">
        <v>2022</v>
      </c>
      <c r="I21" s="86" t="s">
        <v>2980</v>
      </c>
      <c r="J21" s="86" t="s">
        <v>2981</v>
      </c>
      <c r="K21" s="87">
        <v>425</v>
      </c>
      <c r="L21" s="87">
        <v>85000</v>
      </c>
      <c r="M21" s="86" t="s">
        <v>2911</v>
      </c>
    </row>
    <row r="22" spans="1:13" s="81" customFormat="1" ht="15" customHeight="1">
      <c r="A22" s="84">
        <v>91</v>
      </c>
      <c r="B22" s="84" t="s">
        <v>2982</v>
      </c>
      <c r="C22" s="84" t="s">
        <v>2905</v>
      </c>
      <c r="D22" s="84" t="s">
        <v>2983</v>
      </c>
      <c r="E22" s="84" t="s">
        <v>2934</v>
      </c>
      <c r="F22" s="85">
        <v>43460</v>
      </c>
      <c r="G22" s="84" t="s">
        <v>2970</v>
      </c>
      <c r="H22" s="84">
        <v>2022</v>
      </c>
      <c r="I22" s="84" t="s">
        <v>2984</v>
      </c>
      <c r="J22" s="84" t="s">
        <v>2985</v>
      </c>
      <c r="K22" s="85">
        <v>550</v>
      </c>
      <c r="L22" s="85">
        <v>12655</v>
      </c>
      <c r="M22" s="84" t="s">
        <v>2921</v>
      </c>
    </row>
    <row r="23" spans="1:13" s="81" customFormat="1" ht="15" customHeight="1">
      <c r="A23" s="84">
        <v>92</v>
      </c>
      <c r="B23" s="84" t="s">
        <v>2986</v>
      </c>
      <c r="C23" s="84" t="s">
        <v>2905</v>
      </c>
      <c r="D23" s="84" t="s">
        <v>2906</v>
      </c>
      <c r="E23" s="84" t="s">
        <v>2945</v>
      </c>
      <c r="F23" s="85">
        <v>26584</v>
      </c>
      <c r="G23" s="84" t="s">
        <v>2970</v>
      </c>
      <c r="H23" s="84">
        <v>2022</v>
      </c>
      <c r="I23" s="84" t="s">
        <v>2987</v>
      </c>
      <c r="J23" s="84" t="s">
        <v>2988</v>
      </c>
      <c r="K23" s="85">
        <v>906</v>
      </c>
      <c r="L23" s="85">
        <v>34081</v>
      </c>
      <c r="M23" s="84" t="s">
        <v>2911</v>
      </c>
    </row>
    <row r="24" spans="1:13" s="83" customFormat="1" ht="15" customHeight="1">
      <c r="A24" s="88">
        <v>93</v>
      </c>
      <c r="B24" s="88" t="s">
        <v>2989</v>
      </c>
      <c r="C24" s="88" t="s">
        <v>2905</v>
      </c>
      <c r="D24" s="88" t="s">
        <v>2913</v>
      </c>
      <c r="E24" s="88" t="s">
        <v>2907</v>
      </c>
      <c r="F24" s="89">
        <v>53000</v>
      </c>
      <c r="G24" s="88" t="s">
        <v>2970</v>
      </c>
      <c r="H24" s="88">
        <v>2022</v>
      </c>
      <c r="I24" s="88" t="s">
        <v>2984</v>
      </c>
      <c r="J24" s="88" t="s">
        <v>2990</v>
      </c>
      <c r="K24" s="89">
        <v>2650</v>
      </c>
      <c r="L24" s="89">
        <v>50000</v>
      </c>
      <c r="M24" s="88" t="s">
        <v>2911</v>
      </c>
    </row>
    <row r="25" spans="1:13" s="81" customFormat="1" ht="15" customHeight="1">
      <c r="A25" s="84">
        <v>94</v>
      </c>
      <c r="B25" s="84" t="s">
        <v>2991</v>
      </c>
      <c r="C25" s="84" t="s">
        <v>2905</v>
      </c>
      <c r="D25" s="84" t="s">
        <v>2923</v>
      </c>
      <c r="E25" s="84" t="s">
        <v>2924</v>
      </c>
      <c r="F25" s="85">
        <v>31100</v>
      </c>
      <c r="G25" s="84" t="s">
        <v>2970</v>
      </c>
      <c r="H25" s="84">
        <v>2022</v>
      </c>
      <c r="I25" s="84" t="s">
        <v>2992</v>
      </c>
      <c r="J25" s="84" t="s">
        <v>2993</v>
      </c>
      <c r="K25" s="85">
        <v>373</v>
      </c>
      <c r="L25" s="85">
        <v>12000</v>
      </c>
      <c r="M25" s="84" t="s">
        <v>2911</v>
      </c>
    </row>
    <row r="26" spans="1:13" s="82" customFormat="1" ht="15" customHeight="1">
      <c r="A26" s="86">
        <v>95</v>
      </c>
      <c r="B26" s="86" t="s">
        <v>2994</v>
      </c>
      <c r="C26" s="86" t="s">
        <v>2905</v>
      </c>
      <c r="D26" s="86" t="s">
        <v>2923</v>
      </c>
      <c r="E26" s="86" t="s">
        <v>2907</v>
      </c>
      <c r="F26" s="87">
        <v>6747</v>
      </c>
      <c r="G26" s="86" t="s">
        <v>2970</v>
      </c>
      <c r="H26" s="86">
        <v>2022</v>
      </c>
      <c r="I26" s="86" t="s">
        <v>2995</v>
      </c>
      <c r="J26" s="86" t="s">
        <v>2996</v>
      </c>
      <c r="K26" s="87">
        <v>324</v>
      </c>
      <c r="L26" s="87">
        <v>48036</v>
      </c>
      <c r="M26" s="86" t="s">
        <v>2911</v>
      </c>
    </row>
    <row r="27" spans="1:13" s="81" customFormat="1" ht="15" customHeight="1">
      <c r="A27" s="84">
        <v>96</v>
      </c>
      <c r="B27" s="84" t="s">
        <v>2997</v>
      </c>
      <c r="C27" s="84" t="s">
        <v>2905</v>
      </c>
      <c r="D27" s="84" t="s">
        <v>2918</v>
      </c>
      <c r="E27" s="84" t="s">
        <v>2945</v>
      </c>
      <c r="F27" s="85">
        <v>25503</v>
      </c>
      <c r="G27" s="84" t="s">
        <v>2970</v>
      </c>
      <c r="H27" s="84">
        <v>2022</v>
      </c>
      <c r="I27" s="84" t="s">
        <v>2998</v>
      </c>
      <c r="J27" s="84" t="s">
        <v>2999</v>
      </c>
      <c r="K27" s="85">
        <v>592</v>
      </c>
      <c r="L27" s="85">
        <v>23204</v>
      </c>
      <c r="M27" s="84" t="s">
        <v>2911</v>
      </c>
    </row>
    <row r="28" spans="1:13" s="81" customFormat="1" ht="15" customHeight="1">
      <c r="A28" s="84">
        <v>97</v>
      </c>
      <c r="B28" s="84" t="s">
        <v>3000</v>
      </c>
      <c r="C28" s="84" t="s">
        <v>2905</v>
      </c>
      <c r="D28" s="84" t="s">
        <v>2928</v>
      </c>
      <c r="E28" s="84" t="s">
        <v>2907</v>
      </c>
      <c r="F28" s="85">
        <v>34999</v>
      </c>
      <c r="G28" s="84" t="s">
        <v>2970</v>
      </c>
      <c r="H28" s="84">
        <v>2022</v>
      </c>
      <c r="I28" s="84" t="s">
        <v>2964</v>
      </c>
      <c r="J28" s="84" t="s">
        <v>3001</v>
      </c>
      <c r="K28" s="85">
        <v>1500</v>
      </c>
      <c r="L28" s="85">
        <v>42858</v>
      </c>
      <c r="M28" s="84" t="s">
        <v>2911</v>
      </c>
    </row>
    <row r="29" spans="1:13" s="81" customFormat="1" ht="15" customHeight="1">
      <c r="A29" s="84">
        <v>98</v>
      </c>
      <c r="B29" s="84" t="s">
        <v>3002</v>
      </c>
      <c r="C29" s="84" t="s">
        <v>2905</v>
      </c>
      <c r="D29" s="84" t="s">
        <v>2928</v>
      </c>
      <c r="E29" s="84" t="s">
        <v>2907</v>
      </c>
      <c r="F29" s="85">
        <v>184914</v>
      </c>
      <c r="G29" s="84" t="s">
        <v>2970</v>
      </c>
      <c r="H29" s="84">
        <v>2022</v>
      </c>
      <c r="I29" s="84" t="s">
        <v>3003</v>
      </c>
      <c r="J29" s="84" t="s">
        <v>2939</v>
      </c>
      <c r="K29" s="85">
        <v>6404</v>
      </c>
      <c r="L29" s="85">
        <v>34611</v>
      </c>
      <c r="M29" s="84" t="s">
        <v>2921</v>
      </c>
    </row>
    <row r="30" spans="1:13" s="81" customFormat="1" ht="15" customHeight="1">
      <c r="A30" s="84">
        <v>99</v>
      </c>
      <c r="B30" s="84" t="s">
        <v>3004</v>
      </c>
      <c r="C30" s="84" t="s">
        <v>2905</v>
      </c>
      <c r="D30" s="84" t="s">
        <v>2983</v>
      </c>
      <c r="E30" s="84" t="s">
        <v>2914</v>
      </c>
      <c r="F30" s="85">
        <v>3300</v>
      </c>
      <c r="G30" s="84" t="s">
        <v>2970</v>
      </c>
      <c r="H30" s="84">
        <v>2022</v>
      </c>
      <c r="I30" s="84" t="s">
        <v>3005</v>
      </c>
      <c r="J30" s="84" t="s">
        <v>3006</v>
      </c>
      <c r="K30" s="85">
        <v>149</v>
      </c>
      <c r="L30" s="85">
        <v>45000</v>
      </c>
      <c r="M30" s="84" t="s">
        <v>2911</v>
      </c>
    </row>
    <row r="31" spans="1:13" s="81" customFormat="1" ht="15" customHeight="1">
      <c r="A31" s="84">
        <v>100</v>
      </c>
      <c r="B31" s="84" t="s">
        <v>3007</v>
      </c>
      <c r="C31" s="84" t="s">
        <v>2905</v>
      </c>
      <c r="D31" s="84" t="s">
        <v>2941</v>
      </c>
      <c r="E31" s="84" t="s">
        <v>2907</v>
      </c>
      <c r="F31" s="85">
        <v>6200</v>
      </c>
      <c r="G31" s="84" t="s">
        <v>2970</v>
      </c>
      <c r="H31" s="84">
        <v>2022</v>
      </c>
      <c r="I31" s="84" t="s">
        <v>3008</v>
      </c>
      <c r="J31" s="84" t="s">
        <v>3009</v>
      </c>
      <c r="K31" s="85">
        <v>242</v>
      </c>
      <c r="L31" s="85">
        <v>39000</v>
      </c>
      <c r="M31" s="84" t="s">
        <v>2911</v>
      </c>
    </row>
    <row r="32" spans="1:13" s="81" customFormat="1" ht="15" customHeight="1">
      <c r="A32" s="84">
        <v>101</v>
      </c>
      <c r="B32" s="84" t="s">
        <v>3010</v>
      </c>
      <c r="C32" s="84" t="s">
        <v>2905</v>
      </c>
      <c r="D32" s="84" t="s">
        <v>2928</v>
      </c>
      <c r="E32" s="84" t="s">
        <v>2914</v>
      </c>
      <c r="F32" s="85">
        <v>17000</v>
      </c>
      <c r="G32" s="84" t="s">
        <v>2970</v>
      </c>
      <c r="H32" s="84">
        <v>2022</v>
      </c>
      <c r="I32" s="84" t="s">
        <v>3011</v>
      </c>
      <c r="J32" s="84" t="s">
        <v>3012</v>
      </c>
      <c r="K32" s="85">
        <v>230</v>
      </c>
      <c r="L32" s="85">
        <v>13529</v>
      </c>
      <c r="M32" s="84" t="s">
        <v>2921</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6"/>
  <sheetViews>
    <sheetView topLeftCell="E109" workbookViewId="0">
      <selection activeCell="O142" sqref="O142"/>
    </sheetView>
  </sheetViews>
  <sheetFormatPr defaultColWidth="9" defaultRowHeight="14.4"/>
  <cols>
    <col min="5" max="6" width="15.6640625" customWidth="1"/>
    <col min="14" max="14" width="22.77734375" customWidth="1"/>
    <col min="17" max="17" width="12.77734375" customWidth="1"/>
    <col min="21" max="21" width="10.5546875" bestFit="1" customWidth="1"/>
    <col min="22" max="22" width="9.5546875" bestFit="1" customWidth="1"/>
  </cols>
  <sheetData>
    <row r="1" spans="1:19">
      <c r="D1" t="s">
        <v>3013</v>
      </c>
    </row>
    <row r="2" spans="1:19">
      <c r="A2" t="s">
        <v>3014</v>
      </c>
    </row>
    <row r="3" spans="1:19" ht="100.8">
      <c r="A3" t="s">
        <v>3015</v>
      </c>
      <c r="I3" s="79" t="s">
        <v>3016</v>
      </c>
      <c r="M3" t="s">
        <v>3017</v>
      </c>
      <c r="N3" t="s">
        <v>3018</v>
      </c>
    </row>
    <row r="4" spans="1:19">
      <c r="A4" t="s">
        <v>3019</v>
      </c>
      <c r="B4" t="s">
        <v>3020</v>
      </c>
      <c r="C4" t="s">
        <v>3021</v>
      </c>
      <c r="D4" t="s">
        <v>3022</v>
      </c>
      <c r="E4" t="s">
        <v>3023</v>
      </c>
      <c r="F4" t="s">
        <v>3024</v>
      </c>
      <c r="G4" t="s">
        <v>361</v>
      </c>
      <c r="H4" t="s">
        <v>3025</v>
      </c>
      <c r="I4" t="s">
        <v>758</v>
      </c>
      <c r="J4" t="s">
        <v>3026</v>
      </c>
      <c r="K4" t="s">
        <v>3027</v>
      </c>
      <c r="L4" t="s">
        <v>3028</v>
      </c>
      <c r="N4" t="s">
        <v>758</v>
      </c>
      <c r="O4" t="s">
        <v>3026</v>
      </c>
      <c r="P4" t="s">
        <v>3027</v>
      </c>
      <c r="Q4" t="s">
        <v>3028</v>
      </c>
    </row>
    <row r="5" spans="1:19">
      <c r="A5">
        <v>1</v>
      </c>
      <c r="B5">
        <v>1001</v>
      </c>
      <c r="C5" t="s">
        <v>3029</v>
      </c>
      <c r="D5" t="s">
        <v>3030</v>
      </c>
      <c r="E5" s="78">
        <v>44607</v>
      </c>
      <c r="F5" s="78">
        <v>45838</v>
      </c>
      <c r="G5">
        <v>3.4</v>
      </c>
      <c r="H5">
        <v>261</v>
      </c>
      <c r="I5">
        <v>55.2</v>
      </c>
      <c r="J5">
        <v>7</v>
      </c>
      <c r="K5">
        <v>2.8</v>
      </c>
      <c r="L5">
        <v>65</v>
      </c>
      <c r="M5">
        <v>90</v>
      </c>
      <c r="N5" s="80">
        <v>1296648</v>
      </c>
      <c r="O5" s="80">
        <v>164430</v>
      </c>
      <c r="P5" s="80">
        <v>65772</v>
      </c>
      <c r="Q5" s="80">
        <v>1526850</v>
      </c>
      <c r="S5">
        <f>Q5*4/365/H5</f>
        <v>64.109589041095887</v>
      </c>
    </row>
    <row r="6" spans="1:19">
      <c r="A6">
        <v>1</v>
      </c>
      <c r="B6">
        <v>1002</v>
      </c>
      <c r="C6" t="s">
        <v>3031</v>
      </c>
      <c r="D6" t="s">
        <v>3032</v>
      </c>
      <c r="E6" s="78">
        <v>44652</v>
      </c>
      <c r="F6" s="78">
        <v>45382</v>
      </c>
      <c r="G6">
        <v>2</v>
      </c>
      <c r="H6">
        <v>488.6</v>
      </c>
      <c r="I6">
        <v>12</v>
      </c>
      <c r="J6">
        <v>7</v>
      </c>
      <c r="K6">
        <v>2.8</v>
      </c>
      <c r="L6">
        <v>21.8</v>
      </c>
      <c r="M6">
        <v>90</v>
      </c>
      <c r="N6" s="80">
        <v>527688</v>
      </c>
      <c r="O6" s="80">
        <v>307818</v>
      </c>
      <c r="P6" s="80">
        <v>123127</v>
      </c>
      <c r="Q6" s="80">
        <v>958633</v>
      </c>
      <c r="S6">
        <f t="shared" ref="S6:S69" si="0">Q6*4/365/H6</f>
        <v>21.501365377174931</v>
      </c>
    </row>
    <row r="7" spans="1:19">
      <c r="A7">
        <v>1</v>
      </c>
      <c r="B7">
        <v>1010</v>
      </c>
      <c r="C7" t="s">
        <v>3033</v>
      </c>
      <c r="D7" t="s">
        <v>3034</v>
      </c>
      <c r="E7" s="78">
        <v>44043</v>
      </c>
      <c r="F7" s="78">
        <v>46964</v>
      </c>
      <c r="G7">
        <v>8</v>
      </c>
      <c r="H7">
        <v>105.6</v>
      </c>
      <c r="I7">
        <v>19.2</v>
      </c>
      <c r="J7">
        <v>0</v>
      </c>
      <c r="K7">
        <v>2.8</v>
      </c>
      <c r="L7">
        <v>22</v>
      </c>
      <c r="M7">
        <v>90</v>
      </c>
      <c r="N7" s="80">
        <v>182477</v>
      </c>
      <c r="O7" t="s">
        <v>3035</v>
      </c>
      <c r="P7" s="80">
        <v>26611</v>
      </c>
      <c r="Q7" s="80">
        <v>209088</v>
      </c>
      <c r="S7">
        <f t="shared" si="0"/>
        <v>21.698630136986303</v>
      </c>
    </row>
    <row r="8" spans="1:19">
      <c r="A8">
        <v>1</v>
      </c>
      <c r="B8">
        <v>1012</v>
      </c>
      <c r="C8" t="s">
        <v>3036</v>
      </c>
      <c r="D8" t="s">
        <v>3037</v>
      </c>
      <c r="E8" s="78">
        <v>44793</v>
      </c>
      <c r="F8" s="78">
        <v>45900</v>
      </c>
      <c r="G8">
        <v>3</v>
      </c>
      <c r="H8">
        <v>293.60000000000002</v>
      </c>
      <c r="I8">
        <v>40.700000000000003</v>
      </c>
      <c r="J8">
        <v>7</v>
      </c>
      <c r="K8">
        <v>2.8</v>
      </c>
      <c r="L8">
        <v>50.5</v>
      </c>
      <c r="M8">
        <v>90</v>
      </c>
      <c r="N8" s="80">
        <v>1075457</v>
      </c>
      <c r="O8" s="80">
        <v>184968</v>
      </c>
      <c r="P8" s="80">
        <v>73987</v>
      </c>
      <c r="Q8" s="80">
        <v>1334412</v>
      </c>
      <c r="S8">
        <f t="shared" si="0"/>
        <v>49.80821917808219</v>
      </c>
    </row>
    <row r="9" spans="1:19">
      <c r="A9">
        <v>1</v>
      </c>
      <c r="B9">
        <v>1017</v>
      </c>
      <c r="C9" t="s">
        <v>3038</v>
      </c>
      <c r="D9" t="s">
        <v>3039</v>
      </c>
      <c r="E9" s="78">
        <v>44835</v>
      </c>
      <c r="F9" s="78">
        <v>45565</v>
      </c>
      <c r="G9">
        <v>2</v>
      </c>
      <c r="H9">
        <v>176.6</v>
      </c>
      <c r="I9">
        <v>22.2</v>
      </c>
      <c r="J9">
        <v>7</v>
      </c>
      <c r="K9">
        <v>2.8</v>
      </c>
      <c r="L9">
        <v>32</v>
      </c>
      <c r="M9">
        <v>90</v>
      </c>
      <c r="N9" s="80">
        <v>352847</v>
      </c>
      <c r="O9" s="80">
        <v>111258</v>
      </c>
      <c r="P9" s="80">
        <v>44503</v>
      </c>
      <c r="Q9" s="80">
        <v>508608</v>
      </c>
      <c r="S9">
        <f t="shared" si="0"/>
        <v>31.56164383561644</v>
      </c>
    </row>
    <row r="10" spans="1:19">
      <c r="A10">
        <v>1</v>
      </c>
      <c r="B10">
        <v>1023</v>
      </c>
      <c r="C10" t="s">
        <v>3040</v>
      </c>
      <c r="D10" t="s">
        <v>3041</v>
      </c>
      <c r="E10" s="78">
        <v>43546</v>
      </c>
      <c r="F10" s="78">
        <v>44286</v>
      </c>
      <c r="G10">
        <v>2</v>
      </c>
      <c r="H10">
        <v>65.400000000000006</v>
      </c>
      <c r="I10">
        <v>28</v>
      </c>
      <c r="J10">
        <v>7</v>
      </c>
      <c r="K10">
        <v>2.8</v>
      </c>
      <c r="L10">
        <v>37.799999999999997</v>
      </c>
      <c r="M10">
        <v>90</v>
      </c>
      <c r="N10" s="80">
        <v>164808</v>
      </c>
      <c r="O10" s="80">
        <v>41202</v>
      </c>
      <c r="P10" s="80">
        <v>16481</v>
      </c>
      <c r="Q10" s="80">
        <v>222491</v>
      </c>
      <c r="S10">
        <f t="shared" si="0"/>
        <v>37.282225294290136</v>
      </c>
    </row>
    <row r="11" spans="1:19">
      <c r="A11">
        <v>1</v>
      </c>
      <c r="B11">
        <v>1027</v>
      </c>
      <c r="C11" t="s">
        <v>3042</v>
      </c>
      <c r="D11" t="s">
        <v>3043</v>
      </c>
      <c r="E11" s="78">
        <v>44287</v>
      </c>
      <c r="F11" s="78">
        <v>45016</v>
      </c>
      <c r="G11">
        <v>2</v>
      </c>
      <c r="H11">
        <v>162.1</v>
      </c>
      <c r="I11">
        <v>19</v>
      </c>
      <c r="J11">
        <v>7</v>
      </c>
      <c r="K11">
        <v>2.8</v>
      </c>
      <c r="L11">
        <v>28.8</v>
      </c>
      <c r="M11">
        <v>90</v>
      </c>
      <c r="N11" s="80">
        <v>277191</v>
      </c>
      <c r="O11" s="80">
        <v>102123</v>
      </c>
      <c r="P11" s="80">
        <v>40849</v>
      </c>
      <c r="Q11" s="80">
        <v>420163</v>
      </c>
      <c r="S11">
        <f t="shared" si="0"/>
        <v>28.405465930889946</v>
      </c>
    </row>
    <row r="12" spans="1:19">
      <c r="A12">
        <v>1</v>
      </c>
      <c r="B12">
        <v>1030</v>
      </c>
      <c r="C12" t="s">
        <v>3031</v>
      </c>
      <c r="D12" t="s">
        <v>3032</v>
      </c>
      <c r="E12" s="78">
        <v>44652</v>
      </c>
      <c r="F12" s="78">
        <v>45382</v>
      </c>
      <c r="G12">
        <v>2</v>
      </c>
      <c r="H12">
        <v>97.1</v>
      </c>
      <c r="I12">
        <v>2.0499999999999998</v>
      </c>
      <c r="J12">
        <v>7</v>
      </c>
      <c r="K12">
        <v>2.8</v>
      </c>
      <c r="L12">
        <v>11.85</v>
      </c>
      <c r="M12">
        <v>90</v>
      </c>
      <c r="N12" s="80">
        <v>17915</v>
      </c>
      <c r="O12" s="80">
        <v>61173</v>
      </c>
      <c r="P12" s="80">
        <v>24469</v>
      </c>
      <c r="Q12" s="80">
        <v>103557</v>
      </c>
      <c r="S12">
        <f t="shared" si="0"/>
        <v>11.687654303570675</v>
      </c>
    </row>
    <row r="13" spans="1:19">
      <c r="A13">
        <v>1</v>
      </c>
      <c r="B13">
        <v>1053</v>
      </c>
      <c r="C13" t="s">
        <v>3044</v>
      </c>
      <c r="D13" t="s">
        <v>3045</v>
      </c>
      <c r="E13" s="78">
        <v>44652</v>
      </c>
      <c r="F13" s="78">
        <v>45382</v>
      </c>
      <c r="G13">
        <v>2</v>
      </c>
      <c r="H13">
        <v>136</v>
      </c>
      <c r="I13">
        <v>17.2</v>
      </c>
      <c r="J13">
        <v>7</v>
      </c>
      <c r="K13">
        <v>2.8</v>
      </c>
      <c r="L13">
        <v>27</v>
      </c>
      <c r="M13">
        <v>90</v>
      </c>
      <c r="N13" s="80">
        <v>210528</v>
      </c>
      <c r="O13" s="80">
        <v>85680</v>
      </c>
      <c r="P13" s="80">
        <v>34272</v>
      </c>
      <c r="Q13" s="80">
        <v>330480</v>
      </c>
      <c r="S13">
        <f t="shared" si="0"/>
        <v>26.63013698630137</v>
      </c>
    </row>
    <row r="14" spans="1:19">
      <c r="A14">
        <v>1</v>
      </c>
      <c r="B14">
        <v>1055</v>
      </c>
      <c r="C14" t="s">
        <v>3044</v>
      </c>
      <c r="D14" t="s">
        <v>3045</v>
      </c>
      <c r="E14" s="78">
        <v>44652</v>
      </c>
      <c r="F14" s="78">
        <v>45382</v>
      </c>
      <c r="G14">
        <v>2</v>
      </c>
      <c r="H14">
        <v>138</v>
      </c>
      <c r="I14">
        <v>4.54</v>
      </c>
      <c r="J14">
        <v>1</v>
      </c>
      <c r="K14">
        <v>2.8</v>
      </c>
      <c r="L14">
        <v>8.34</v>
      </c>
      <c r="M14">
        <v>90</v>
      </c>
      <c r="N14" s="80">
        <v>56387</v>
      </c>
      <c r="O14" s="80">
        <v>12420</v>
      </c>
      <c r="P14" s="80">
        <v>34776</v>
      </c>
      <c r="Q14" s="80">
        <v>103583</v>
      </c>
      <c r="S14">
        <f t="shared" si="0"/>
        <v>8.2257693071272584</v>
      </c>
    </row>
    <row r="15" spans="1:19">
      <c r="A15">
        <v>1</v>
      </c>
      <c r="B15">
        <v>1059</v>
      </c>
      <c r="C15" t="s">
        <v>3046</v>
      </c>
      <c r="D15" t="s">
        <v>3032</v>
      </c>
      <c r="E15" s="78">
        <v>44652</v>
      </c>
      <c r="F15" s="78">
        <v>45382</v>
      </c>
      <c r="G15">
        <v>2</v>
      </c>
      <c r="H15">
        <v>185.3</v>
      </c>
      <c r="I15">
        <v>14.7</v>
      </c>
      <c r="J15">
        <v>7</v>
      </c>
      <c r="K15">
        <v>2.8</v>
      </c>
      <c r="L15">
        <v>24.5</v>
      </c>
      <c r="M15">
        <v>90</v>
      </c>
      <c r="N15" s="80">
        <v>245152</v>
      </c>
      <c r="O15" s="80">
        <v>116739</v>
      </c>
      <c r="P15" s="80">
        <v>46696</v>
      </c>
      <c r="Q15" s="80">
        <v>408587</v>
      </c>
      <c r="S15">
        <f t="shared" si="0"/>
        <v>24.164413132351093</v>
      </c>
    </row>
    <row r="16" spans="1:19" s="3623" customFormat="1">
      <c r="A16" s="3623">
        <v>1</v>
      </c>
      <c r="B16" s="3623">
        <v>1060</v>
      </c>
      <c r="C16" s="3623" t="s">
        <v>3047</v>
      </c>
      <c r="G16" s="3623">
        <v>0</v>
      </c>
      <c r="H16" s="3623">
        <v>119.2</v>
      </c>
      <c r="L16" s="3623" t="s">
        <v>3035</v>
      </c>
      <c r="N16" s="3623" t="s">
        <v>3035</v>
      </c>
      <c r="O16" s="3623" t="s">
        <v>3035</v>
      </c>
      <c r="P16" s="3623" t="s">
        <v>3035</v>
      </c>
      <c r="Q16" s="3623">
        <f>L15*H16*M15</f>
        <v>262836</v>
      </c>
      <c r="S16" s="3623">
        <f t="shared" si="0"/>
        <v>24.164383561643838</v>
      </c>
    </row>
    <row r="17" spans="1:19">
      <c r="A17">
        <v>1</v>
      </c>
      <c r="B17">
        <v>1076</v>
      </c>
      <c r="C17" t="s">
        <v>3044</v>
      </c>
      <c r="D17" t="s">
        <v>3045</v>
      </c>
      <c r="E17" s="78">
        <v>44652</v>
      </c>
      <c r="F17" s="78">
        <v>45382</v>
      </c>
      <c r="G17">
        <v>2</v>
      </c>
      <c r="H17">
        <v>95.5</v>
      </c>
      <c r="I17">
        <v>15.2</v>
      </c>
      <c r="J17">
        <v>7</v>
      </c>
      <c r="K17">
        <v>2.8</v>
      </c>
      <c r="L17">
        <v>25</v>
      </c>
      <c r="M17">
        <v>90</v>
      </c>
      <c r="N17" s="80">
        <v>130644</v>
      </c>
      <c r="O17" s="80">
        <v>60165</v>
      </c>
      <c r="P17" s="80">
        <v>24066</v>
      </c>
      <c r="Q17" s="80">
        <v>214875</v>
      </c>
      <c r="S17">
        <f t="shared" si="0"/>
        <v>24.657534246575342</v>
      </c>
    </row>
    <row r="18" spans="1:19">
      <c r="A18">
        <v>1</v>
      </c>
      <c r="B18">
        <v>1077</v>
      </c>
      <c r="C18" t="s">
        <v>3048</v>
      </c>
      <c r="D18" t="s">
        <v>3049</v>
      </c>
      <c r="E18" s="78">
        <v>44819</v>
      </c>
      <c r="F18" s="78">
        <v>45900</v>
      </c>
      <c r="G18">
        <v>3</v>
      </c>
      <c r="H18">
        <v>204.64</v>
      </c>
      <c r="I18">
        <v>7.87</v>
      </c>
      <c r="J18">
        <v>7</v>
      </c>
      <c r="K18">
        <v>2.8</v>
      </c>
      <c r="L18">
        <v>17.670000000000002</v>
      </c>
      <c r="M18">
        <v>90</v>
      </c>
      <c r="N18" s="80">
        <v>144947</v>
      </c>
      <c r="O18" s="80">
        <v>128923</v>
      </c>
      <c r="P18" s="80">
        <v>51569</v>
      </c>
      <c r="Q18" s="80">
        <v>325439</v>
      </c>
      <c r="S18">
        <f t="shared" si="0"/>
        <v>17.427945633896346</v>
      </c>
    </row>
    <row r="19" spans="1:19">
      <c r="A19">
        <v>1</v>
      </c>
      <c r="B19">
        <v>1088</v>
      </c>
      <c r="C19" t="s">
        <v>3050</v>
      </c>
      <c r="D19" t="s">
        <v>3051</v>
      </c>
      <c r="E19" s="78">
        <v>44180</v>
      </c>
      <c r="F19" s="78">
        <v>44926</v>
      </c>
      <c r="G19">
        <v>2</v>
      </c>
      <c r="H19">
        <v>116.2</v>
      </c>
      <c r="I19">
        <v>11.7</v>
      </c>
      <c r="J19">
        <v>7</v>
      </c>
      <c r="K19">
        <v>2.8</v>
      </c>
      <c r="L19">
        <v>21.5</v>
      </c>
      <c r="M19">
        <v>90</v>
      </c>
      <c r="N19" s="80">
        <v>122359</v>
      </c>
      <c r="O19" s="80">
        <v>73206</v>
      </c>
      <c r="P19" s="80">
        <v>29282</v>
      </c>
      <c r="Q19" s="80">
        <v>224847</v>
      </c>
      <c r="S19">
        <f t="shared" si="0"/>
        <v>21.205479452054792</v>
      </c>
    </row>
    <row r="20" spans="1:19">
      <c r="A20">
        <v>1</v>
      </c>
      <c r="B20">
        <v>1089</v>
      </c>
      <c r="C20" t="s">
        <v>3052</v>
      </c>
      <c r="D20" t="s">
        <v>3053</v>
      </c>
      <c r="E20" s="78">
        <v>44776</v>
      </c>
      <c r="F20" s="78">
        <v>45504</v>
      </c>
      <c r="G20">
        <v>2</v>
      </c>
      <c r="H20">
        <v>53.12</v>
      </c>
      <c r="I20">
        <v>5.47</v>
      </c>
      <c r="J20">
        <v>7</v>
      </c>
      <c r="K20">
        <v>3</v>
      </c>
      <c r="L20">
        <v>15.47</v>
      </c>
      <c r="M20">
        <v>90</v>
      </c>
      <c r="N20" s="80">
        <v>26151</v>
      </c>
      <c r="O20" s="80">
        <v>33466</v>
      </c>
      <c r="P20" s="80">
        <v>14342</v>
      </c>
      <c r="Q20" s="80">
        <v>73959</v>
      </c>
      <c r="S20">
        <f t="shared" si="0"/>
        <v>15.25808714309292</v>
      </c>
    </row>
    <row r="21" spans="1:19">
      <c r="A21">
        <v>1</v>
      </c>
      <c r="B21">
        <v>1096</v>
      </c>
      <c r="C21" t="s">
        <v>3054</v>
      </c>
      <c r="D21" t="s">
        <v>3055</v>
      </c>
      <c r="E21" s="78">
        <v>44652</v>
      </c>
      <c r="F21" s="78">
        <v>45382</v>
      </c>
      <c r="G21">
        <v>2</v>
      </c>
      <c r="H21">
        <v>112</v>
      </c>
      <c r="I21">
        <v>16.77</v>
      </c>
      <c r="J21">
        <v>7</v>
      </c>
      <c r="K21">
        <v>2.8</v>
      </c>
      <c r="L21">
        <v>26.57</v>
      </c>
      <c r="M21">
        <v>90</v>
      </c>
      <c r="N21" s="80">
        <v>169042</v>
      </c>
      <c r="O21" s="80">
        <v>70560</v>
      </c>
      <c r="P21" s="80">
        <v>28224</v>
      </c>
      <c r="Q21" s="80">
        <v>267826</v>
      </c>
      <c r="S21">
        <f t="shared" si="0"/>
        <v>26.206066536203526</v>
      </c>
    </row>
    <row r="22" spans="1:19">
      <c r="A22">
        <v>1</v>
      </c>
      <c r="B22">
        <v>1098</v>
      </c>
      <c r="C22" t="s">
        <v>3056</v>
      </c>
      <c r="D22" t="s">
        <v>3057</v>
      </c>
      <c r="E22" s="78">
        <v>44652</v>
      </c>
      <c r="F22" s="78">
        <v>45382</v>
      </c>
      <c r="G22">
        <v>2</v>
      </c>
      <c r="H22">
        <v>383</v>
      </c>
      <c r="I22">
        <v>26.7</v>
      </c>
      <c r="J22">
        <v>7</v>
      </c>
      <c r="K22">
        <v>2.8</v>
      </c>
      <c r="L22">
        <v>36.5</v>
      </c>
      <c r="M22">
        <v>90</v>
      </c>
      <c r="N22" s="80">
        <v>920349</v>
      </c>
      <c r="O22" s="80">
        <v>241290</v>
      </c>
      <c r="P22" s="80">
        <v>96516</v>
      </c>
      <c r="Q22" s="80">
        <v>1258155</v>
      </c>
      <c r="S22">
        <f t="shared" si="0"/>
        <v>36</v>
      </c>
    </row>
    <row r="23" spans="1:19">
      <c r="A23">
        <v>1</v>
      </c>
      <c r="B23">
        <v>1099</v>
      </c>
      <c r="C23" t="s">
        <v>3058</v>
      </c>
      <c r="E23" s="78">
        <v>44652</v>
      </c>
      <c r="F23" s="78">
        <v>45382</v>
      </c>
      <c r="G23">
        <v>2</v>
      </c>
      <c r="H23">
        <v>168.32</v>
      </c>
      <c r="I23">
        <v>17.2</v>
      </c>
      <c r="J23">
        <v>7</v>
      </c>
      <c r="K23">
        <v>2.8</v>
      </c>
      <c r="L23">
        <v>27</v>
      </c>
      <c r="M23">
        <v>90</v>
      </c>
      <c r="N23" s="80">
        <v>260559</v>
      </c>
      <c r="O23" s="80">
        <v>106042</v>
      </c>
      <c r="P23" s="80">
        <v>42417</v>
      </c>
      <c r="Q23" s="80">
        <v>409018</v>
      </c>
      <c r="S23">
        <f t="shared" si="0"/>
        <v>26.630163029324443</v>
      </c>
    </row>
    <row r="24" spans="1:19">
      <c r="A24">
        <v>1</v>
      </c>
      <c r="B24">
        <v>1108</v>
      </c>
      <c r="C24" t="s">
        <v>3059</v>
      </c>
      <c r="D24" t="s">
        <v>3060</v>
      </c>
      <c r="E24" s="78">
        <v>44357</v>
      </c>
      <c r="F24" s="78">
        <v>45016</v>
      </c>
      <c r="G24">
        <v>1.8</v>
      </c>
      <c r="H24">
        <v>111</v>
      </c>
      <c r="I24">
        <v>11.7</v>
      </c>
      <c r="J24">
        <v>7</v>
      </c>
      <c r="K24">
        <v>2.8</v>
      </c>
      <c r="L24">
        <v>21.5</v>
      </c>
      <c r="M24">
        <v>90</v>
      </c>
      <c r="N24" s="80">
        <v>116883</v>
      </c>
      <c r="O24" s="80">
        <v>69930</v>
      </c>
      <c r="P24" s="80">
        <v>27972</v>
      </c>
      <c r="Q24" s="80">
        <v>214785</v>
      </c>
      <c r="S24">
        <f t="shared" si="0"/>
        <v>21.205479452054796</v>
      </c>
    </row>
    <row r="25" spans="1:19">
      <c r="A25">
        <v>1</v>
      </c>
      <c r="B25">
        <v>1109</v>
      </c>
      <c r="C25" t="s">
        <v>3061</v>
      </c>
      <c r="D25" t="s">
        <v>3062</v>
      </c>
      <c r="E25" s="78">
        <v>44896</v>
      </c>
      <c r="F25" s="78">
        <v>45382</v>
      </c>
      <c r="G25">
        <v>1.3</v>
      </c>
      <c r="H25">
        <v>141.4</v>
      </c>
      <c r="I25">
        <v>11.7</v>
      </c>
      <c r="J25">
        <v>7</v>
      </c>
      <c r="K25">
        <v>2.8</v>
      </c>
      <c r="L25">
        <v>21.5</v>
      </c>
      <c r="M25">
        <v>90</v>
      </c>
      <c r="N25" s="80">
        <v>148894</v>
      </c>
      <c r="O25" s="80">
        <v>89082</v>
      </c>
      <c r="P25" s="80">
        <v>35633</v>
      </c>
      <c r="Q25" s="80">
        <v>273609</v>
      </c>
      <c r="S25">
        <f t="shared" si="0"/>
        <v>21.205479452054796</v>
      </c>
    </row>
    <row r="26" spans="1:19">
      <c r="A26">
        <v>1</v>
      </c>
      <c r="B26">
        <v>1119</v>
      </c>
      <c r="C26" t="s">
        <v>3063</v>
      </c>
      <c r="D26" t="s">
        <v>3064</v>
      </c>
      <c r="E26" s="78">
        <v>44367</v>
      </c>
      <c r="F26" s="78">
        <v>45077</v>
      </c>
      <c r="G26">
        <v>1.9</v>
      </c>
      <c r="H26">
        <v>200</v>
      </c>
      <c r="I26">
        <v>29.27</v>
      </c>
      <c r="J26">
        <v>7</v>
      </c>
      <c r="K26">
        <v>2.8</v>
      </c>
      <c r="L26">
        <v>39.07</v>
      </c>
      <c r="M26">
        <v>90</v>
      </c>
      <c r="N26" s="80">
        <v>526860</v>
      </c>
      <c r="O26" s="80">
        <v>126000</v>
      </c>
      <c r="P26" s="80">
        <v>50400</v>
      </c>
      <c r="Q26" s="80">
        <v>703260</v>
      </c>
      <c r="S26">
        <f t="shared" si="0"/>
        <v>38.534794520547941</v>
      </c>
    </row>
    <row r="27" spans="1:19" s="3623" customFormat="1">
      <c r="A27" s="3623">
        <v>1</v>
      </c>
      <c r="B27" s="3623">
        <v>1120</v>
      </c>
      <c r="C27" s="3623" t="s">
        <v>3047</v>
      </c>
      <c r="G27" s="3623">
        <v>0</v>
      </c>
      <c r="H27" s="3623">
        <v>230.4</v>
      </c>
      <c r="L27" s="3623" t="s">
        <v>3035</v>
      </c>
      <c r="N27" s="3623" t="s">
        <v>3035</v>
      </c>
      <c r="O27" s="3623" t="s">
        <v>3035</v>
      </c>
      <c r="P27" s="3623" t="s">
        <v>3035</v>
      </c>
      <c r="Q27" s="3623">
        <f>L26*H27*M26</f>
        <v>810155.52000000014</v>
      </c>
      <c r="S27" s="3623">
        <f t="shared" si="0"/>
        <v>38.534794520547948</v>
      </c>
    </row>
    <row r="28" spans="1:19">
      <c r="A28">
        <v>1</v>
      </c>
      <c r="B28">
        <v>1121</v>
      </c>
      <c r="C28" t="s">
        <v>3065</v>
      </c>
      <c r="D28" t="s">
        <v>3066</v>
      </c>
      <c r="E28" s="78">
        <v>44287</v>
      </c>
      <c r="F28" s="78">
        <v>45016</v>
      </c>
      <c r="G28">
        <v>2</v>
      </c>
      <c r="H28">
        <v>25.6</v>
      </c>
      <c r="I28">
        <v>0</v>
      </c>
      <c r="J28">
        <v>0</v>
      </c>
      <c r="K28">
        <v>2.8</v>
      </c>
      <c r="L28">
        <v>2.8</v>
      </c>
      <c r="M28">
        <v>90</v>
      </c>
      <c r="N28" t="s">
        <v>3035</v>
      </c>
      <c r="O28" t="s">
        <v>3035</v>
      </c>
      <c r="P28" s="80">
        <v>6451</v>
      </c>
      <c r="Q28" s="80">
        <v>6451</v>
      </c>
      <c r="S28">
        <f t="shared" si="0"/>
        <v>2.7615582191780823</v>
      </c>
    </row>
    <row r="29" spans="1:19">
      <c r="A29">
        <v>1</v>
      </c>
      <c r="B29">
        <v>1122</v>
      </c>
      <c r="C29" t="s">
        <v>3067</v>
      </c>
      <c r="D29" t="s">
        <v>3068</v>
      </c>
      <c r="E29" s="78">
        <v>44378</v>
      </c>
      <c r="F29" s="78">
        <v>45107</v>
      </c>
      <c r="G29">
        <v>2</v>
      </c>
      <c r="H29">
        <v>116.64</v>
      </c>
      <c r="I29">
        <v>28.48</v>
      </c>
      <c r="J29">
        <v>7</v>
      </c>
      <c r="K29">
        <v>2.8</v>
      </c>
      <c r="L29">
        <v>38.28</v>
      </c>
      <c r="M29">
        <v>90</v>
      </c>
      <c r="N29" s="80">
        <v>298972</v>
      </c>
      <c r="O29" s="80">
        <v>73483</v>
      </c>
      <c r="P29" s="80">
        <v>29393</v>
      </c>
      <c r="Q29" s="80">
        <v>401848</v>
      </c>
      <c r="S29">
        <f t="shared" si="0"/>
        <v>37.755604412123944</v>
      </c>
    </row>
    <row r="30" spans="1:19">
      <c r="A30">
        <v>1</v>
      </c>
      <c r="B30">
        <v>1123</v>
      </c>
      <c r="C30" t="s">
        <v>3032</v>
      </c>
      <c r="D30" t="s">
        <v>3032</v>
      </c>
      <c r="E30" s="78">
        <v>44825</v>
      </c>
      <c r="F30" s="78">
        <v>45565</v>
      </c>
      <c r="G30">
        <v>2</v>
      </c>
      <c r="H30">
        <v>114.6</v>
      </c>
      <c r="I30">
        <v>26.7</v>
      </c>
      <c r="J30">
        <v>7</v>
      </c>
      <c r="K30">
        <v>2.8</v>
      </c>
      <c r="L30">
        <v>36.5</v>
      </c>
      <c r="M30">
        <v>90</v>
      </c>
      <c r="N30" s="80">
        <v>275384</v>
      </c>
      <c r="O30" s="80">
        <v>72198</v>
      </c>
      <c r="P30" s="80">
        <v>28879</v>
      </c>
      <c r="Q30" s="80">
        <v>376461</v>
      </c>
      <c r="S30">
        <f t="shared" si="0"/>
        <v>36.000000000000007</v>
      </c>
    </row>
    <row r="31" spans="1:19">
      <c r="A31">
        <v>2</v>
      </c>
      <c r="B31">
        <v>2012</v>
      </c>
      <c r="C31" t="s">
        <v>3069</v>
      </c>
      <c r="D31" t="s">
        <v>3070</v>
      </c>
      <c r="E31" s="78">
        <v>44777</v>
      </c>
      <c r="F31" s="78">
        <v>45382</v>
      </c>
      <c r="G31">
        <v>1.7</v>
      </c>
      <c r="H31">
        <v>68.319999999999993</v>
      </c>
      <c r="I31">
        <v>12.2</v>
      </c>
      <c r="J31">
        <v>6</v>
      </c>
      <c r="K31">
        <v>2.8</v>
      </c>
      <c r="L31">
        <v>21</v>
      </c>
      <c r="M31">
        <v>90</v>
      </c>
      <c r="N31" s="80">
        <v>75015</v>
      </c>
      <c r="O31" s="80">
        <v>36893</v>
      </c>
      <c r="P31" s="80">
        <v>17217</v>
      </c>
      <c r="Q31" s="80">
        <v>129125</v>
      </c>
      <c r="S31">
        <f t="shared" si="0"/>
        <v>20.712360848224311</v>
      </c>
    </row>
    <row r="32" spans="1:19">
      <c r="A32">
        <v>2</v>
      </c>
      <c r="B32">
        <v>2041</v>
      </c>
      <c r="C32" t="s">
        <v>3059</v>
      </c>
      <c r="D32" t="s">
        <v>3060</v>
      </c>
      <c r="E32" s="78">
        <v>44577</v>
      </c>
      <c r="F32" s="78">
        <v>45382</v>
      </c>
      <c r="G32">
        <v>2.2000000000000002</v>
      </c>
      <c r="H32">
        <v>127.52</v>
      </c>
      <c r="I32">
        <v>0</v>
      </c>
      <c r="J32">
        <v>0</v>
      </c>
      <c r="K32">
        <v>2.8</v>
      </c>
      <c r="L32">
        <v>2.8</v>
      </c>
      <c r="M32">
        <v>90</v>
      </c>
      <c r="N32" t="s">
        <v>3035</v>
      </c>
      <c r="O32" t="s">
        <v>3035</v>
      </c>
      <c r="P32" s="80">
        <v>32135</v>
      </c>
      <c r="Q32" s="80">
        <v>32135</v>
      </c>
      <c r="S32">
        <f t="shared" si="0"/>
        <v>2.7616403980680979</v>
      </c>
    </row>
    <row r="33" spans="1:19">
      <c r="A33">
        <v>2</v>
      </c>
      <c r="B33">
        <v>2051</v>
      </c>
      <c r="C33" t="s">
        <v>3036</v>
      </c>
      <c r="D33" t="s">
        <v>3037</v>
      </c>
      <c r="E33" s="78">
        <v>44793</v>
      </c>
      <c r="F33" s="78">
        <v>45900</v>
      </c>
      <c r="G33">
        <v>3</v>
      </c>
      <c r="H33">
        <v>321.60000000000002</v>
      </c>
      <c r="I33">
        <v>16.7</v>
      </c>
      <c r="J33">
        <v>6</v>
      </c>
      <c r="K33">
        <v>2.8</v>
      </c>
      <c r="L33">
        <v>25.5</v>
      </c>
      <c r="M33">
        <v>90</v>
      </c>
      <c r="N33" s="80">
        <v>483365</v>
      </c>
      <c r="O33" s="80">
        <v>173664</v>
      </c>
      <c r="P33" s="80">
        <v>81043</v>
      </c>
      <c r="Q33" s="80">
        <v>738072</v>
      </c>
      <c r="S33">
        <f t="shared" si="0"/>
        <v>25.150684931506845</v>
      </c>
    </row>
    <row r="34" spans="1:19">
      <c r="A34">
        <v>2</v>
      </c>
      <c r="B34">
        <v>2058</v>
      </c>
      <c r="C34" t="s">
        <v>3071</v>
      </c>
      <c r="D34" t="s">
        <v>3072</v>
      </c>
      <c r="E34" s="78">
        <v>44777</v>
      </c>
      <c r="F34" s="78">
        <v>45382</v>
      </c>
      <c r="G34">
        <v>1.7</v>
      </c>
      <c r="H34">
        <v>88.32</v>
      </c>
      <c r="I34">
        <v>7.95</v>
      </c>
      <c r="J34">
        <v>6</v>
      </c>
      <c r="K34">
        <v>2.8</v>
      </c>
      <c r="L34">
        <v>16.75</v>
      </c>
      <c r="M34">
        <v>90</v>
      </c>
      <c r="N34" s="80">
        <v>63193</v>
      </c>
      <c r="O34" s="80">
        <v>47693</v>
      </c>
      <c r="P34" s="80">
        <v>22257</v>
      </c>
      <c r="Q34" s="80">
        <v>133143</v>
      </c>
      <c r="S34">
        <f t="shared" si="0"/>
        <v>16.520622394282309</v>
      </c>
    </row>
    <row r="35" spans="1:19">
      <c r="A35">
        <v>2</v>
      </c>
      <c r="B35">
        <v>2059</v>
      </c>
      <c r="C35" t="s">
        <v>3073</v>
      </c>
      <c r="D35" t="s">
        <v>3074</v>
      </c>
      <c r="E35" s="78">
        <v>44577</v>
      </c>
      <c r="F35" s="78">
        <v>45382</v>
      </c>
      <c r="G35">
        <v>2.2000000000000002</v>
      </c>
      <c r="H35">
        <v>151.04</v>
      </c>
      <c r="I35">
        <v>10.199999999999999</v>
      </c>
      <c r="J35">
        <v>6</v>
      </c>
      <c r="K35">
        <v>2.8</v>
      </c>
      <c r="L35">
        <v>19</v>
      </c>
      <c r="M35">
        <v>90</v>
      </c>
      <c r="N35" s="80">
        <v>138655</v>
      </c>
      <c r="O35" s="80">
        <v>81562</v>
      </c>
      <c r="P35" s="80">
        <v>38062</v>
      </c>
      <c r="Q35" s="80">
        <v>258279</v>
      </c>
      <c r="S35">
        <f t="shared" si="0"/>
        <v>18.739769561179479</v>
      </c>
    </row>
    <row r="36" spans="1:19">
      <c r="A36">
        <v>2</v>
      </c>
      <c r="B36">
        <v>2063</v>
      </c>
      <c r="C36" t="s">
        <v>3075</v>
      </c>
      <c r="D36" t="s">
        <v>3076</v>
      </c>
      <c r="E36" s="78">
        <v>44625</v>
      </c>
      <c r="F36" s="78">
        <v>45382</v>
      </c>
      <c r="G36">
        <v>2.1</v>
      </c>
      <c r="H36">
        <v>44.8</v>
      </c>
      <c r="I36">
        <v>9.5500000000000007</v>
      </c>
      <c r="J36">
        <v>6</v>
      </c>
      <c r="K36">
        <v>2.8</v>
      </c>
      <c r="L36">
        <v>18.350000000000001</v>
      </c>
      <c r="M36">
        <v>90</v>
      </c>
      <c r="N36" s="80">
        <v>38506</v>
      </c>
      <c r="O36" s="80">
        <v>24192</v>
      </c>
      <c r="P36" s="80">
        <v>11290</v>
      </c>
      <c r="Q36" s="80">
        <v>73988</v>
      </c>
      <c r="S36">
        <f t="shared" si="0"/>
        <v>18.098825831702545</v>
      </c>
    </row>
    <row r="37" spans="1:19">
      <c r="A37">
        <v>2</v>
      </c>
      <c r="B37">
        <v>2065</v>
      </c>
      <c r="C37" t="s">
        <v>3077</v>
      </c>
      <c r="D37" t="s">
        <v>3078</v>
      </c>
      <c r="E37" s="78">
        <v>44577</v>
      </c>
      <c r="F37" s="78">
        <v>45382</v>
      </c>
      <c r="G37">
        <v>2.2000000000000002</v>
      </c>
      <c r="H37">
        <v>78.239999999999995</v>
      </c>
      <c r="I37">
        <v>0</v>
      </c>
      <c r="J37">
        <v>0</v>
      </c>
      <c r="K37">
        <v>2.8</v>
      </c>
      <c r="L37">
        <v>2.8</v>
      </c>
      <c r="M37">
        <v>90</v>
      </c>
      <c r="N37" t="s">
        <v>3035</v>
      </c>
      <c r="O37" t="s">
        <v>3035</v>
      </c>
      <c r="P37" s="80">
        <v>19716</v>
      </c>
      <c r="Q37" s="80">
        <v>19716</v>
      </c>
      <c r="S37">
        <f t="shared" si="0"/>
        <v>2.761576603075889</v>
      </c>
    </row>
    <row r="38" spans="1:19">
      <c r="A38">
        <v>2</v>
      </c>
      <c r="B38">
        <v>2078</v>
      </c>
      <c r="C38" t="s">
        <v>3048</v>
      </c>
      <c r="D38" t="s">
        <v>3079</v>
      </c>
      <c r="E38" s="78">
        <v>44577</v>
      </c>
      <c r="F38" s="78">
        <v>45657</v>
      </c>
      <c r="G38">
        <v>3</v>
      </c>
      <c r="H38">
        <v>244.8</v>
      </c>
      <c r="I38">
        <v>6.2</v>
      </c>
      <c r="J38">
        <v>6</v>
      </c>
      <c r="K38">
        <v>2.8</v>
      </c>
      <c r="L38">
        <v>15</v>
      </c>
      <c r="M38">
        <v>90</v>
      </c>
      <c r="N38" s="80">
        <v>136598</v>
      </c>
      <c r="O38" s="80">
        <v>132192</v>
      </c>
      <c r="P38" s="80">
        <v>61690</v>
      </c>
      <c r="Q38" s="80">
        <v>330480</v>
      </c>
      <c r="S38">
        <f t="shared" si="0"/>
        <v>14.794520547945204</v>
      </c>
    </row>
    <row r="39" spans="1:19">
      <c r="A39">
        <v>2</v>
      </c>
      <c r="B39">
        <v>2087</v>
      </c>
      <c r="C39" t="s">
        <v>3080</v>
      </c>
      <c r="D39" t="s">
        <v>3081</v>
      </c>
      <c r="E39" s="78">
        <v>44577</v>
      </c>
      <c r="F39" s="78">
        <v>45382</v>
      </c>
      <c r="G39">
        <v>2.2000000000000002</v>
      </c>
      <c r="H39">
        <v>92.8</v>
      </c>
      <c r="I39">
        <v>12.7</v>
      </c>
      <c r="J39">
        <v>6</v>
      </c>
      <c r="K39">
        <v>2.8</v>
      </c>
      <c r="L39">
        <v>21.5</v>
      </c>
      <c r="M39">
        <v>90</v>
      </c>
      <c r="N39" s="80">
        <v>106070</v>
      </c>
      <c r="O39" s="80">
        <v>50112</v>
      </c>
      <c r="P39" s="80">
        <v>23386</v>
      </c>
      <c r="Q39" s="80">
        <v>179568</v>
      </c>
      <c r="S39">
        <f t="shared" si="0"/>
        <v>21.205479452054796</v>
      </c>
    </row>
    <row r="40" spans="1:19">
      <c r="A40">
        <v>2</v>
      </c>
      <c r="B40">
        <v>2088</v>
      </c>
      <c r="C40" t="s">
        <v>3082</v>
      </c>
      <c r="D40" t="s">
        <v>3083</v>
      </c>
      <c r="E40" s="78">
        <v>44577</v>
      </c>
      <c r="F40" s="78">
        <v>45382</v>
      </c>
      <c r="G40">
        <v>2.2000000000000002</v>
      </c>
      <c r="H40">
        <v>120.48</v>
      </c>
      <c r="K40">
        <v>2.8</v>
      </c>
      <c r="L40">
        <v>2.8</v>
      </c>
      <c r="M40">
        <v>90</v>
      </c>
      <c r="N40" t="s">
        <v>3035</v>
      </c>
      <c r="O40" t="s">
        <v>3035</v>
      </c>
      <c r="P40" s="80">
        <v>30361</v>
      </c>
      <c r="Q40" s="80">
        <v>30361</v>
      </c>
      <c r="S40">
        <f t="shared" si="0"/>
        <v>2.7616474740308172</v>
      </c>
    </row>
    <row r="41" spans="1:19">
      <c r="A41">
        <v>2</v>
      </c>
      <c r="B41">
        <v>2093</v>
      </c>
      <c r="C41" t="s">
        <v>3084</v>
      </c>
      <c r="D41" t="s">
        <v>3062</v>
      </c>
      <c r="E41" s="78">
        <v>44577</v>
      </c>
      <c r="F41" s="78">
        <v>45382</v>
      </c>
      <c r="G41">
        <v>2.2000000000000002</v>
      </c>
      <c r="H41">
        <v>88.32</v>
      </c>
      <c r="I41">
        <v>4.2</v>
      </c>
      <c r="J41">
        <v>6</v>
      </c>
      <c r="K41">
        <v>2.8</v>
      </c>
      <c r="L41">
        <v>13</v>
      </c>
      <c r="M41">
        <v>90</v>
      </c>
      <c r="N41" s="80">
        <v>33385</v>
      </c>
      <c r="O41" s="80">
        <v>47693</v>
      </c>
      <c r="P41" s="80">
        <v>22257</v>
      </c>
      <c r="Q41" s="80">
        <v>103335</v>
      </c>
      <c r="S41">
        <f t="shared" si="0"/>
        <v>12.82199225729601</v>
      </c>
    </row>
    <row r="42" spans="1:19">
      <c r="A42">
        <v>2</v>
      </c>
      <c r="B42">
        <v>2095</v>
      </c>
      <c r="C42" t="s">
        <v>3084</v>
      </c>
      <c r="D42" t="s">
        <v>3062</v>
      </c>
      <c r="E42" s="78">
        <v>44577</v>
      </c>
      <c r="F42" s="78">
        <v>45382</v>
      </c>
      <c r="G42">
        <v>2.2000000000000002</v>
      </c>
      <c r="H42">
        <v>242.56</v>
      </c>
      <c r="I42">
        <v>4.2</v>
      </c>
      <c r="J42">
        <v>6</v>
      </c>
      <c r="K42">
        <v>2.8</v>
      </c>
      <c r="L42">
        <v>13</v>
      </c>
      <c r="M42">
        <v>90</v>
      </c>
      <c r="N42" s="80">
        <v>91688</v>
      </c>
      <c r="O42" s="80">
        <v>130982</v>
      </c>
      <c r="P42" s="80">
        <v>61125</v>
      </c>
      <c r="Q42" s="80">
        <v>283795</v>
      </c>
      <c r="S42">
        <f t="shared" si="0"/>
        <v>12.821908772183468</v>
      </c>
    </row>
    <row r="43" spans="1:19" s="3623" customFormat="1">
      <c r="A43" s="3623">
        <v>2</v>
      </c>
      <c r="B43" s="3623">
        <v>2096</v>
      </c>
      <c r="C43" s="3623" t="s">
        <v>3047</v>
      </c>
      <c r="G43" s="3623">
        <v>0</v>
      </c>
      <c r="H43" s="3623">
        <v>134.56</v>
      </c>
      <c r="L43" s="3623" t="s">
        <v>3035</v>
      </c>
      <c r="N43" s="3623" t="s">
        <v>3035</v>
      </c>
      <c r="O43" s="3623" t="s">
        <v>3035</v>
      </c>
      <c r="P43" s="3623" t="s">
        <v>3035</v>
      </c>
      <c r="Q43" s="3623">
        <f>I42*H43*M42</f>
        <v>50863.680000000008</v>
      </c>
      <c r="S43" s="3623">
        <f t="shared" si="0"/>
        <v>4.1424657534246574</v>
      </c>
    </row>
    <row r="44" spans="1:19" s="3623" customFormat="1">
      <c r="A44" s="3623">
        <v>2</v>
      </c>
      <c r="B44" s="3623">
        <v>2097</v>
      </c>
      <c r="C44" s="3623" t="s">
        <v>3047</v>
      </c>
      <c r="G44" s="3623">
        <v>0</v>
      </c>
      <c r="H44" s="3623">
        <v>56.8</v>
      </c>
      <c r="L44" s="3623" t="s">
        <v>3035</v>
      </c>
      <c r="N44" s="3623" t="s">
        <v>3035</v>
      </c>
      <c r="O44" s="3623" t="s">
        <v>3035</v>
      </c>
      <c r="P44" s="3623" t="s">
        <v>3035</v>
      </c>
      <c r="Q44" s="3623">
        <f>L42*H44*M42</f>
        <v>66456</v>
      </c>
      <c r="S44" s="3623">
        <f t="shared" si="0"/>
        <v>12.821917808219178</v>
      </c>
    </row>
    <row r="45" spans="1:19" s="3623" customFormat="1">
      <c r="A45" s="3623">
        <v>2</v>
      </c>
      <c r="B45" s="3623">
        <v>2098</v>
      </c>
      <c r="C45" s="3623" t="s">
        <v>3047</v>
      </c>
      <c r="G45" s="3623">
        <v>0</v>
      </c>
      <c r="H45" s="3623">
        <v>88.24</v>
      </c>
      <c r="L45" s="3623" t="s">
        <v>3035</v>
      </c>
      <c r="N45" s="3623" t="s">
        <v>3035</v>
      </c>
      <c r="O45" s="3623" t="s">
        <v>3035</v>
      </c>
      <c r="P45" s="3623" t="s">
        <v>3035</v>
      </c>
      <c r="Q45" s="3623">
        <f>L42*H45*M42</f>
        <v>103240.79999999999</v>
      </c>
      <c r="S45" s="3623">
        <f t="shared" si="0"/>
        <v>12.821917808219178</v>
      </c>
    </row>
    <row r="46" spans="1:19">
      <c r="A46">
        <v>2</v>
      </c>
      <c r="B46">
        <v>2099</v>
      </c>
      <c r="C46" t="s">
        <v>3085</v>
      </c>
      <c r="D46" t="s">
        <v>3086</v>
      </c>
      <c r="E46" s="78">
        <v>44577</v>
      </c>
      <c r="F46" s="78">
        <v>45382</v>
      </c>
      <c r="G46">
        <v>2.2000000000000002</v>
      </c>
      <c r="H46">
        <v>151.68</v>
      </c>
      <c r="I46">
        <v>1.79</v>
      </c>
      <c r="J46">
        <v>3</v>
      </c>
      <c r="K46">
        <v>2.8</v>
      </c>
      <c r="L46">
        <v>7.59</v>
      </c>
      <c r="M46">
        <v>90</v>
      </c>
      <c r="N46" s="80">
        <v>24436</v>
      </c>
      <c r="O46" s="80">
        <v>40954</v>
      </c>
      <c r="P46" s="80">
        <v>38223</v>
      </c>
      <c r="Q46" s="80">
        <v>103613</v>
      </c>
      <c r="S46">
        <f t="shared" si="0"/>
        <v>7.4860557193225823</v>
      </c>
    </row>
    <row r="47" spans="1:19">
      <c r="A47">
        <v>2</v>
      </c>
      <c r="B47">
        <v>2101</v>
      </c>
      <c r="C47" t="s">
        <v>3087</v>
      </c>
      <c r="D47" t="s">
        <v>3088</v>
      </c>
      <c r="E47" s="78">
        <v>44577</v>
      </c>
      <c r="F47" s="78">
        <v>45382</v>
      </c>
      <c r="G47">
        <v>2.2000000000000002</v>
      </c>
      <c r="H47">
        <v>104.72</v>
      </c>
      <c r="K47">
        <v>2.8</v>
      </c>
      <c r="L47">
        <v>2.8</v>
      </c>
      <c r="M47">
        <v>90</v>
      </c>
      <c r="N47" t="s">
        <v>3035</v>
      </c>
      <c r="O47" t="s">
        <v>3035</v>
      </c>
      <c r="P47" s="80">
        <v>26389</v>
      </c>
      <c r="Q47" s="80">
        <v>26389</v>
      </c>
      <c r="S47">
        <f t="shared" si="0"/>
        <v>2.7615977898008519</v>
      </c>
    </row>
    <row r="48" spans="1:19">
      <c r="A48">
        <v>2</v>
      </c>
      <c r="B48">
        <v>2102</v>
      </c>
      <c r="C48" t="s">
        <v>3089</v>
      </c>
      <c r="G48">
        <v>0</v>
      </c>
      <c r="H48">
        <v>77.28</v>
      </c>
      <c r="I48">
        <v>0</v>
      </c>
      <c r="J48">
        <v>0</v>
      </c>
      <c r="K48">
        <v>2.8</v>
      </c>
      <c r="L48">
        <v>2.8</v>
      </c>
      <c r="M48">
        <v>90</v>
      </c>
      <c r="N48" t="s">
        <v>3035</v>
      </c>
      <c r="O48" t="s">
        <v>3035</v>
      </c>
      <c r="P48" s="80">
        <v>19475</v>
      </c>
      <c r="Q48" s="80">
        <v>19475</v>
      </c>
      <c r="S48">
        <f t="shared" si="0"/>
        <v>2.761706231033211</v>
      </c>
    </row>
    <row r="49" spans="1:19">
      <c r="A49">
        <v>2</v>
      </c>
      <c r="B49">
        <v>2103</v>
      </c>
      <c r="C49" t="s">
        <v>3090</v>
      </c>
      <c r="D49" t="s">
        <v>3091</v>
      </c>
      <c r="E49" s="78">
        <v>44805</v>
      </c>
      <c r="F49" s="78">
        <v>45535</v>
      </c>
      <c r="G49">
        <v>2</v>
      </c>
      <c r="H49">
        <v>100.96</v>
      </c>
      <c r="I49">
        <v>3.71</v>
      </c>
      <c r="K49">
        <v>2.8</v>
      </c>
      <c r="L49">
        <v>6.51</v>
      </c>
      <c r="M49">
        <v>90</v>
      </c>
      <c r="N49" s="80">
        <v>33711</v>
      </c>
      <c r="O49" t="s">
        <v>3035</v>
      </c>
      <c r="P49" s="80">
        <v>25442</v>
      </c>
      <c r="Q49" s="80">
        <v>59153</v>
      </c>
      <c r="S49">
        <f t="shared" si="0"/>
        <v>6.4208800989948553</v>
      </c>
    </row>
    <row r="50" spans="1:19">
      <c r="A50">
        <v>2</v>
      </c>
      <c r="B50">
        <v>2106</v>
      </c>
      <c r="C50" t="s">
        <v>3092</v>
      </c>
      <c r="D50" t="s">
        <v>3092</v>
      </c>
      <c r="E50" s="78">
        <v>44866</v>
      </c>
      <c r="F50" s="78">
        <v>44957</v>
      </c>
      <c r="G50">
        <v>0.2</v>
      </c>
      <c r="H50">
        <v>109.28</v>
      </c>
      <c r="K50">
        <v>2.8</v>
      </c>
      <c r="L50">
        <v>2.8</v>
      </c>
      <c r="M50">
        <v>90</v>
      </c>
      <c r="N50" t="s">
        <v>3035</v>
      </c>
      <c r="O50" t="s">
        <v>3035</v>
      </c>
      <c r="P50" s="80">
        <v>27539</v>
      </c>
      <c r="Q50" s="80">
        <v>27539</v>
      </c>
      <c r="S50">
        <f t="shared" si="0"/>
        <v>2.7616879600473334</v>
      </c>
    </row>
    <row r="51" spans="1:19" s="3623" customFormat="1">
      <c r="A51" s="3623">
        <v>2</v>
      </c>
      <c r="B51" s="3623">
        <v>2107</v>
      </c>
      <c r="C51" s="3623" t="s">
        <v>3047</v>
      </c>
      <c r="G51" s="3623">
        <v>0</v>
      </c>
      <c r="H51" s="3623">
        <v>383.2</v>
      </c>
      <c r="L51" s="3623" t="s">
        <v>3035</v>
      </c>
      <c r="M51" s="3623">
        <v>90</v>
      </c>
      <c r="N51" s="3623" t="s">
        <v>3035</v>
      </c>
      <c r="O51" s="3623" t="s">
        <v>3035</v>
      </c>
      <c r="P51" s="3623" t="s">
        <v>3035</v>
      </c>
      <c r="Q51" s="3623">
        <f>L50*H51*M50</f>
        <v>96566.39999999998</v>
      </c>
      <c r="S51" s="3623">
        <f t="shared" si="0"/>
        <v>2.7616438356164377</v>
      </c>
    </row>
    <row r="52" spans="1:19">
      <c r="A52">
        <v>2</v>
      </c>
      <c r="B52">
        <v>2128</v>
      </c>
      <c r="C52" t="s">
        <v>3058</v>
      </c>
      <c r="E52" s="78">
        <v>44577</v>
      </c>
      <c r="F52" s="78">
        <v>45382</v>
      </c>
      <c r="G52">
        <v>2.2000000000000002</v>
      </c>
      <c r="H52">
        <v>355.36</v>
      </c>
      <c r="I52">
        <v>3.6</v>
      </c>
      <c r="J52">
        <v>6</v>
      </c>
      <c r="K52">
        <v>2.8</v>
      </c>
      <c r="L52">
        <v>12.4</v>
      </c>
      <c r="M52">
        <v>90</v>
      </c>
      <c r="N52" s="80">
        <v>115137</v>
      </c>
      <c r="O52" s="80">
        <v>191894</v>
      </c>
      <c r="P52" s="80">
        <v>89551</v>
      </c>
      <c r="Q52" s="80">
        <v>396582</v>
      </c>
      <c r="S52">
        <f t="shared" si="0"/>
        <v>12.230144387632377</v>
      </c>
    </row>
    <row r="53" spans="1:19">
      <c r="A53">
        <v>2</v>
      </c>
      <c r="B53">
        <v>2137</v>
      </c>
      <c r="C53" t="s">
        <v>3093</v>
      </c>
      <c r="D53" t="s">
        <v>3094</v>
      </c>
      <c r="E53" s="78">
        <v>44577</v>
      </c>
      <c r="F53" s="78">
        <v>45382</v>
      </c>
      <c r="G53">
        <v>2.2000000000000002</v>
      </c>
      <c r="H53">
        <v>116.32</v>
      </c>
      <c r="I53">
        <v>2.5</v>
      </c>
      <c r="J53">
        <v>6</v>
      </c>
      <c r="K53">
        <v>2.8</v>
      </c>
      <c r="L53">
        <v>11.3</v>
      </c>
      <c r="M53">
        <v>90</v>
      </c>
      <c r="N53" s="80">
        <v>26172</v>
      </c>
      <c r="O53" s="80">
        <v>62813</v>
      </c>
      <c r="P53" s="80">
        <v>29313</v>
      </c>
      <c r="Q53" s="80">
        <v>118298</v>
      </c>
      <c r="S53">
        <f t="shared" si="0"/>
        <v>11.145258238962899</v>
      </c>
    </row>
    <row r="54" spans="1:19">
      <c r="A54">
        <v>2</v>
      </c>
      <c r="B54">
        <v>2141</v>
      </c>
      <c r="C54" t="s">
        <v>3095</v>
      </c>
      <c r="D54" t="s">
        <v>3096</v>
      </c>
      <c r="E54" s="78">
        <v>44577</v>
      </c>
      <c r="F54" s="78">
        <v>45382</v>
      </c>
      <c r="G54">
        <v>2.2000000000000002</v>
      </c>
      <c r="H54">
        <v>150.88</v>
      </c>
      <c r="I54">
        <v>4.2699999999999996</v>
      </c>
      <c r="J54">
        <v>6</v>
      </c>
      <c r="K54">
        <v>2.8</v>
      </c>
      <c r="L54">
        <v>13.07</v>
      </c>
      <c r="M54">
        <v>90</v>
      </c>
      <c r="N54" s="80">
        <v>57983</v>
      </c>
      <c r="O54" s="80">
        <v>81475</v>
      </c>
      <c r="P54" s="80">
        <v>38022</v>
      </c>
      <c r="Q54" s="80">
        <v>177480</v>
      </c>
      <c r="S54">
        <f t="shared" si="0"/>
        <v>12.890948444922209</v>
      </c>
    </row>
    <row r="55" spans="1:19">
      <c r="A55">
        <v>3</v>
      </c>
      <c r="B55">
        <v>3003</v>
      </c>
      <c r="C55" t="s">
        <v>3097</v>
      </c>
      <c r="D55" t="s">
        <v>3098</v>
      </c>
      <c r="E55" s="78">
        <v>44835</v>
      </c>
      <c r="F55" s="78">
        <v>45565</v>
      </c>
      <c r="G55">
        <v>2</v>
      </c>
      <c r="H55">
        <v>284.3</v>
      </c>
      <c r="I55">
        <v>4.2</v>
      </c>
      <c r="J55">
        <v>3</v>
      </c>
      <c r="K55">
        <v>2.8</v>
      </c>
      <c r="L55">
        <v>10</v>
      </c>
      <c r="M55">
        <v>90</v>
      </c>
      <c r="N55" s="80">
        <v>107465</v>
      </c>
      <c r="O55" s="80">
        <v>76761</v>
      </c>
      <c r="P55" s="80">
        <v>71644</v>
      </c>
      <c r="Q55" s="80">
        <v>255870</v>
      </c>
      <c r="S55">
        <f t="shared" si="0"/>
        <v>9.8630136986301373</v>
      </c>
    </row>
    <row r="56" spans="1:19">
      <c r="A56">
        <v>3</v>
      </c>
      <c r="B56">
        <v>3005</v>
      </c>
      <c r="C56" t="s">
        <v>3099</v>
      </c>
      <c r="G56">
        <v>0</v>
      </c>
      <c r="H56">
        <v>235.2</v>
      </c>
      <c r="I56">
        <v>0</v>
      </c>
      <c r="J56">
        <v>0</v>
      </c>
      <c r="K56">
        <v>2.8</v>
      </c>
      <c r="L56">
        <v>2.8</v>
      </c>
      <c r="M56">
        <v>90</v>
      </c>
      <c r="N56" t="s">
        <v>3035</v>
      </c>
      <c r="O56" t="s">
        <v>3035</v>
      </c>
      <c r="P56" s="80">
        <v>59270</v>
      </c>
      <c r="Q56" s="80">
        <v>59270</v>
      </c>
      <c r="S56">
        <f t="shared" si="0"/>
        <v>2.7616251980244151</v>
      </c>
    </row>
    <row r="57" spans="1:19">
      <c r="A57">
        <v>3</v>
      </c>
      <c r="B57">
        <v>3006</v>
      </c>
      <c r="C57" t="s">
        <v>3100</v>
      </c>
      <c r="D57" t="s">
        <v>3101</v>
      </c>
      <c r="E57" s="78">
        <v>44078</v>
      </c>
      <c r="F57" s="78">
        <v>45291</v>
      </c>
      <c r="G57">
        <v>3.3</v>
      </c>
      <c r="H57">
        <v>1100</v>
      </c>
      <c r="I57">
        <v>4.7</v>
      </c>
      <c r="J57">
        <v>0</v>
      </c>
      <c r="K57">
        <v>2.8</v>
      </c>
      <c r="L57">
        <v>7.5</v>
      </c>
      <c r="M57">
        <v>90</v>
      </c>
      <c r="N57" s="80">
        <v>465300</v>
      </c>
      <c r="O57" t="s">
        <v>3035</v>
      </c>
      <c r="P57" s="80">
        <v>277200</v>
      </c>
      <c r="Q57" s="80">
        <v>742500</v>
      </c>
      <c r="S57">
        <f t="shared" si="0"/>
        <v>7.397260273972603</v>
      </c>
    </row>
    <row r="58" spans="1:19">
      <c r="A58">
        <v>3</v>
      </c>
      <c r="B58">
        <v>3008</v>
      </c>
      <c r="C58" t="s">
        <v>3102</v>
      </c>
      <c r="D58" t="s">
        <v>3103</v>
      </c>
      <c r="E58" s="78">
        <v>43070</v>
      </c>
      <c r="F58" s="78">
        <v>45565</v>
      </c>
      <c r="G58">
        <v>6.8</v>
      </c>
      <c r="H58">
        <v>657</v>
      </c>
      <c r="I58">
        <v>5</v>
      </c>
      <c r="J58">
        <v>3</v>
      </c>
      <c r="K58">
        <v>2.8</v>
      </c>
      <c r="L58">
        <v>10.8</v>
      </c>
      <c r="M58">
        <v>90</v>
      </c>
      <c r="N58" s="80">
        <v>295650</v>
      </c>
      <c r="O58" s="80">
        <v>177390</v>
      </c>
      <c r="P58" s="80">
        <v>165564</v>
      </c>
      <c r="Q58" s="80">
        <v>638604</v>
      </c>
      <c r="S58">
        <f t="shared" si="0"/>
        <v>10.652054794520547</v>
      </c>
    </row>
    <row r="59" spans="1:19">
      <c r="A59">
        <v>3</v>
      </c>
      <c r="B59">
        <v>3019</v>
      </c>
      <c r="C59" t="s">
        <v>3102</v>
      </c>
      <c r="D59" t="s">
        <v>3103</v>
      </c>
      <c r="G59">
        <v>0</v>
      </c>
      <c r="H59">
        <v>303.10000000000002</v>
      </c>
      <c r="I59">
        <v>0</v>
      </c>
      <c r="J59">
        <v>0</v>
      </c>
      <c r="K59">
        <v>2.8</v>
      </c>
      <c r="L59">
        <v>2.8</v>
      </c>
      <c r="M59">
        <v>90</v>
      </c>
      <c r="N59" t="s">
        <v>3035</v>
      </c>
      <c r="O59" t="s">
        <v>3035</v>
      </c>
      <c r="P59" s="80">
        <v>76381</v>
      </c>
      <c r="Q59" s="80">
        <v>76381</v>
      </c>
      <c r="S59">
        <f t="shared" si="0"/>
        <v>2.7616366044029053</v>
      </c>
    </row>
    <row r="60" spans="1:19">
      <c r="A60">
        <v>3</v>
      </c>
      <c r="B60">
        <v>3021</v>
      </c>
      <c r="C60" t="s">
        <v>3104</v>
      </c>
      <c r="D60" t="s">
        <v>3105</v>
      </c>
      <c r="E60" s="78">
        <v>43466</v>
      </c>
      <c r="F60" s="78">
        <v>45016</v>
      </c>
      <c r="G60">
        <v>4.2</v>
      </c>
      <c r="H60">
        <v>274.8</v>
      </c>
      <c r="I60">
        <v>6.3</v>
      </c>
      <c r="J60">
        <v>3</v>
      </c>
      <c r="K60">
        <v>2.8</v>
      </c>
      <c r="L60">
        <v>12.1</v>
      </c>
      <c r="M60">
        <v>90</v>
      </c>
      <c r="N60" s="80">
        <v>155812</v>
      </c>
      <c r="O60" s="80">
        <v>74196</v>
      </c>
      <c r="P60" s="80">
        <v>69250</v>
      </c>
      <c r="Q60" s="80">
        <v>299258</v>
      </c>
      <c r="S60">
        <f t="shared" si="0"/>
        <v>11.93427847899344</v>
      </c>
    </row>
    <row r="61" spans="1:19">
      <c r="A61">
        <v>3</v>
      </c>
      <c r="B61">
        <v>3022</v>
      </c>
      <c r="C61" t="s">
        <v>3105</v>
      </c>
      <c r="D61" t="s">
        <v>3105</v>
      </c>
      <c r="E61" s="78">
        <v>43997</v>
      </c>
      <c r="F61" s="78">
        <v>44651</v>
      </c>
      <c r="G61">
        <v>1.8</v>
      </c>
      <c r="H61">
        <v>188.2</v>
      </c>
      <c r="I61">
        <v>3.2</v>
      </c>
      <c r="J61">
        <v>3</v>
      </c>
      <c r="K61">
        <v>2.8</v>
      </c>
      <c r="L61">
        <v>9</v>
      </c>
      <c r="M61">
        <v>90</v>
      </c>
      <c r="N61" s="80">
        <v>54202</v>
      </c>
      <c r="O61" s="80">
        <v>50814</v>
      </c>
      <c r="P61" s="80">
        <v>47426</v>
      </c>
      <c r="Q61" s="80">
        <v>152442</v>
      </c>
      <c r="S61">
        <f t="shared" si="0"/>
        <v>8.8767123287671232</v>
      </c>
    </row>
    <row r="62" spans="1:19">
      <c r="A62">
        <v>3</v>
      </c>
      <c r="B62">
        <v>3023</v>
      </c>
      <c r="C62" t="s">
        <v>3106</v>
      </c>
      <c r="D62" t="s">
        <v>3107</v>
      </c>
      <c r="E62" s="78">
        <v>44287</v>
      </c>
      <c r="F62" s="78">
        <v>45016</v>
      </c>
      <c r="G62">
        <v>2</v>
      </c>
      <c r="H62">
        <v>145.1</v>
      </c>
      <c r="I62">
        <v>9.6</v>
      </c>
      <c r="J62">
        <v>3</v>
      </c>
      <c r="K62">
        <v>2.8</v>
      </c>
      <c r="L62">
        <v>15.4</v>
      </c>
      <c r="M62">
        <v>90</v>
      </c>
      <c r="N62" s="80">
        <v>125366</v>
      </c>
      <c r="O62" s="80">
        <v>39177</v>
      </c>
      <c r="P62" s="80">
        <v>36565</v>
      </c>
      <c r="Q62" s="80">
        <v>201108</v>
      </c>
      <c r="S62">
        <f t="shared" si="0"/>
        <v>15.188995779953364</v>
      </c>
    </row>
    <row r="63" spans="1:19">
      <c r="A63">
        <v>3</v>
      </c>
      <c r="B63">
        <v>3026</v>
      </c>
      <c r="C63" t="s">
        <v>3108</v>
      </c>
      <c r="D63" t="s">
        <v>3109</v>
      </c>
      <c r="E63" s="78">
        <v>44835</v>
      </c>
      <c r="F63" s="78">
        <v>45565</v>
      </c>
      <c r="G63">
        <v>2</v>
      </c>
      <c r="H63">
        <v>149.19999999999999</v>
      </c>
      <c r="I63">
        <v>4.2</v>
      </c>
      <c r="J63">
        <v>3</v>
      </c>
      <c r="K63">
        <v>2.8</v>
      </c>
      <c r="L63">
        <v>10</v>
      </c>
      <c r="M63">
        <v>90</v>
      </c>
      <c r="N63" s="80">
        <v>56398</v>
      </c>
      <c r="O63" s="80">
        <v>40284</v>
      </c>
      <c r="P63" s="80">
        <v>37598</v>
      </c>
      <c r="Q63" s="80">
        <v>134280</v>
      </c>
      <c r="S63">
        <f t="shared" si="0"/>
        <v>9.8630136986301373</v>
      </c>
    </row>
    <row r="64" spans="1:19">
      <c r="A64">
        <v>3</v>
      </c>
      <c r="B64">
        <v>3028</v>
      </c>
      <c r="C64" t="s">
        <v>3110</v>
      </c>
      <c r="D64" t="s">
        <v>3111</v>
      </c>
      <c r="E64" s="78">
        <v>44652</v>
      </c>
      <c r="F64" s="78">
        <v>45382</v>
      </c>
      <c r="G64">
        <v>2</v>
      </c>
      <c r="H64">
        <v>83.3</v>
      </c>
      <c r="I64">
        <v>9.8000000000000007</v>
      </c>
      <c r="J64">
        <v>3</v>
      </c>
      <c r="K64">
        <v>2.8</v>
      </c>
      <c r="L64">
        <v>15.6</v>
      </c>
      <c r="M64">
        <v>90</v>
      </c>
      <c r="N64" s="80">
        <v>73471</v>
      </c>
      <c r="O64" s="80">
        <v>22491</v>
      </c>
      <c r="P64" s="80">
        <v>20992</v>
      </c>
      <c r="Q64" s="80">
        <v>116954</v>
      </c>
      <c r="S64">
        <f t="shared" si="0"/>
        <v>15.386406617441498</v>
      </c>
    </row>
    <row r="65" spans="1:19">
      <c r="A65">
        <v>3</v>
      </c>
      <c r="B65">
        <v>3037</v>
      </c>
      <c r="C65" t="s">
        <v>3112</v>
      </c>
      <c r="D65" t="s">
        <v>3113</v>
      </c>
      <c r="E65" s="78">
        <v>43435</v>
      </c>
      <c r="F65" s="78">
        <v>44530</v>
      </c>
      <c r="G65">
        <v>3</v>
      </c>
      <c r="H65">
        <v>285.10000000000002</v>
      </c>
      <c r="I65">
        <v>4.2</v>
      </c>
      <c r="J65">
        <v>3</v>
      </c>
      <c r="K65">
        <v>2.8</v>
      </c>
      <c r="L65">
        <v>10</v>
      </c>
      <c r="M65">
        <v>90</v>
      </c>
      <c r="N65" s="80">
        <v>107768</v>
      </c>
      <c r="O65" s="80">
        <v>76977</v>
      </c>
      <c r="P65" s="80">
        <v>71845</v>
      </c>
      <c r="Q65" s="80">
        <v>256590</v>
      </c>
      <c r="S65">
        <f t="shared" si="0"/>
        <v>9.8630136986301356</v>
      </c>
    </row>
    <row r="66" spans="1:19">
      <c r="A66">
        <v>4</v>
      </c>
      <c r="B66">
        <v>4003</v>
      </c>
      <c r="C66" t="s">
        <v>3114</v>
      </c>
      <c r="D66" t="s">
        <v>3115</v>
      </c>
      <c r="E66" s="78">
        <v>44652</v>
      </c>
      <c r="F66" s="78">
        <v>45382</v>
      </c>
      <c r="G66">
        <v>2</v>
      </c>
      <c r="H66">
        <v>351.2</v>
      </c>
      <c r="I66">
        <v>4.03</v>
      </c>
      <c r="J66">
        <v>3</v>
      </c>
      <c r="K66">
        <v>2.8</v>
      </c>
      <c r="L66">
        <v>9.83</v>
      </c>
      <c r="M66">
        <v>90</v>
      </c>
      <c r="N66" s="80">
        <v>127380</v>
      </c>
      <c r="O66" s="80">
        <v>94824</v>
      </c>
      <c r="P66" s="80">
        <v>88502</v>
      </c>
      <c r="Q66" s="80">
        <v>310706</v>
      </c>
      <c r="S66">
        <f t="shared" si="0"/>
        <v>9.6953224950853443</v>
      </c>
    </row>
    <row r="67" spans="1:19">
      <c r="A67">
        <v>4</v>
      </c>
      <c r="B67">
        <v>4006</v>
      </c>
      <c r="C67" t="s">
        <v>3116</v>
      </c>
      <c r="D67" t="s">
        <v>3117</v>
      </c>
      <c r="E67" s="78">
        <v>44845</v>
      </c>
      <c r="F67" s="78">
        <v>45565</v>
      </c>
      <c r="G67">
        <v>2</v>
      </c>
      <c r="H67">
        <v>265.60000000000002</v>
      </c>
      <c r="I67">
        <v>3.39</v>
      </c>
      <c r="J67">
        <v>0</v>
      </c>
      <c r="K67">
        <v>2.8</v>
      </c>
      <c r="L67">
        <v>6.19</v>
      </c>
      <c r="M67">
        <v>90</v>
      </c>
      <c r="N67" s="80">
        <v>81035</v>
      </c>
      <c r="O67" t="s">
        <v>3035</v>
      </c>
      <c r="P67" s="80">
        <v>66931</v>
      </c>
      <c r="Q67" s="80">
        <v>147966</v>
      </c>
      <c r="S67">
        <f t="shared" si="0"/>
        <v>6.10521538207625</v>
      </c>
    </row>
    <row r="68" spans="1:19">
      <c r="A68">
        <v>4</v>
      </c>
      <c r="B68">
        <v>4007</v>
      </c>
      <c r="C68" t="s">
        <v>3118</v>
      </c>
      <c r="D68" t="s">
        <v>3119</v>
      </c>
      <c r="E68" s="78">
        <v>44844</v>
      </c>
      <c r="F68" s="78">
        <v>45565</v>
      </c>
      <c r="G68">
        <v>2</v>
      </c>
      <c r="H68">
        <v>233.28</v>
      </c>
      <c r="I68">
        <v>3.95</v>
      </c>
      <c r="J68">
        <v>1</v>
      </c>
      <c r="K68">
        <v>2.8</v>
      </c>
      <c r="L68">
        <v>7.75</v>
      </c>
      <c r="M68">
        <v>90</v>
      </c>
      <c r="N68" s="80">
        <v>82931</v>
      </c>
      <c r="O68" s="80">
        <v>20995</v>
      </c>
      <c r="P68" s="80">
        <v>58787</v>
      </c>
      <c r="Q68" s="80">
        <v>162713</v>
      </c>
      <c r="S68">
        <f t="shared" si="0"/>
        <v>7.6438450119322772</v>
      </c>
    </row>
    <row r="69" spans="1:19">
      <c r="A69">
        <v>4</v>
      </c>
      <c r="B69">
        <v>4008</v>
      </c>
      <c r="C69" t="s">
        <v>3120</v>
      </c>
      <c r="D69" t="s">
        <v>3121</v>
      </c>
      <c r="E69" s="78">
        <v>44652</v>
      </c>
      <c r="F69" s="78">
        <v>45016</v>
      </c>
      <c r="G69">
        <v>1</v>
      </c>
      <c r="H69">
        <v>451.5</v>
      </c>
      <c r="I69">
        <v>0.9</v>
      </c>
      <c r="K69">
        <v>2.8</v>
      </c>
      <c r="L69">
        <v>3.7</v>
      </c>
      <c r="M69">
        <v>90</v>
      </c>
      <c r="N69" s="80">
        <v>36572</v>
      </c>
      <c r="O69" t="s">
        <v>3035</v>
      </c>
      <c r="P69" s="80">
        <v>113778</v>
      </c>
      <c r="Q69" s="80">
        <v>150350</v>
      </c>
      <c r="S69">
        <f t="shared" si="0"/>
        <v>3.6493272045995844</v>
      </c>
    </row>
    <row r="70" spans="1:19">
      <c r="A70">
        <v>4</v>
      </c>
      <c r="B70">
        <v>4010</v>
      </c>
      <c r="C70" t="s">
        <v>3122</v>
      </c>
      <c r="D70" t="s">
        <v>3123</v>
      </c>
      <c r="E70" s="78">
        <v>44413</v>
      </c>
      <c r="F70" s="78">
        <v>45138</v>
      </c>
      <c r="G70">
        <v>2</v>
      </c>
      <c r="H70">
        <v>182.88</v>
      </c>
      <c r="I70">
        <v>4.2</v>
      </c>
      <c r="J70">
        <v>3</v>
      </c>
      <c r="K70">
        <v>2.8</v>
      </c>
      <c r="L70">
        <v>10</v>
      </c>
      <c r="M70">
        <v>90</v>
      </c>
      <c r="N70" s="80">
        <v>69129</v>
      </c>
      <c r="O70" s="80">
        <v>49378</v>
      </c>
      <c r="P70" s="80">
        <v>46086</v>
      </c>
      <c r="Q70" s="80">
        <v>164593</v>
      </c>
      <c r="S70">
        <f t="shared" ref="S70:S126" si="1">Q70*4/365/H70</f>
        <v>9.8630736226464855</v>
      </c>
    </row>
    <row r="71" spans="1:19">
      <c r="A71">
        <v>4</v>
      </c>
      <c r="B71">
        <v>4013</v>
      </c>
      <c r="C71" t="s">
        <v>3124</v>
      </c>
      <c r="D71" t="s">
        <v>3125</v>
      </c>
      <c r="E71" s="78">
        <v>44652</v>
      </c>
      <c r="F71" s="78">
        <v>45382</v>
      </c>
      <c r="G71">
        <v>2</v>
      </c>
      <c r="H71">
        <v>279.5</v>
      </c>
      <c r="I71">
        <v>4.7</v>
      </c>
      <c r="J71">
        <v>3</v>
      </c>
      <c r="K71">
        <v>2.8</v>
      </c>
      <c r="L71">
        <v>10.5</v>
      </c>
      <c r="M71">
        <v>90</v>
      </c>
      <c r="N71" s="80">
        <v>118229</v>
      </c>
      <c r="O71" s="80">
        <v>75465</v>
      </c>
      <c r="P71" s="80">
        <v>70434</v>
      </c>
      <c r="Q71" s="80">
        <v>264128</v>
      </c>
      <c r="S71">
        <f t="shared" si="1"/>
        <v>10.356183988041268</v>
      </c>
    </row>
    <row r="72" spans="1:19">
      <c r="A72">
        <v>4</v>
      </c>
      <c r="B72">
        <v>4015</v>
      </c>
      <c r="C72" t="s">
        <v>3124</v>
      </c>
      <c r="D72" t="s">
        <v>3126</v>
      </c>
      <c r="E72" s="78">
        <v>44880</v>
      </c>
      <c r="F72" s="78">
        <v>45382</v>
      </c>
      <c r="G72">
        <v>1.4</v>
      </c>
      <c r="H72">
        <v>120.8</v>
      </c>
      <c r="I72">
        <v>4.7</v>
      </c>
      <c r="J72">
        <v>3</v>
      </c>
      <c r="K72">
        <v>2.8</v>
      </c>
      <c r="L72">
        <v>10.5</v>
      </c>
      <c r="M72">
        <v>90</v>
      </c>
      <c r="N72" s="80">
        <v>51098</v>
      </c>
      <c r="O72" s="80">
        <v>32616</v>
      </c>
      <c r="P72" s="80">
        <v>30442</v>
      </c>
      <c r="Q72" s="80">
        <v>114156</v>
      </c>
      <c r="S72">
        <f t="shared" si="1"/>
        <v>10.356164383561644</v>
      </c>
    </row>
    <row r="73" spans="1:19">
      <c r="A73">
        <v>4</v>
      </c>
      <c r="B73">
        <v>4016</v>
      </c>
      <c r="C73" t="s">
        <v>3127</v>
      </c>
      <c r="D73" t="s">
        <v>3128</v>
      </c>
      <c r="E73" s="78">
        <v>44387</v>
      </c>
      <c r="F73" s="78">
        <v>45138</v>
      </c>
      <c r="G73">
        <v>2.1</v>
      </c>
      <c r="H73">
        <v>117.92</v>
      </c>
      <c r="I73">
        <v>5.2</v>
      </c>
      <c r="J73">
        <v>3</v>
      </c>
      <c r="K73">
        <v>2.8</v>
      </c>
      <c r="L73">
        <v>11</v>
      </c>
      <c r="M73">
        <v>90</v>
      </c>
      <c r="N73" s="80">
        <v>55187</v>
      </c>
      <c r="O73" s="80">
        <v>31838</v>
      </c>
      <c r="P73" s="80">
        <v>29716</v>
      </c>
      <c r="Q73" s="80">
        <v>116741</v>
      </c>
      <c r="S73">
        <f t="shared" si="1"/>
        <v>10.849333655508262</v>
      </c>
    </row>
    <row r="74" spans="1:19" s="3623" customFormat="1">
      <c r="A74" s="3623">
        <v>4</v>
      </c>
      <c r="B74" s="3623">
        <v>4017</v>
      </c>
      <c r="C74" s="3623" t="s">
        <v>3047</v>
      </c>
      <c r="G74" s="3623">
        <v>0</v>
      </c>
      <c r="H74" s="3623">
        <v>41.92</v>
      </c>
      <c r="L74" s="3623" t="s">
        <v>3035</v>
      </c>
      <c r="N74" s="3623" t="s">
        <v>3035</v>
      </c>
      <c r="O74" s="3623" t="s">
        <v>3035</v>
      </c>
      <c r="P74" s="3623" t="s">
        <v>3035</v>
      </c>
      <c r="Q74" s="3623">
        <f>L73*H74*M73</f>
        <v>41500.800000000003</v>
      </c>
      <c r="S74" s="3623">
        <f t="shared" si="1"/>
        <v>10.849315068493151</v>
      </c>
    </row>
    <row r="75" spans="1:19">
      <c r="A75">
        <v>4</v>
      </c>
      <c r="B75">
        <v>4018</v>
      </c>
      <c r="C75" t="s">
        <v>3129</v>
      </c>
      <c r="D75" t="s">
        <v>3130</v>
      </c>
      <c r="E75" s="78">
        <v>44397</v>
      </c>
      <c r="F75" s="78">
        <v>45138</v>
      </c>
      <c r="G75">
        <v>2</v>
      </c>
      <c r="H75">
        <v>70.400000000000006</v>
      </c>
      <c r="I75">
        <v>5.2</v>
      </c>
      <c r="J75">
        <v>3</v>
      </c>
      <c r="K75">
        <v>2.8</v>
      </c>
      <c r="L75">
        <v>11</v>
      </c>
      <c r="M75">
        <v>90</v>
      </c>
      <c r="N75" s="80">
        <v>32947</v>
      </c>
      <c r="O75" s="80">
        <v>19008</v>
      </c>
      <c r="P75" s="80">
        <v>17741</v>
      </c>
      <c r="Q75" s="80">
        <v>69696</v>
      </c>
      <c r="S75">
        <f t="shared" si="1"/>
        <v>10.84931506849315</v>
      </c>
    </row>
    <row r="76" spans="1:19">
      <c r="A76">
        <v>4</v>
      </c>
      <c r="B76">
        <v>4026</v>
      </c>
      <c r="C76" t="s">
        <v>3131</v>
      </c>
      <c r="D76" t="s">
        <v>3132</v>
      </c>
      <c r="E76" s="78">
        <v>43922</v>
      </c>
      <c r="F76" s="78">
        <v>44286</v>
      </c>
      <c r="G76">
        <v>1</v>
      </c>
      <c r="H76">
        <v>178</v>
      </c>
      <c r="I76">
        <v>2.1</v>
      </c>
      <c r="J76">
        <v>1</v>
      </c>
      <c r="K76">
        <v>2.8</v>
      </c>
      <c r="L76">
        <v>5.9</v>
      </c>
      <c r="M76">
        <v>90</v>
      </c>
      <c r="N76" s="80">
        <v>33642</v>
      </c>
      <c r="O76" s="80">
        <v>16020</v>
      </c>
      <c r="P76" s="80">
        <v>44856</v>
      </c>
      <c r="Q76" s="80">
        <v>94518</v>
      </c>
      <c r="S76">
        <f t="shared" si="1"/>
        <v>5.8191780821917805</v>
      </c>
    </row>
    <row r="77" spans="1:19">
      <c r="A77">
        <v>4</v>
      </c>
      <c r="B77">
        <v>4032</v>
      </c>
      <c r="C77" t="s">
        <v>3133</v>
      </c>
      <c r="D77" t="s">
        <v>3081</v>
      </c>
      <c r="E77" s="78">
        <v>44409</v>
      </c>
      <c r="F77" s="78">
        <v>45138</v>
      </c>
      <c r="G77">
        <v>2</v>
      </c>
      <c r="H77">
        <v>142.4</v>
      </c>
      <c r="I77">
        <v>10.199999999999999</v>
      </c>
      <c r="J77">
        <v>3</v>
      </c>
      <c r="K77">
        <v>2.8</v>
      </c>
      <c r="L77">
        <v>16</v>
      </c>
      <c r="M77">
        <v>90</v>
      </c>
      <c r="N77" s="80">
        <v>130723</v>
      </c>
      <c r="O77" s="80">
        <v>38448</v>
      </c>
      <c r="P77" s="80">
        <v>35885</v>
      </c>
      <c r="Q77" s="80">
        <v>205056</v>
      </c>
      <c r="S77">
        <f t="shared" si="1"/>
        <v>15.780821917808218</v>
      </c>
    </row>
    <row r="78" spans="1:19">
      <c r="A78">
        <v>4</v>
      </c>
      <c r="B78">
        <v>4033</v>
      </c>
      <c r="C78" t="s">
        <v>3134</v>
      </c>
      <c r="D78" t="s">
        <v>3135</v>
      </c>
      <c r="E78" s="78">
        <v>44652</v>
      </c>
      <c r="F78" s="78">
        <v>45382</v>
      </c>
      <c r="G78">
        <v>2</v>
      </c>
      <c r="H78">
        <v>451</v>
      </c>
      <c r="I78">
        <v>4.5</v>
      </c>
      <c r="J78">
        <v>3</v>
      </c>
      <c r="K78">
        <v>2.8</v>
      </c>
      <c r="L78">
        <v>10.3</v>
      </c>
      <c r="M78">
        <v>90</v>
      </c>
      <c r="N78" s="80">
        <v>182655</v>
      </c>
      <c r="O78" s="80">
        <v>121770</v>
      </c>
      <c r="P78" s="80">
        <v>113652</v>
      </c>
      <c r="Q78" s="80">
        <v>418077</v>
      </c>
      <c r="S78">
        <f t="shared" si="1"/>
        <v>10.158904109589042</v>
      </c>
    </row>
    <row r="79" spans="1:19" s="3623" customFormat="1">
      <c r="A79" s="3623">
        <v>4</v>
      </c>
      <c r="B79" s="3623">
        <v>4088</v>
      </c>
      <c r="C79" s="3623" t="s">
        <v>3047</v>
      </c>
      <c r="G79" s="3623">
        <v>0</v>
      </c>
      <c r="H79" s="3623">
        <v>409.2</v>
      </c>
      <c r="L79" s="3623" t="s">
        <v>3035</v>
      </c>
      <c r="N79" s="3623" t="s">
        <v>3035</v>
      </c>
      <c r="O79" s="3623" t="s">
        <v>3035</v>
      </c>
      <c r="P79" s="3623" t="s">
        <v>3035</v>
      </c>
      <c r="Q79" s="3623">
        <f>L78*H79*M78</f>
        <v>379328.4</v>
      </c>
      <c r="S79" s="3623">
        <f t="shared" si="1"/>
        <v>10.158904109589042</v>
      </c>
    </row>
    <row r="80" spans="1:19">
      <c r="A80">
        <v>4</v>
      </c>
      <c r="B80">
        <v>4089</v>
      </c>
      <c r="C80" t="s">
        <v>3136</v>
      </c>
      <c r="D80" t="s">
        <v>3136</v>
      </c>
      <c r="G80">
        <v>0</v>
      </c>
      <c r="H80">
        <v>188.48</v>
      </c>
      <c r="I80">
        <v>0</v>
      </c>
      <c r="J80">
        <v>0</v>
      </c>
      <c r="K80">
        <v>2.8</v>
      </c>
      <c r="L80">
        <v>2.8</v>
      </c>
      <c r="M80">
        <v>90</v>
      </c>
      <c r="N80" t="s">
        <v>3035</v>
      </c>
      <c r="O80" t="s">
        <v>3035</v>
      </c>
      <c r="P80" s="80">
        <v>47497</v>
      </c>
      <c r="Q80" s="80">
        <v>47497</v>
      </c>
      <c r="S80">
        <f t="shared" si="1"/>
        <v>2.7616461613600949</v>
      </c>
    </row>
    <row r="81" spans="1:19">
      <c r="A81">
        <v>5</v>
      </c>
      <c r="B81">
        <v>5001</v>
      </c>
      <c r="C81" t="s">
        <v>3137</v>
      </c>
      <c r="D81" t="s">
        <v>3138</v>
      </c>
      <c r="E81" s="78">
        <v>44287</v>
      </c>
      <c r="F81" s="78">
        <v>45382</v>
      </c>
      <c r="G81">
        <v>3</v>
      </c>
      <c r="H81">
        <v>113.1</v>
      </c>
      <c r="I81">
        <v>10.199999999999999</v>
      </c>
      <c r="J81">
        <v>1</v>
      </c>
      <c r="K81">
        <v>2.8</v>
      </c>
      <c r="L81">
        <v>14</v>
      </c>
      <c r="M81">
        <v>90</v>
      </c>
      <c r="N81" s="80">
        <v>103826</v>
      </c>
      <c r="O81" s="80">
        <v>10179</v>
      </c>
      <c r="P81" s="80">
        <v>28501</v>
      </c>
      <c r="Q81" s="80">
        <v>142506</v>
      </c>
      <c r="S81">
        <f t="shared" si="1"/>
        <v>13.808219178082192</v>
      </c>
    </row>
    <row r="82" spans="1:19">
      <c r="A82">
        <v>5</v>
      </c>
      <c r="B82">
        <v>5002</v>
      </c>
      <c r="C82" t="s">
        <v>3139</v>
      </c>
      <c r="D82" t="s">
        <v>3140</v>
      </c>
      <c r="E82" s="78">
        <v>44392</v>
      </c>
      <c r="F82" s="78">
        <v>45473</v>
      </c>
      <c r="G82">
        <v>3</v>
      </c>
      <c r="H82">
        <v>296</v>
      </c>
      <c r="I82">
        <v>7.2</v>
      </c>
      <c r="J82">
        <v>1</v>
      </c>
      <c r="K82">
        <v>2.8</v>
      </c>
      <c r="L82">
        <v>11</v>
      </c>
      <c r="M82">
        <v>90</v>
      </c>
      <c r="N82" s="80">
        <v>191808</v>
      </c>
      <c r="O82" s="80">
        <v>26640</v>
      </c>
      <c r="P82" s="80">
        <v>74592</v>
      </c>
      <c r="Q82" s="80">
        <v>293040</v>
      </c>
      <c r="S82">
        <f t="shared" si="1"/>
        <v>10.849315068493151</v>
      </c>
    </row>
    <row r="83" spans="1:19">
      <c r="A83">
        <v>5</v>
      </c>
      <c r="B83">
        <v>5003</v>
      </c>
      <c r="C83" t="s">
        <v>3141</v>
      </c>
      <c r="D83" t="s">
        <v>3142</v>
      </c>
      <c r="E83" s="78">
        <v>44393</v>
      </c>
      <c r="G83">
        <v>-121.6</v>
      </c>
      <c r="H83">
        <v>113.9</v>
      </c>
      <c r="I83">
        <v>2.7</v>
      </c>
      <c r="J83">
        <v>1</v>
      </c>
      <c r="K83">
        <v>2.8</v>
      </c>
      <c r="L83">
        <v>6.5</v>
      </c>
      <c r="M83">
        <v>90</v>
      </c>
      <c r="N83" s="80">
        <v>27678</v>
      </c>
      <c r="O83" s="80">
        <v>10251</v>
      </c>
      <c r="P83" s="80">
        <v>28703</v>
      </c>
      <c r="Q83" s="80">
        <v>66632</v>
      </c>
      <c r="S83">
        <f t="shared" si="1"/>
        <v>6.4110070116781115</v>
      </c>
    </row>
    <row r="84" spans="1:19">
      <c r="A84">
        <v>5</v>
      </c>
      <c r="B84">
        <v>5005</v>
      </c>
      <c r="C84" t="s">
        <v>3143</v>
      </c>
      <c r="D84" t="s">
        <v>3144</v>
      </c>
      <c r="E84" s="78">
        <v>44409</v>
      </c>
      <c r="F84" s="78">
        <v>45504</v>
      </c>
      <c r="G84">
        <v>3</v>
      </c>
      <c r="H84">
        <v>108.1</v>
      </c>
      <c r="I84">
        <v>5.7</v>
      </c>
      <c r="J84">
        <v>1</v>
      </c>
      <c r="K84">
        <v>2.8</v>
      </c>
      <c r="L84">
        <v>9.5</v>
      </c>
      <c r="M84">
        <v>90</v>
      </c>
      <c r="N84" s="80">
        <v>55455</v>
      </c>
      <c r="O84" s="80">
        <v>9729</v>
      </c>
      <c r="P84" s="80">
        <v>27241</v>
      </c>
      <c r="Q84" s="80">
        <v>92425</v>
      </c>
      <c r="S84">
        <f t="shared" si="1"/>
        <v>9.3698123249654692</v>
      </c>
    </row>
    <row r="85" spans="1:19">
      <c r="A85">
        <v>5</v>
      </c>
      <c r="B85">
        <v>5006</v>
      </c>
      <c r="C85" t="s">
        <v>3145</v>
      </c>
      <c r="D85" t="s">
        <v>3146</v>
      </c>
      <c r="E85" s="78">
        <v>44520</v>
      </c>
      <c r="F85" s="78">
        <v>45747</v>
      </c>
      <c r="G85">
        <v>3.4</v>
      </c>
      <c r="H85">
        <v>509.28</v>
      </c>
      <c r="I85">
        <v>5.2</v>
      </c>
      <c r="J85">
        <v>1</v>
      </c>
      <c r="K85">
        <v>2.8</v>
      </c>
      <c r="L85">
        <v>9</v>
      </c>
      <c r="M85">
        <v>90</v>
      </c>
      <c r="N85" s="80">
        <v>238343</v>
      </c>
      <c r="O85" s="80">
        <v>45835</v>
      </c>
      <c r="P85" s="80">
        <v>128339</v>
      </c>
      <c r="Q85" s="80">
        <v>412517</v>
      </c>
      <c r="S85">
        <f t="shared" si="1"/>
        <v>8.8767166324523696</v>
      </c>
    </row>
    <row r="86" spans="1:19">
      <c r="A86">
        <v>5</v>
      </c>
      <c r="B86">
        <v>5007</v>
      </c>
      <c r="C86" t="s">
        <v>3147</v>
      </c>
      <c r="D86" t="s">
        <v>3148</v>
      </c>
      <c r="E86" s="78">
        <v>44287</v>
      </c>
      <c r="F86" s="78">
        <v>45016</v>
      </c>
      <c r="G86">
        <v>2</v>
      </c>
      <c r="H86">
        <v>164.21</v>
      </c>
      <c r="I86">
        <v>11.7</v>
      </c>
      <c r="J86">
        <v>1</v>
      </c>
      <c r="K86">
        <v>2.8</v>
      </c>
      <c r="L86">
        <v>15.5</v>
      </c>
      <c r="M86">
        <v>90</v>
      </c>
      <c r="N86" s="80">
        <v>172913</v>
      </c>
      <c r="O86" s="80">
        <v>14779</v>
      </c>
      <c r="P86" s="80">
        <v>41381</v>
      </c>
      <c r="Q86" s="80">
        <v>229073</v>
      </c>
      <c r="S86">
        <f t="shared" si="1"/>
        <v>15.287674569733207</v>
      </c>
    </row>
    <row r="87" spans="1:19">
      <c r="A87">
        <v>5</v>
      </c>
      <c r="B87">
        <v>5009</v>
      </c>
      <c r="C87" t="s">
        <v>3149</v>
      </c>
      <c r="D87" t="s">
        <v>3150</v>
      </c>
      <c r="E87" s="78">
        <v>43692</v>
      </c>
      <c r="F87" s="78">
        <v>45565</v>
      </c>
      <c r="G87">
        <v>5.0999999999999996</v>
      </c>
      <c r="H87">
        <v>613.5</v>
      </c>
      <c r="I87">
        <v>3.22</v>
      </c>
      <c r="J87">
        <v>1</v>
      </c>
      <c r="K87">
        <v>2.8</v>
      </c>
      <c r="L87">
        <v>7.02</v>
      </c>
      <c r="M87">
        <v>90</v>
      </c>
      <c r="N87" s="80">
        <v>177792</v>
      </c>
      <c r="O87" s="80">
        <v>55215</v>
      </c>
      <c r="P87" s="80">
        <v>154602</v>
      </c>
      <c r="Q87" s="80">
        <v>387609</v>
      </c>
      <c r="S87">
        <f t="shared" si="1"/>
        <v>6.9238302575610406</v>
      </c>
    </row>
    <row r="88" spans="1:19">
      <c r="A88">
        <v>5</v>
      </c>
      <c r="B88">
        <v>5012</v>
      </c>
      <c r="C88" t="s">
        <v>3151</v>
      </c>
      <c r="D88" t="s">
        <v>3152</v>
      </c>
      <c r="E88" s="78">
        <v>43070</v>
      </c>
      <c r="F88" s="78">
        <v>45016</v>
      </c>
      <c r="G88">
        <v>5.3</v>
      </c>
      <c r="H88">
        <v>233.8</v>
      </c>
      <c r="I88">
        <v>10.78</v>
      </c>
      <c r="J88">
        <v>1</v>
      </c>
      <c r="K88">
        <v>2.8</v>
      </c>
      <c r="L88">
        <v>14.58</v>
      </c>
      <c r="M88">
        <v>90</v>
      </c>
      <c r="N88" s="80">
        <v>226833</v>
      </c>
      <c r="O88" s="80">
        <v>21042</v>
      </c>
      <c r="P88" s="80">
        <v>58918</v>
      </c>
      <c r="Q88" s="80">
        <v>306793</v>
      </c>
      <c r="S88">
        <f t="shared" si="1"/>
        <v>14.380303971313733</v>
      </c>
    </row>
    <row r="89" spans="1:19">
      <c r="A89">
        <v>5</v>
      </c>
      <c r="B89">
        <v>5016</v>
      </c>
      <c r="C89" t="s">
        <v>3153</v>
      </c>
      <c r="D89" t="s">
        <v>3154</v>
      </c>
      <c r="E89" s="78">
        <v>44857</v>
      </c>
      <c r="F89" s="78">
        <v>46691</v>
      </c>
      <c r="G89">
        <v>5</v>
      </c>
      <c r="H89">
        <v>201</v>
      </c>
      <c r="I89">
        <v>6.2</v>
      </c>
      <c r="J89">
        <v>1</v>
      </c>
      <c r="K89">
        <v>2.8</v>
      </c>
      <c r="L89">
        <v>10</v>
      </c>
      <c r="M89">
        <v>90</v>
      </c>
      <c r="N89" s="80">
        <v>112158</v>
      </c>
      <c r="O89" s="80">
        <v>18090</v>
      </c>
      <c r="P89" s="80">
        <v>50652</v>
      </c>
      <c r="Q89" s="80">
        <v>180900</v>
      </c>
      <c r="S89">
        <f t="shared" si="1"/>
        <v>9.8630136986301373</v>
      </c>
    </row>
    <row r="90" spans="1:19">
      <c r="A90">
        <v>5</v>
      </c>
      <c r="B90">
        <v>5018</v>
      </c>
      <c r="C90" t="s">
        <v>3155</v>
      </c>
      <c r="D90" t="s">
        <v>3156</v>
      </c>
      <c r="E90" s="78">
        <v>44185</v>
      </c>
      <c r="F90" s="78">
        <v>45291</v>
      </c>
      <c r="G90">
        <v>3</v>
      </c>
      <c r="H90">
        <v>149.80000000000001</v>
      </c>
      <c r="I90">
        <v>8.1999999999999993</v>
      </c>
      <c r="J90">
        <v>1</v>
      </c>
      <c r="K90">
        <v>2.8</v>
      </c>
      <c r="L90">
        <v>12</v>
      </c>
      <c r="M90">
        <v>90</v>
      </c>
      <c r="N90" s="80">
        <v>110552</v>
      </c>
      <c r="O90" s="80">
        <v>13482</v>
      </c>
      <c r="P90" s="80">
        <v>37750</v>
      </c>
      <c r="Q90" s="80">
        <v>161784</v>
      </c>
      <c r="S90">
        <f t="shared" si="1"/>
        <v>11.835616438356164</v>
      </c>
    </row>
    <row r="91" spans="1:19">
      <c r="A91">
        <v>5</v>
      </c>
      <c r="B91">
        <v>5019</v>
      </c>
      <c r="C91" t="s">
        <v>3157</v>
      </c>
      <c r="D91" t="s">
        <v>3158</v>
      </c>
      <c r="E91" s="78">
        <v>44180</v>
      </c>
      <c r="F91" s="78">
        <v>45291</v>
      </c>
      <c r="G91">
        <v>3</v>
      </c>
      <c r="H91">
        <v>234.08</v>
      </c>
      <c r="I91">
        <v>6.2</v>
      </c>
      <c r="J91">
        <v>1</v>
      </c>
      <c r="K91">
        <v>2.8</v>
      </c>
      <c r="L91">
        <v>10</v>
      </c>
      <c r="M91">
        <v>90</v>
      </c>
      <c r="N91" s="80">
        <v>130617</v>
      </c>
      <c r="O91" s="80">
        <v>21067</v>
      </c>
      <c r="P91" s="80">
        <v>58988</v>
      </c>
      <c r="Q91" s="80">
        <v>210672</v>
      </c>
      <c r="S91">
        <f t="shared" si="1"/>
        <v>9.8630136986301356</v>
      </c>
    </row>
    <row r="92" spans="1:19">
      <c r="A92">
        <v>5</v>
      </c>
      <c r="B92">
        <v>5021</v>
      </c>
      <c r="C92" t="s">
        <v>3159</v>
      </c>
      <c r="D92" t="s">
        <v>3160</v>
      </c>
      <c r="E92" s="78">
        <v>42826</v>
      </c>
      <c r="F92" s="78">
        <v>45016</v>
      </c>
      <c r="G92">
        <v>6</v>
      </c>
      <c r="H92">
        <v>642.1</v>
      </c>
      <c r="I92">
        <v>3.7</v>
      </c>
      <c r="J92">
        <v>1</v>
      </c>
      <c r="K92">
        <v>2.8</v>
      </c>
      <c r="L92">
        <v>7.5</v>
      </c>
      <c r="M92">
        <v>90</v>
      </c>
      <c r="N92" s="80">
        <v>213819</v>
      </c>
      <c r="O92" s="80">
        <v>57789</v>
      </c>
      <c r="P92" s="80">
        <v>161809</v>
      </c>
      <c r="Q92" s="80">
        <v>433417</v>
      </c>
      <c r="S92">
        <f t="shared" si="1"/>
        <v>7.3972517403297822</v>
      </c>
    </row>
    <row r="93" spans="1:19">
      <c r="A93">
        <v>5</v>
      </c>
      <c r="B93">
        <v>5027</v>
      </c>
      <c r="C93" t="s">
        <v>3161</v>
      </c>
      <c r="D93" t="s">
        <v>3162</v>
      </c>
      <c r="E93" s="78">
        <v>42826</v>
      </c>
      <c r="F93" s="78">
        <v>45016</v>
      </c>
      <c r="G93">
        <v>6</v>
      </c>
      <c r="H93">
        <v>193.4</v>
      </c>
      <c r="I93">
        <v>3.7</v>
      </c>
      <c r="J93">
        <v>1</v>
      </c>
      <c r="K93">
        <v>2.8</v>
      </c>
      <c r="L93">
        <v>7.5</v>
      </c>
      <c r="M93">
        <v>90</v>
      </c>
      <c r="N93" s="80">
        <v>64402</v>
      </c>
      <c r="O93" s="80">
        <v>17406</v>
      </c>
      <c r="P93" s="80">
        <v>48737</v>
      </c>
      <c r="Q93" s="80">
        <v>130545</v>
      </c>
      <c r="S93">
        <f t="shared" si="1"/>
        <v>7.3972602739726021</v>
      </c>
    </row>
    <row r="94" spans="1:19">
      <c r="A94">
        <v>5</v>
      </c>
      <c r="B94">
        <v>5031</v>
      </c>
      <c r="C94" t="s">
        <v>3163</v>
      </c>
      <c r="D94" t="s">
        <v>3164</v>
      </c>
      <c r="E94" s="78">
        <v>44306</v>
      </c>
      <c r="F94" s="78">
        <v>45382</v>
      </c>
      <c r="G94">
        <v>2.9</v>
      </c>
      <c r="H94">
        <v>259.83999999999997</v>
      </c>
      <c r="I94">
        <v>7.2</v>
      </c>
      <c r="J94">
        <v>1</v>
      </c>
      <c r="K94">
        <v>2.8</v>
      </c>
      <c r="L94">
        <v>11</v>
      </c>
      <c r="M94">
        <v>90</v>
      </c>
      <c r="N94" s="80">
        <v>168376</v>
      </c>
      <c r="O94" s="80">
        <v>23386</v>
      </c>
      <c r="P94" s="80">
        <v>65480</v>
      </c>
      <c r="Q94" s="80">
        <v>257242</v>
      </c>
      <c r="S94">
        <f t="shared" si="1"/>
        <v>10.84933193872731</v>
      </c>
    </row>
    <row r="95" spans="1:19">
      <c r="A95">
        <v>6</v>
      </c>
      <c r="B95">
        <v>6001</v>
      </c>
      <c r="C95" t="s">
        <v>3047</v>
      </c>
      <c r="G95">
        <v>0</v>
      </c>
      <c r="H95">
        <v>603.20000000000005</v>
      </c>
      <c r="L95" t="s">
        <v>3035</v>
      </c>
      <c r="N95" t="s">
        <v>3035</v>
      </c>
      <c r="O95" t="s">
        <v>3035</v>
      </c>
      <c r="P95" t="s">
        <v>3035</v>
      </c>
      <c r="Q95" t="s">
        <v>3035</v>
      </c>
      <c r="S95" t="e">
        <f t="shared" si="1"/>
        <v>#VALUE!</v>
      </c>
    </row>
    <row r="96" spans="1:19">
      <c r="A96">
        <v>6</v>
      </c>
      <c r="B96">
        <v>6003</v>
      </c>
      <c r="C96" t="s">
        <v>3165</v>
      </c>
      <c r="G96">
        <v>0</v>
      </c>
      <c r="H96">
        <v>222.24</v>
      </c>
      <c r="I96">
        <v>0</v>
      </c>
      <c r="J96">
        <v>0</v>
      </c>
      <c r="K96">
        <v>2.8</v>
      </c>
      <c r="L96">
        <v>2.8</v>
      </c>
      <c r="M96">
        <v>90</v>
      </c>
      <c r="N96" t="s">
        <v>3035</v>
      </c>
      <c r="O96" t="s">
        <v>3035</v>
      </c>
      <c r="P96" s="80">
        <v>56004</v>
      </c>
      <c r="Q96" s="80">
        <v>56004</v>
      </c>
      <c r="S96">
        <f t="shared" si="1"/>
        <v>2.7616201662771087</v>
      </c>
    </row>
    <row r="97" spans="1:19">
      <c r="A97">
        <v>6</v>
      </c>
      <c r="B97">
        <v>6005</v>
      </c>
      <c r="C97" t="s">
        <v>3047</v>
      </c>
      <c r="G97">
        <v>0</v>
      </c>
      <c r="H97">
        <v>280.95999999999998</v>
      </c>
      <c r="L97" t="s">
        <v>3035</v>
      </c>
      <c r="N97" t="s">
        <v>3035</v>
      </c>
      <c r="O97" t="s">
        <v>3035</v>
      </c>
      <c r="P97" t="s">
        <v>3035</v>
      </c>
      <c r="Q97" t="s">
        <v>3035</v>
      </c>
      <c r="S97" t="e">
        <f t="shared" si="1"/>
        <v>#VALUE!</v>
      </c>
    </row>
    <row r="98" spans="1:19">
      <c r="A98">
        <v>6</v>
      </c>
      <c r="B98">
        <v>6006</v>
      </c>
      <c r="C98" t="s">
        <v>3166</v>
      </c>
      <c r="D98" t="s">
        <v>3167</v>
      </c>
      <c r="E98" s="78">
        <v>44793</v>
      </c>
      <c r="F98" s="78">
        <v>45504</v>
      </c>
      <c r="G98">
        <v>1.9</v>
      </c>
      <c r="H98">
        <v>572.96</v>
      </c>
      <c r="I98">
        <v>2.94</v>
      </c>
      <c r="K98">
        <v>2.8</v>
      </c>
      <c r="L98">
        <v>5.74</v>
      </c>
      <c r="M98">
        <v>90</v>
      </c>
      <c r="N98" s="80">
        <v>151605</v>
      </c>
      <c r="O98" t="s">
        <v>3035</v>
      </c>
      <c r="P98" s="80">
        <v>144386</v>
      </c>
      <c r="Q98" s="80">
        <v>295991</v>
      </c>
      <c r="S98">
        <f t="shared" si="1"/>
        <v>5.6613672617658644</v>
      </c>
    </row>
    <row r="99" spans="1:19">
      <c r="A99">
        <v>6</v>
      </c>
      <c r="B99">
        <v>6007</v>
      </c>
      <c r="C99" t="s">
        <v>3047</v>
      </c>
      <c r="G99">
        <v>0</v>
      </c>
      <c r="H99">
        <v>424.64</v>
      </c>
      <c r="L99" t="s">
        <v>3035</v>
      </c>
      <c r="N99" t="s">
        <v>3035</v>
      </c>
      <c r="O99" t="s">
        <v>3035</v>
      </c>
      <c r="P99" t="s">
        <v>3035</v>
      </c>
      <c r="Q99" t="s">
        <v>3035</v>
      </c>
      <c r="S99" t="e">
        <f t="shared" si="1"/>
        <v>#VALUE!</v>
      </c>
    </row>
    <row r="100" spans="1:19">
      <c r="A100">
        <v>6</v>
      </c>
      <c r="B100">
        <v>6008</v>
      </c>
      <c r="C100" t="s">
        <v>3168</v>
      </c>
      <c r="D100" t="s">
        <v>3169</v>
      </c>
      <c r="E100" s="78">
        <v>42213</v>
      </c>
      <c r="F100" s="78">
        <v>44404</v>
      </c>
      <c r="G100">
        <v>6</v>
      </c>
      <c r="H100">
        <v>1265.2</v>
      </c>
      <c r="I100">
        <v>5.2</v>
      </c>
      <c r="J100">
        <v>0</v>
      </c>
      <c r="K100">
        <v>2.8</v>
      </c>
      <c r="L100">
        <v>8</v>
      </c>
      <c r="M100">
        <v>90</v>
      </c>
      <c r="N100" s="80">
        <v>592114</v>
      </c>
      <c r="O100" t="s">
        <v>3035</v>
      </c>
      <c r="P100" s="80">
        <v>318830</v>
      </c>
      <c r="Q100" s="80">
        <v>910944</v>
      </c>
      <c r="S100">
        <f t="shared" si="1"/>
        <v>7.89041095890411</v>
      </c>
    </row>
    <row r="101" spans="1:19">
      <c r="A101">
        <v>6</v>
      </c>
      <c r="B101">
        <v>6009</v>
      </c>
      <c r="C101" t="s">
        <v>3170</v>
      </c>
      <c r="D101" t="s">
        <v>3171</v>
      </c>
      <c r="E101" s="78">
        <v>44652</v>
      </c>
      <c r="F101" s="78">
        <v>45382</v>
      </c>
      <c r="G101">
        <v>2</v>
      </c>
      <c r="H101">
        <v>340.8</v>
      </c>
      <c r="I101">
        <v>4.7</v>
      </c>
      <c r="J101">
        <v>1</v>
      </c>
      <c r="K101">
        <v>2.8</v>
      </c>
      <c r="L101">
        <v>8.5</v>
      </c>
      <c r="M101">
        <v>90</v>
      </c>
      <c r="N101" s="80">
        <v>144158</v>
      </c>
      <c r="O101" s="80">
        <v>30672</v>
      </c>
      <c r="P101" s="80">
        <v>85882</v>
      </c>
      <c r="Q101" s="80">
        <v>260712</v>
      </c>
      <c r="S101">
        <f t="shared" si="1"/>
        <v>8.3835616438356162</v>
      </c>
    </row>
    <row r="102" spans="1:19">
      <c r="A102" t="s">
        <v>3172</v>
      </c>
      <c r="B102" t="s">
        <v>3173</v>
      </c>
      <c r="C102" t="s">
        <v>3174</v>
      </c>
      <c r="G102">
        <v>0</v>
      </c>
      <c r="H102">
        <v>700</v>
      </c>
      <c r="I102">
        <v>0</v>
      </c>
      <c r="J102">
        <v>0</v>
      </c>
      <c r="K102">
        <v>2.8</v>
      </c>
      <c r="L102">
        <v>2.8</v>
      </c>
      <c r="M102">
        <v>90</v>
      </c>
      <c r="N102" t="s">
        <v>3035</v>
      </c>
      <c r="O102" t="s">
        <v>3035</v>
      </c>
      <c r="P102" s="80">
        <v>176400</v>
      </c>
      <c r="Q102" s="80">
        <v>176400</v>
      </c>
      <c r="S102">
        <f t="shared" si="1"/>
        <v>2.7616438356164386</v>
      </c>
    </row>
    <row r="103" spans="1:19">
      <c r="A103" t="s">
        <v>3172</v>
      </c>
      <c r="B103" t="s">
        <v>3175</v>
      </c>
      <c r="C103" t="s">
        <v>3176</v>
      </c>
      <c r="D103" t="s">
        <v>3177</v>
      </c>
      <c r="E103" s="78">
        <v>43497</v>
      </c>
      <c r="F103" s="78">
        <v>44286</v>
      </c>
      <c r="G103">
        <v>2.2000000000000002</v>
      </c>
      <c r="H103">
        <v>360</v>
      </c>
      <c r="I103">
        <v>3.2</v>
      </c>
      <c r="J103">
        <v>2</v>
      </c>
      <c r="K103">
        <v>2.8</v>
      </c>
      <c r="L103">
        <v>8</v>
      </c>
      <c r="M103">
        <v>90</v>
      </c>
      <c r="N103" s="80">
        <v>103680</v>
      </c>
      <c r="O103" s="80">
        <v>64800</v>
      </c>
      <c r="P103" s="80">
        <v>90720</v>
      </c>
      <c r="Q103" s="80">
        <v>259200</v>
      </c>
      <c r="S103">
        <f t="shared" si="1"/>
        <v>7.89041095890411</v>
      </c>
    </row>
    <row r="104" spans="1:19">
      <c r="A104" t="s">
        <v>3172</v>
      </c>
      <c r="B104" t="s">
        <v>3178</v>
      </c>
      <c r="C104" t="s">
        <v>3179</v>
      </c>
      <c r="D104" t="s">
        <v>3180</v>
      </c>
      <c r="E104" s="78">
        <v>44652</v>
      </c>
      <c r="F104" s="78">
        <v>45382</v>
      </c>
      <c r="G104">
        <v>2</v>
      </c>
      <c r="H104">
        <v>105.4</v>
      </c>
      <c r="I104">
        <v>4.26</v>
      </c>
      <c r="J104">
        <v>2</v>
      </c>
      <c r="K104">
        <v>2.8</v>
      </c>
      <c r="L104">
        <v>9.06</v>
      </c>
      <c r="M104">
        <v>90</v>
      </c>
      <c r="N104" s="80">
        <v>40410</v>
      </c>
      <c r="O104" s="80">
        <v>18972</v>
      </c>
      <c r="P104" s="80">
        <v>26561</v>
      </c>
      <c r="Q104" s="80">
        <v>85943</v>
      </c>
      <c r="S104">
        <f t="shared" si="1"/>
        <v>8.9358737750513377</v>
      </c>
    </row>
    <row r="105" spans="1:19">
      <c r="A105" t="s">
        <v>3172</v>
      </c>
      <c r="B105" t="s">
        <v>3181</v>
      </c>
      <c r="C105" t="s">
        <v>3182</v>
      </c>
      <c r="D105" t="s">
        <v>3183</v>
      </c>
      <c r="E105" s="78">
        <v>43393</v>
      </c>
      <c r="F105" s="78">
        <v>45199</v>
      </c>
      <c r="G105">
        <v>4.9000000000000004</v>
      </c>
      <c r="H105">
        <v>54</v>
      </c>
      <c r="I105">
        <v>7.3</v>
      </c>
      <c r="J105">
        <v>2</v>
      </c>
      <c r="K105">
        <v>2.8</v>
      </c>
      <c r="L105">
        <v>12.1</v>
      </c>
      <c r="M105">
        <v>90</v>
      </c>
      <c r="N105" s="80">
        <v>35478</v>
      </c>
      <c r="O105" s="80">
        <v>9720</v>
      </c>
      <c r="P105" s="80">
        <v>13608</v>
      </c>
      <c r="Q105" s="80">
        <v>58806</v>
      </c>
      <c r="S105">
        <f t="shared" si="1"/>
        <v>11.934246575342467</v>
      </c>
    </row>
    <row r="106" spans="1:19">
      <c r="A106" t="s">
        <v>3172</v>
      </c>
      <c r="B106" t="s">
        <v>3184</v>
      </c>
      <c r="C106" t="s">
        <v>3185</v>
      </c>
      <c r="D106" t="s">
        <v>3186</v>
      </c>
      <c r="E106" s="78">
        <v>44835</v>
      </c>
      <c r="F106" s="78">
        <v>45565</v>
      </c>
      <c r="G106">
        <v>2</v>
      </c>
      <c r="H106">
        <v>225.28</v>
      </c>
      <c r="I106">
        <v>4.2</v>
      </c>
      <c r="J106">
        <v>2</v>
      </c>
      <c r="K106">
        <v>2.8</v>
      </c>
      <c r="L106">
        <v>9</v>
      </c>
      <c r="M106">
        <v>90</v>
      </c>
      <c r="N106" s="80">
        <v>85156</v>
      </c>
      <c r="O106" s="80">
        <v>40550</v>
      </c>
      <c r="P106" s="80">
        <v>56771</v>
      </c>
      <c r="Q106" s="80">
        <v>182477</v>
      </c>
      <c r="S106">
        <f t="shared" si="1"/>
        <v>8.8767220579078465</v>
      </c>
    </row>
    <row r="107" spans="1:19">
      <c r="A107" t="s">
        <v>3172</v>
      </c>
      <c r="B107" t="s">
        <v>3187</v>
      </c>
      <c r="C107" t="s">
        <v>3188</v>
      </c>
      <c r="D107" t="s">
        <v>3189</v>
      </c>
      <c r="E107" s="78">
        <v>44835</v>
      </c>
      <c r="F107" s="78">
        <v>45565</v>
      </c>
      <c r="G107">
        <v>2</v>
      </c>
      <c r="H107">
        <v>146.9</v>
      </c>
      <c r="I107">
        <v>3.82</v>
      </c>
      <c r="J107">
        <v>2</v>
      </c>
      <c r="K107">
        <v>2.8</v>
      </c>
      <c r="L107">
        <v>8.6199999999999992</v>
      </c>
      <c r="M107">
        <v>90</v>
      </c>
      <c r="N107" s="80">
        <v>50504</v>
      </c>
      <c r="O107" s="80">
        <v>26442</v>
      </c>
      <c r="P107" s="80">
        <v>37019</v>
      </c>
      <c r="Q107" s="80">
        <v>113965</v>
      </c>
      <c r="S107">
        <f t="shared" si="1"/>
        <v>8.5019163161968354</v>
      </c>
    </row>
    <row r="108" spans="1:19">
      <c r="A108" t="s">
        <v>3172</v>
      </c>
      <c r="B108" t="s">
        <v>3190</v>
      </c>
      <c r="C108" t="s">
        <v>3191</v>
      </c>
      <c r="D108" t="s">
        <v>3192</v>
      </c>
      <c r="E108" s="78">
        <v>44105</v>
      </c>
      <c r="F108" s="78">
        <v>44834</v>
      </c>
      <c r="G108">
        <v>2</v>
      </c>
      <c r="H108">
        <v>160.1</v>
      </c>
      <c r="I108">
        <v>6.23</v>
      </c>
      <c r="J108">
        <v>2</v>
      </c>
      <c r="K108">
        <v>2.8</v>
      </c>
      <c r="L108">
        <v>11.03</v>
      </c>
      <c r="M108">
        <v>90</v>
      </c>
      <c r="N108" s="80">
        <v>89768</v>
      </c>
      <c r="O108" s="80">
        <v>28818</v>
      </c>
      <c r="P108" s="80">
        <v>40345</v>
      </c>
      <c r="Q108" s="80">
        <v>158931</v>
      </c>
      <c r="S108">
        <f t="shared" si="1"/>
        <v>10.878885627989355</v>
      </c>
    </row>
    <row r="109" spans="1:19">
      <c r="A109" t="s">
        <v>3172</v>
      </c>
      <c r="B109" t="s">
        <v>3193</v>
      </c>
      <c r="C109" t="s">
        <v>3194</v>
      </c>
      <c r="D109" t="s">
        <v>3195</v>
      </c>
      <c r="E109" s="78">
        <v>44105</v>
      </c>
      <c r="F109" s="78">
        <v>44834</v>
      </c>
      <c r="G109">
        <v>2</v>
      </c>
      <c r="H109">
        <v>74.2</v>
      </c>
      <c r="I109">
        <v>6.23</v>
      </c>
      <c r="J109">
        <v>2</v>
      </c>
      <c r="K109">
        <v>2.8</v>
      </c>
      <c r="L109">
        <v>11.03</v>
      </c>
      <c r="M109">
        <v>90</v>
      </c>
      <c r="N109" s="80">
        <v>41604</v>
      </c>
      <c r="O109" s="80">
        <v>13356</v>
      </c>
      <c r="P109" s="80">
        <v>18698</v>
      </c>
      <c r="Q109" s="80">
        <v>73658</v>
      </c>
      <c r="S109">
        <f t="shared" si="1"/>
        <v>10.878853893586383</v>
      </c>
    </row>
    <row r="110" spans="1:19">
      <c r="A110" t="s">
        <v>3172</v>
      </c>
      <c r="B110" t="s">
        <v>3196</v>
      </c>
      <c r="C110" t="s">
        <v>3197</v>
      </c>
      <c r="D110" t="s">
        <v>3198</v>
      </c>
      <c r="E110" s="78">
        <v>44105</v>
      </c>
      <c r="F110" s="78">
        <v>44834</v>
      </c>
      <c r="G110">
        <v>2</v>
      </c>
      <c r="H110">
        <v>100.9</v>
      </c>
      <c r="I110">
        <v>5.7</v>
      </c>
      <c r="J110">
        <v>2</v>
      </c>
      <c r="K110">
        <v>2.8</v>
      </c>
      <c r="L110">
        <v>10.5</v>
      </c>
      <c r="M110">
        <v>90</v>
      </c>
      <c r="N110" s="80">
        <v>51762</v>
      </c>
      <c r="O110" s="80">
        <v>18162</v>
      </c>
      <c r="P110" s="80">
        <v>25427</v>
      </c>
      <c r="Q110" s="80">
        <v>95351</v>
      </c>
      <c r="S110">
        <f t="shared" si="1"/>
        <v>10.356218689330273</v>
      </c>
    </row>
    <row r="111" spans="1:19">
      <c r="A111" t="s">
        <v>3172</v>
      </c>
      <c r="B111" t="s">
        <v>3199</v>
      </c>
      <c r="C111" t="s">
        <v>3200</v>
      </c>
      <c r="D111" t="s">
        <v>3201</v>
      </c>
      <c r="E111" s="78">
        <v>43393</v>
      </c>
      <c r="F111" s="78">
        <v>44469</v>
      </c>
      <c r="G111">
        <v>2.9</v>
      </c>
      <c r="H111">
        <v>229.9</v>
      </c>
      <c r="I111">
        <v>4.2</v>
      </c>
      <c r="J111">
        <v>2</v>
      </c>
      <c r="K111">
        <v>2.8</v>
      </c>
      <c r="L111">
        <v>9</v>
      </c>
      <c r="M111">
        <v>90</v>
      </c>
      <c r="N111" s="80">
        <v>86902</v>
      </c>
      <c r="O111" s="80">
        <v>41382</v>
      </c>
      <c r="P111" s="80">
        <v>57935</v>
      </c>
      <c r="Q111" s="80">
        <v>186219</v>
      </c>
      <c r="S111">
        <f t="shared" si="1"/>
        <v>8.8767123287671232</v>
      </c>
    </row>
    <row r="112" spans="1:19">
      <c r="A112" t="s">
        <v>3172</v>
      </c>
      <c r="B112" t="s">
        <v>3202</v>
      </c>
      <c r="C112" t="s">
        <v>3203</v>
      </c>
      <c r="D112" t="s">
        <v>3204</v>
      </c>
      <c r="E112" s="78">
        <v>44835</v>
      </c>
      <c r="F112" s="78">
        <v>45565</v>
      </c>
      <c r="G112">
        <v>2</v>
      </c>
      <c r="H112">
        <v>91.8</v>
      </c>
      <c r="I112">
        <v>6.23</v>
      </c>
      <c r="J112">
        <v>2</v>
      </c>
      <c r="K112">
        <v>2.8</v>
      </c>
      <c r="L112">
        <v>11.03</v>
      </c>
      <c r="M112">
        <v>90</v>
      </c>
      <c r="N112" s="80">
        <v>51472</v>
      </c>
      <c r="O112" s="80">
        <v>16524</v>
      </c>
      <c r="P112" s="80">
        <v>23134</v>
      </c>
      <c r="Q112" s="80">
        <v>91130</v>
      </c>
      <c r="S112">
        <f t="shared" si="1"/>
        <v>10.878920822514699</v>
      </c>
    </row>
    <row r="113" spans="1:19">
      <c r="A113" t="s">
        <v>3172</v>
      </c>
      <c r="B113" t="s">
        <v>3205</v>
      </c>
      <c r="C113" t="s">
        <v>3206</v>
      </c>
      <c r="D113" t="s">
        <v>3207</v>
      </c>
      <c r="E113" s="78">
        <v>44105</v>
      </c>
      <c r="F113" s="78">
        <v>44834</v>
      </c>
      <c r="G113">
        <v>2</v>
      </c>
      <c r="H113">
        <v>54.5</v>
      </c>
      <c r="I113">
        <v>5.2</v>
      </c>
      <c r="J113">
        <v>2</v>
      </c>
      <c r="K113">
        <v>2.8</v>
      </c>
      <c r="L113">
        <v>10</v>
      </c>
      <c r="M113">
        <v>90</v>
      </c>
      <c r="N113" s="80">
        <v>25506</v>
      </c>
      <c r="O113" s="80">
        <v>9810</v>
      </c>
      <c r="P113" s="80">
        <v>13734</v>
      </c>
      <c r="Q113" s="80">
        <v>49050</v>
      </c>
      <c r="S113">
        <f t="shared" si="1"/>
        <v>9.8630136986301356</v>
      </c>
    </row>
    <row r="114" spans="1:19">
      <c r="A114" t="s">
        <v>3172</v>
      </c>
      <c r="B114" t="s">
        <v>3208</v>
      </c>
      <c r="C114" t="s">
        <v>3209</v>
      </c>
      <c r="D114" t="s">
        <v>3210</v>
      </c>
      <c r="E114" s="78">
        <v>44105</v>
      </c>
      <c r="F114" s="78">
        <v>44834</v>
      </c>
      <c r="G114">
        <v>2</v>
      </c>
      <c r="H114">
        <v>170.8</v>
      </c>
      <c r="I114">
        <v>5.7</v>
      </c>
      <c r="J114">
        <v>2</v>
      </c>
      <c r="K114">
        <v>2.8</v>
      </c>
      <c r="L114">
        <v>10.5</v>
      </c>
      <c r="M114">
        <v>90</v>
      </c>
      <c r="N114" s="80">
        <v>87620</v>
      </c>
      <c r="O114" s="80">
        <v>30744</v>
      </c>
      <c r="P114" s="80">
        <v>43042</v>
      </c>
      <c r="Q114" s="80">
        <v>161406</v>
      </c>
      <c r="S114">
        <f t="shared" si="1"/>
        <v>10.356164383561643</v>
      </c>
    </row>
    <row r="115" spans="1:19">
      <c r="A115" t="s">
        <v>3172</v>
      </c>
      <c r="B115" t="s">
        <v>3211</v>
      </c>
      <c r="C115" t="s">
        <v>3209</v>
      </c>
      <c r="D115" t="s">
        <v>3210</v>
      </c>
      <c r="E115" s="78">
        <v>44835</v>
      </c>
      <c r="F115" s="78">
        <v>45565</v>
      </c>
      <c r="G115">
        <v>2</v>
      </c>
      <c r="H115">
        <v>82.2</v>
      </c>
      <c r="I115">
        <v>3.7</v>
      </c>
      <c r="J115">
        <v>2</v>
      </c>
      <c r="K115">
        <v>2.8</v>
      </c>
      <c r="L115">
        <v>8.5</v>
      </c>
      <c r="M115">
        <v>90</v>
      </c>
      <c r="N115" s="80">
        <v>27373</v>
      </c>
      <c r="O115" s="80">
        <v>14796</v>
      </c>
      <c r="P115" s="80">
        <v>20714</v>
      </c>
      <c r="Q115" s="80">
        <v>62883</v>
      </c>
      <c r="S115">
        <f t="shared" si="1"/>
        <v>8.3835616438356162</v>
      </c>
    </row>
    <row r="116" spans="1:19">
      <c r="A116" t="s">
        <v>3172</v>
      </c>
      <c r="B116" t="s">
        <v>3212</v>
      </c>
      <c r="C116" t="s">
        <v>3213</v>
      </c>
      <c r="D116" t="s">
        <v>3214</v>
      </c>
      <c r="E116" s="78">
        <v>44652</v>
      </c>
      <c r="F116" s="78">
        <v>45382</v>
      </c>
      <c r="G116">
        <v>2</v>
      </c>
      <c r="H116">
        <v>114.4</v>
      </c>
      <c r="I116">
        <v>7.2</v>
      </c>
      <c r="J116">
        <v>2</v>
      </c>
      <c r="K116">
        <v>2.8</v>
      </c>
      <c r="L116">
        <v>12</v>
      </c>
      <c r="M116">
        <v>90</v>
      </c>
      <c r="N116" s="80">
        <v>74131</v>
      </c>
      <c r="O116" s="80">
        <v>20592</v>
      </c>
      <c r="P116" s="80">
        <v>28829</v>
      </c>
      <c r="Q116" s="80">
        <v>123552</v>
      </c>
      <c r="S116">
        <f t="shared" si="1"/>
        <v>11.835616438356164</v>
      </c>
    </row>
    <row r="117" spans="1:19">
      <c r="A117" t="s">
        <v>3172</v>
      </c>
      <c r="B117" t="s">
        <v>3215</v>
      </c>
      <c r="C117" t="s">
        <v>3216</v>
      </c>
      <c r="D117" t="s">
        <v>3217</v>
      </c>
      <c r="E117" s="78">
        <v>44835</v>
      </c>
      <c r="F117" s="78">
        <v>45565</v>
      </c>
      <c r="G117">
        <v>2</v>
      </c>
      <c r="H117">
        <v>37.9</v>
      </c>
      <c r="I117">
        <v>6.23</v>
      </c>
      <c r="J117">
        <v>2</v>
      </c>
      <c r="K117">
        <v>2.8</v>
      </c>
      <c r="L117">
        <v>11.03</v>
      </c>
      <c r="M117">
        <v>90</v>
      </c>
      <c r="N117" s="80">
        <v>21251</v>
      </c>
      <c r="O117" s="80">
        <v>6822</v>
      </c>
      <c r="P117" s="80">
        <v>9551</v>
      </c>
      <c r="Q117" s="80">
        <v>37624</v>
      </c>
      <c r="S117">
        <f t="shared" si="1"/>
        <v>10.879097842194673</v>
      </c>
    </row>
    <row r="118" spans="1:19">
      <c r="A118" t="s">
        <v>3172</v>
      </c>
      <c r="B118" t="s">
        <v>3218</v>
      </c>
      <c r="C118" t="s">
        <v>3219</v>
      </c>
      <c r="D118" t="s">
        <v>3220</v>
      </c>
      <c r="E118" s="78">
        <v>44835</v>
      </c>
      <c r="F118" s="78">
        <v>45565</v>
      </c>
      <c r="G118">
        <v>2</v>
      </c>
      <c r="H118">
        <v>37.9</v>
      </c>
      <c r="I118">
        <v>6.23</v>
      </c>
      <c r="J118">
        <v>2</v>
      </c>
      <c r="K118">
        <v>2.8</v>
      </c>
      <c r="L118">
        <v>11.03</v>
      </c>
      <c r="M118">
        <v>90</v>
      </c>
      <c r="N118" s="80">
        <v>21251</v>
      </c>
      <c r="O118" s="80">
        <v>6822</v>
      </c>
      <c r="P118" s="80">
        <v>9551</v>
      </c>
      <c r="Q118" s="80">
        <v>37624</v>
      </c>
      <c r="S118">
        <f t="shared" si="1"/>
        <v>10.879097842194673</v>
      </c>
    </row>
    <row r="119" spans="1:19">
      <c r="A119" t="s">
        <v>3172</v>
      </c>
      <c r="B119" t="s">
        <v>3221</v>
      </c>
      <c r="C119" t="s">
        <v>3222</v>
      </c>
      <c r="D119" t="s">
        <v>3223</v>
      </c>
      <c r="E119" s="78">
        <v>44835</v>
      </c>
      <c r="F119" s="78">
        <v>45565</v>
      </c>
      <c r="G119">
        <v>2</v>
      </c>
      <c r="H119">
        <v>22.6</v>
      </c>
      <c r="I119">
        <v>8.6999999999999993</v>
      </c>
      <c r="J119">
        <v>2</v>
      </c>
      <c r="K119">
        <v>2.8</v>
      </c>
      <c r="L119">
        <v>13.5</v>
      </c>
      <c r="M119">
        <v>90</v>
      </c>
      <c r="N119" s="80">
        <v>17696</v>
      </c>
      <c r="O119" s="80">
        <v>4068</v>
      </c>
      <c r="P119" s="80">
        <v>5695</v>
      </c>
      <c r="Q119" s="80">
        <v>27459</v>
      </c>
      <c r="S119">
        <f t="shared" si="1"/>
        <v>13.315068493150685</v>
      </c>
    </row>
    <row r="120" spans="1:19">
      <c r="A120" t="s">
        <v>3172</v>
      </c>
      <c r="B120" t="s">
        <v>3224</v>
      </c>
      <c r="C120" t="s">
        <v>3225</v>
      </c>
      <c r="D120" t="s">
        <v>3226</v>
      </c>
      <c r="E120" s="78">
        <v>44287</v>
      </c>
      <c r="F120" s="78">
        <v>45016</v>
      </c>
      <c r="G120">
        <v>2</v>
      </c>
      <c r="H120">
        <v>28.7</v>
      </c>
      <c r="I120">
        <v>8.4</v>
      </c>
      <c r="J120">
        <v>2</v>
      </c>
      <c r="K120">
        <v>2.8</v>
      </c>
      <c r="L120">
        <v>13.2</v>
      </c>
      <c r="M120">
        <v>90</v>
      </c>
      <c r="N120" s="80">
        <v>21697</v>
      </c>
      <c r="O120" s="80">
        <v>5166</v>
      </c>
      <c r="P120" s="80">
        <v>7232</v>
      </c>
      <c r="Q120" s="80">
        <v>34095</v>
      </c>
      <c r="S120">
        <f t="shared" si="1"/>
        <v>13.018948976182521</v>
      </c>
    </row>
    <row r="121" spans="1:19">
      <c r="A121" t="s">
        <v>3172</v>
      </c>
      <c r="B121" t="s">
        <v>3227</v>
      </c>
      <c r="C121" t="s">
        <v>3228</v>
      </c>
      <c r="D121" t="s">
        <v>3162</v>
      </c>
      <c r="E121" s="78">
        <v>44058</v>
      </c>
      <c r="F121" s="78">
        <v>45199</v>
      </c>
      <c r="G121">
        <v>3.1</v>
      </c>
      <c r="H121">
        <v>298.88</v>
      </c>
      <c r="I121">
        <v>3.36</v>
      </c>
      <c r="J121">
        <v>2</v>
      </c>
      <c r="K121">
        <v>2.8</v>
      </c>
      <c r="L121">
        <v>8.16</v>
      </c>
      <c r="M121">
        <v>90</v>
      </c>
      <c r="N121" s="80">
        <v>90381</v>
      </c>
      <c r="O121" s="80">
        <v>53798</v>
      </c>
      <c r="P121" s="80">
        <v>75318</v>
      </c>
      <c r="Q121" s="80">
        <v>219497</v>
      </c>
      <c r="S121">
        <f t="shared" si="1"/>
        <v>8.048201871461675</v>
      </c>
    </row>
    <row r="122" spans="1:19">
      <c r="A122" t="s">
        <v>3172</v>
      </c>
      <c r="B122" t="s">
        <v>3229</v>
      </c>
      <c r="C122" t="s">
        <v>3230</v>
      </c>
      <c r="D122" t="s">
        <v>3192</v>
      </c>
      <c r="E122" s="78">
        <v>44470</v>
      </c>
      <c r="F122" s="78">
        <v>45565</v>
      </c>
      <c r="G122">
        <v>3</v>
      </c>
      <c r="H122">
        <v>164.16</v>
      </c>
      <c r="I122">
        <v>4.2</v>
      </c>
      <c r="J122">
        <v>2</v>
      </c>
      <c r="K122">
        <v>2.8</v>
      </c>
      <c r="L122">
        <v>9</v>
      </c>
      <c r="M122">
        <v>90</v>
      </c>
      <c r="N122" s="80">
        <v>62052</v>
      </c>
      <c r="O122" s="80">
        <v>29549</v>
      </c>
      <c r="P122" s="80">
        <v>41368</v>
      </c>
      <c r="Q122" s="80">
        <v>132969</v>
      </c>
      <c r="S122">
        <f t="shared" si="1"/>
        <v>8.8766722742930373</v>
      </c>
    </row>
    <row r="123" spans="1:19">
      <c r="A123" t="s">
        <v>3172</v>
      </c>
      <c r="B123" t="s">
        <v>3231</v>
      </c>
      <c r="C123" t="s">
        <v>3232</v>
      </c>
      <c r="D123" t="s">
        <v>3233</v>
      </c>
      <c r="E123" s="78">
        <v>44287</v>
      </c>
      <c r="F123" s="78">
        <v>45016</v>
      </c>
      <c r="G123">
        <v>2</v>
      </c>
      <c r="H123">
        <v>328.68</v>
      </c>
      <c r="I123">
        <v>3.2</v>
      </c>
      <c r="J123">
        <v>2</v>
      </c>
      <c r="K123">
        <v>2.8</v>
      </c>
      <c r="L123">
        <v>8</v>
      </c>
      <c r="M123">
        <v>90</v>
      </c>
      <c r="N123" s="80">
        <v>94660</v>
      </c>
      <c r="O123" s="80">
        <v>59162</v>
      </c>
      <c r="P123" s="80">
        <v>82827</v>
      </c>
      <c r="Q123" s="80">
        <v>236649</v>
      </c>
      <c r="S123">
        <f t="shared" si="1"/>
        <v>7.8903909536027044</v>
      </c>
    </row>
    <row r="124" spans="1:19">
      <c r="A124" t="s">
        <v>3234</v>
      </c>
      <c r="B124" t="s">
        <v>3235</v>
      </c>
      <c r="C124" t="s">
        <v>3097</v>
      </c>
      <c r="D124" t="s">
        <v>3236</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c r="S124">
        <f t="shared" si="1"/>
        <v>8.6794813175558279</v>
      </c>
    </row>
    <row r="125" spans="1:19">
      <c r="A125" t="s">
        <v>3234</v>
      </c>
      <c r="B125" t="s">
        <v>3237</v>
      </c>
      <c r="C125" t="s">
        <v>3238</v>
      </c>
      <c r="D125" t="s">
        <v>3239</v>
      </c>
      <c r="E125" s="78">
        <v>44287</v>
      </c>
      <c r="F125" s="78">
        <v>44651</v>
      </c>
      <c r="G125">
        <v>1</v>
      </c>
      <c r="H125">
        <v>25.2</v>
      </c>
      <c r="I125">
        <v>6.7</v>
      </c>
      <c r="J125">
        <v>2</v>
      </c>
      <c r="K125">
        <v>2.8</v>
      </c>
      <c r="L125">
        <v>11.5</v>
      </c>
      <c r="M125">
        <v>90</v>
      </c>
      <c r="N125" s="80">
        <v>15196</v>
      </c>
      <c r="O125" s="80">
        <v>4536</v>
      </c>
      <c r="P125" s="80">
        <v>6350</v>
      </c>
      <c r="Q125" s="80">
        <v>26082</v>
      </c>
      <c r="S125">
        <f t="shared" si="1"/>
        <v>11.342465753424658</v>
      </c>
    </row>
    <row r="126" spans="1:19">
      <c r="A126" t="s">
        <v>3234</v>
      </c>
      <c r="B126" t="s">
        <v>3240</v>
      </c>
      <c r="C126" t="s">
        <v>3241</v>
      </c>
      <c r="D126" t="s">
        <v>3242</v>
      </c>
      <c r="E126" s="78">
        <v>44013</v>
      </c>
      <c r="F126" s="78">
        <v>44742</v>
      </c>
      <c r="G126">
        <v>2</v>
      </c>
      <c r="H126">
        <v>144</v>
      </c>
      <c r="I126">
        <v>1.77</v>
      </c>
      <c r="J126">
        <v>0</v>
      </c>
      <c r="K126">
        <v>2.8</v>
      </c>
      <c r="L126">
        <v>4.57</v>
      </c>
      <c r="M126">
        <v>90</v>
      </c>
      <c r="N126" s="80">
        <v>22939</v>
      </c>
      <c r="O126" t="s">
        <v>3035</v>
      </c>
      <c r="P126" s="80">
        <v>36288</v>
      </c>
      <c r="Q126" s="80">
        <v>59227</v>
      </c>
      <c r="S126">
        <f t="shared" si="1"/>
        <v>4.5073820395738204</v>
      </c>
    </row>
    <row r="127" spans="1:19">
      <c r="H127">
        <v>12931.71</v>
      </c>
      <c r="Q127" s="80">
        <v>26954610</v>
      </c>
    </row>
    <row r="128" spans="1:19">
      <c r="H128">
        <v>2389.12</v>
      </c>
      <c r="Q128" s="80">
        <v>107818440</v>
      </c>
    </row>
    <row r="129" spans="2:22">
      <c r="H129">
        <v>10542.59</v>
      </c>
      <c r="Q129">
        <f>Q128/365/'数据-汇总表'!E3</f>
        <v>10.820961451016581</v>
      </c>
    </row>
    <row r="130" spans="2:22">
      <c r="Q130">
        <f>Q129/H132</f>
        <v>4.7609261470927633E-4</v>
      </c>
    </row>
    <row r="131" spans="2:22">
      <c r="Q131" s="80">
        <v>33062957</v>
      </c>
    </row>
    <row r="132" spans="2:22">
      <c r="H132">
        <f>SUM(H134:H141)-H139</f>
        <v>22728.69</v>
      </c>
      <c r="I132">
        <f>SUM(I134:I141)-I139</f>
        <v>1463.52</v>
      </c>
      <c r="J132">
        <f>1-I132/H132</f>
        <v>0.93560913541431556</v>
      </c>
      <c r="Q132" s="80">
        <v>132251828</v>
      </c>
    </row>
    <row r="133" spans="2:22">
      <c r="H133" s="2362" t="s">
        <v>3760</v>
      </c>
      <c r="I133" s="2362" t="s">
        <v>3761</v>
      </c>
      <c r="J133" s="2362" t="s">
        <v>3762</v>
      </c>
      <c r="R133" s="2362" t="s">
        <v>3763</v>
      </c>
      <c r="S133" s="2362" t="s">
        <v>3764</v>
      </c>
    </row>
    <row r="134" spans="2:22">
      <c r="B134" s="2362" t="s">
        <v>3752</v>
      </c>
      <c r="H134">
        <f>SUM(H5:H30)</f>
        <v>4300.92</v>
      </c>
      <c r="I134">
        <f>H16+H27</f>
        <v>349.6</v>
      </c>
      <c r="J134" s="3618">
        <f>1-I134/H134</f>
        <v>0.91871506561386862</v>
      </c>
      <c r="Q134">
        <f>SUM(Q5:Q30)</f>
        <v>11949976.52</v>
      </c>
      <c r="R134">
        <f>ROUND(Q134*4/365/(H134-I134),2)</f>
        <v>33.14</v>
      </c>
      <c r="S134">
        <f>ROUND(Q134*4/365/H134,2)</f>
        <v>30.45</v>
      </c>
      <c r="U134">
        <f>R134*H134*365</f>
        <v>52024358.412</v>
      </c>
      <c r="V134">
        <f>S134*H134*365</f>
        <v>47801500.109999999</v>
      </c>
    </row>
    <row r="135" spans="2:22">
      <c r="B135" s="2362" t="s">
        <v>3753</v>
      </c>
      <c r="H135">
        <f>SUM(H31:H54)</f>
        <v>3498.08</v>
      </c>
      <c r="I135">
        <f>H43+H44+H45+H51</f>
        <v>662.8</v>
      </c>
      <c r="J135" s="3618">
        <f t="shared" ref="J135:J141" si="2">1-I135/H135</f>
        <v>0.81052463065453051</v>
      </c>
      <c r="Q135">
        <f>SUM(Q31:Q54)</f>
        <v>3557652.88</v>
      </c>
      <c r="R135">
        <f t="shared" ref="R135:R141" si="3">ROUND(Q135*4/365/(H135-I135),2)</f>
        <v>13.75</v>
      </c>
      <c r="S135">
        <f t="shared" ref="S135:S141" si="4">ROUND(Q135*4/365/H135,2)</f>
        <v>11.15</v>
      </c>
      <c r="U135">
        <f t="shared" ref="U135:U138" si="5">R135*H135*365</f>
        <v>17555989</v>
      </c>
      <c r="V135">
        <f t="shared" ref="V135:V142" si="6">S135*H135*365</f>
        <v>14236311.079999998</v>
      </c>
    </row>
    <row r="136" spans="2:22">
      <c r="B136" s="2362" t="s">
        <v>3754</v>
      </c>
      <c r="H136">
        <f>SUM(H55:H65)</f>
        <v>3705.2999999999997</v>
      </c>
      <c r="I136" s="2362">
        <v>0</v>
      </c>
      <c r="J136" s="3618">
        <f t="shared" si="2"/>
        <v>1</v>
      </c>
      <c r="Q136">
        <f>SUM(Q55:Q65)</f>
        <v>2933257</v>
      </c>
      <c r="R136">
        <f t="shared" si="3"/>
        <v>8.68</v>
      </c>
      <c r="S136">
        <f t="shared" si="4"/>
        <v>8.68</v>
      </c>
      <c r="U136">
        <f t="shared" si="5"/>
        <v>11739131.459999999</v>
      </c>
      <c r="V136">
        <f t="shared" si="6"/>
        <v>11739131.459999999</v>
      </c>
    </row>
    <row r="137" spans="2:22">
      <c r="B137" s="2362" t="s">
        <v>3755</v>
      </c>
      <c r="H137">
        <f>SUM(H66:H80)</f>
        <v>3484.08</v>
      </c>
      <c r="I137">
        <f>H74+H79</f>
        <v>451.12</v>
      </c>
      <c r="J137" s="3618">
        <f t="shared" si="2"/>
        <v>0.87051962067461131</v>
      </c>
      <c r="Q137">
        <f>SUM(Q66:Q80)</f>
        <v>2687026.1999999997</v>
      </c>
      <c r="R137">
        <f t="shared" si="3"/>
        <v>9.7100000000000009</v>
      </c>
      <c r="S137">
        <f t="shared" si="4"/>
        <v>8.4499999999999993</v>
      </c>
      <c r="U137">
        <f t="shared" si="5"/>
        <v>12348102.131999999</v>
      </c>
      <c r="V137">
        <f t="shared" si="6"/>
        <v>10745773.739999998</v>
      </c>
    </row>
    <row r="138" spans="2:22" s="2323" customFormat="1">
      <c r="B138" s="2360" t="s">
        <v>3758</v>
      </c>
      <c r="H138" s="2323">
        <f>SUM(H81:H94)</f>
        <v>3832.1100000000006</v>
      </c>
      <c r="I138" s="2323">
        <v>0</v>
      </c>
      <c r="J138" s="3622">
        <f t="shared" si="2"/>
        <v>1</v>
      </c>
      <c r="Q138" s="2323">
        <f>SUM(Q81:Q94)</f>
        <v>3305155</v>
      </c>
      <c r="R138" s="2323">
        <f t="shared" si="3"/>
        <v>9.4499999999999993</v>
      </c>
      <c r="S138" s="2323">
        <f t="shared" si="4"/>
        <v>9.4499999999999993</v>
      </c>
      <c r="U138">
        <f t="shared" si="5"/>
        <v>13217905.4175</v>
      </c>
      <c r="V138">
        <f t="shared" si="6"/>
        <v>13217905.4175</v>
      </c>
    </row>
    <row r="139" spans="2:22" s="3619" customFormat="1">
      <c r="B139" s="3620" t="s">
        <v>3759</v>
      </c>
      <c r="H139" s="3619">
        <f>SUM(H95:H101)</f>
        <v>3710</v>
      </c>
      <c r="I139" s="3619">
        <f>H95+H97+H99</f>
        <v>1308.8000000000002</v>
      </c>
      <c r="J139" s="3621">
        <f t="shared" si="2"/>
        <v>0.64722371967654979</v>
      </c>
      <c r="Q139" s="3619">
        <f>SUM(Q95:Q101)</f>
        <v>1523651</v>
      </c>
      <c r="R139" s="3619">
        <f t="shared" si="3"/>
        <v>6.95</v>
      </c>
      <c r="S139" s="3619">
        <f t="shared" si="4"/>
        <v>4.5</v>
      </c>
    </row>
    <row r="140" spans="2:22">
      <c r="B140" s="2362" t="s">
        <v>3756</v>
      </c>
      <c r="H140">
        <f>SUM(H102:H123)</f>
        <v>3589.2000000000003</v>
      </c>
      <c r="I140">
        <v>0</v>
      </c>
      <c r="J140" s="3618">
        <f t="shared" si="2"/>
        <v>1</v>
      </c>
      <c r="Q140">
        <f>SUM(Q102:Q123)</f>
        <v>2604888</v>
      </c>
      <c r="R140">
        <f t="shared" si="3"/>
        <v>7.95</v>
      </c>
      <c r="S140">
        <f t="shared" si="4"/>
        <v>7.95</v>
      </c>
      <c r="U140">
        <f t="shared" ref="U140:U142" si="7">R140*H140*365</f>
        <v>10414961.100000001</v>
      </c>
      <c r="V140">
        <f t="shared" si="6"/>
        <v>10414961.100000001</v>
      </c>
    </row>
    <row r="141" spans="2:22">
      <c r="B141" s="2362" t="s">
        <v>3757</v>
      </c>
      <c r="H141">
        <f>SUM(H124:H126)</f>
        <v>319</v>
      </c>
      <c r="I141">
        <v>0</v>
      </c>
      <c r="J141" s="3618">
        <f t="shared" si="2"/>
        <v>1</v>
      </c>
      <c r="Q141">
        <f>SUM(Q124:Q126)</f>
        <v>203951</v>
      </c>
      <c r="R141">
        <f t="shared" si="3"/>
        <v>7.01</v>
      </c>
      <c r="S141">
        <f t="shared" si="4"/>
        <v>7.01</v>
      </c>
      <c r="U141">
        <f t="shared" si="7"/>
        <v>816209.35</v>
      </c>
      <c r="V141">
        <f t="shared" si="6"/>
        <v>816209.35</v>
      </c>
    </row>
    <row r="142" spans="2:22">
      <c r="B142" s="2362" t="s">
        <v>3767</v>
      </c>
      <c r="H142">
        <f>'数据-基础表'!M13</f>
        <v>8609.76</v>
      </c>
      <c r="R142">
        <v>2</v>
      </c>
      <c r="S142">
        <v>2</v>
      </c>
      <c r="U142">
        <f t="shared" si="7"/>
        <v>6285124.7999999998</v>
      </c>
      <c r="V142">
        <f t="shared" si="6"/>
        <v>6285124.7999999998</v>
      </c>
    </row>
    <row r="143" spans="2:22">
      <c r="U143">
        <f>SUM(U134:U138,U140:U142)</f>
        <v>124401781.67149998</v>
      </c>
      <c r="V143">
        <f>SUM(V134:V138,V140:V142)</f>
        <v>115256917.05749999</v>
      </c>
    </row>
    <row r="144" spans="2:22">
      <c r="U144">
        <f>U143/365/'数据-汇总表'!E3</f>
        <v>12.485312196179821</v>
      </c>
      <c r="V144">
        <f>V143/365/'数据-汇总表'!E3</f>
        <v>11.567507899782475</v>
      </c>
    </row>
    <row r="145" spans="2:8">
      <c r="B145" s="2362" t="s">
        <v>3765</v>
      </c>
      <c r="H145">
        <f>H134+H135+H136+H137+H138</f>
        <v>18820.489999999998</v>
      </c>
    </row>
    <row r="146" spans="2:8">
      <c r="B146" s="2362" t="s">
        <v>3766</v>
      </c>
      <c r="H146">
        <f>H140+H141</f>
        <v>3908.2000000000003</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30" customWidth="1"/>
    <col min="2" max="9" width="12.109375" style="1030" customWidth="1"/>
    <col min="10" max="16384" width="9" style="1030"/>
  </cols>
  <sheetData>
    <row r="1" spans="1:9" ht="17.399999999999999">
      <c r="A1" s="3636" t="str">
        <f>IF(项目基本情况!B9="房地产市场价值","估价结果一览表","结果表-2")</f>
        <v>结果表-2</v>
      </c>
      <c r="B1" s="3636"/>
      <c r="C1" s="3636"/>
      <c r="D1" s="3636"/>
      <c r="E1" s="3636"/>
      <c r="F1" s="3636"/>
      <c r="G1" s="3636"/>
      <c r="H1" s="3636"/>
      <c r="I1" s="3636"/>
    </row>
    <row r="2" spans="1:9" ht="30" customHeight="1">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spans="1:9" ht="15.6">
      <c r="A3" s="3638"/>
      <c r="B3" s="3638"/>
      <c r="C3" s="3638"/>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128086</v>
      </c>
      <c r="E4" s="3528">
        <f ca="1">结果表!E118</f>
        <v>46921</v>
      </c>
      <c r="F4" s="3528">
        <f ca="1">结果表!F118</f>
        <v>18906</v>
      </c>
      <c r="G4" s="3528">
        <f ca="1">结果表!G118</f>
        <v>6926</v>
      </c>
      <c r="H4" s="3528">
        <f ca="1">结果表!H118</f>
        <v>146992</v>
      </c>
      <c r="I4" s="3528">
        <f ca="1">结果表!I118</f>
        <v>53847</v>
      </c>
    </row>
    <row r="5" spans="1:9" ht="30" customHeight="1">
      <c r="A5" s="3638" t="s">
        <v>112</v>
      </c>
      <c r="B5" s="3638"/>
      <c r="C5" s="3638"/>
      <c r="D5" s="3638" t="str">
        <f ca="1">结果表!D119</f>
        <v>壹拾贰亿捌仟零捌拾陆万元整</v>
      </c>
      <c r="E5" s="3638"/>
      <c r="F5" s="3638" t="str">
        <f ca="1">结果表!F119</f>
        <v>壹亿捌仟玖佰零陆万元整</v>
      </c>
      <c r="G5" s="3638"/>
      <c r="H5" s="3638" t="str">
        <f ca="1">结果表!H119</f>
        <v>壹拾肆亿陆仟玖佰玖拾贰万元整</v>
      </c>
      <c r="I5" s="3638"/>
    </row>
    <row r="6" spans="1:9" ht="15.6">
      <c r="A6" s="3639" t="str">
        <f>结果表!A120</f>
        <v>估价师知悉的法定优先受偿款</v>
      </c>
      <c r="B6" s="3639"/>
      <c r="C6" s="3639"/>
      <c r="D6" s="3639">
        <f>结果表!D120</f>
        <v>0</v>
      </c>
      <c r="E6" s="3639"/>
      <c r="F6" s="3639"/>
      <c r="G6" s="3639"/>
      <c r="H6" s="3639"/>
      <c r="I6" s="3639"/>
    </row>
    <row r="7" spans="1:9" ht="15">
      <c r="A7" s="3638" t="s">
        <v>112</v>
      </c>
      <c r="B7" s="3638"/>
      <c r="C7" s="3638"/>
      <c r="D7" s="3640" t="str">
        <f>结果表!D121</f>
        <v>零元整</v>
      </c>
      <c r="E7" s="3641"/>
      <c r="F7" s="3641"/>
      <c r="G7" s="3641"/>
      <c r="H7" s="3641"/>
      <c r="I7" s="3642"/>
    </row>
    <row r="8" spans="1:9" ht="15.6">
      <c r="A8" s="3639" t="str">
        <f>结果表!A122</f>
        <v>房地产抵押价值</v>
      </c>
      <c r="B8" s="3639"/>
      <c r="C8" s="3639"/>
      <c r="D8" s="3639">
        <f ca="1">结果表!D122</f>
        <v>146992</v>
      </c>
      <c r="E8" s="3639"/>
      <c r="F8" s="3639"/>
      <c r="G8" s="3639"/>
      <c r="H8" s="3639"/>
      <c r="I8" s="3639"/>
    </row>
    <row r="9" spans="1:9" ht="15">
      <c r="A9" s="3638" t="s">
        <v>112</v>
      </c>
      <c r="B9" s="3638"/>
      <c r="C9" s="3638"/>
      <c r="D9" s="3638" t="str">
        <f ca="1">结果表!D123</f>
        <v>壹拾肆亿陆仟玖佰玖拾贰万元整</v>
      </c>
      <c r="E9" s="3638"/>
      <c r="F9" s="3638"/>
      <c r="G9" s="3638"/>
      <c r="H9" s="3638"/>
      <c r="I9" s="3638"/>
    </row>
    <row r="10" spans="1:9" ht="15.6">
      <c r="A10" s="3639" t="str">
        <f>结果表!A124</f>
        <v/>
      </c>
      <c r="B10" s="3639"/>
      <c r="C10" s="3639"/>
      <c r="D10" s="3639" t="str">
        <f>结果表!D124</f>
        <v>——</v>
      </c>
      <c r="E10" s="3639"/>
      <c r="F10" s="3639"/>
      <c r="G10" s="3639"/>
      <c r="H10" s="3639"/>
      <c r="I10" s="3639"/>
    </row>
    <row r="11" spans="1:9" ht="15">
      <c r="A11" s="3638" t="s">
        <v>112</v>
      </c>
      <c r="B11" s="3638"/>
      <c r="C11" s="3638"/>
      <c r="D11" s="3638" t="e">
        <f>结果表!D125</f>
        <v>#VALUE!</v>
      </c>
      <c r="E11" s="3638"/>
      <c r="F11" s="3638"/>
      <c r="G11" s="3638"/>
      <c r="H11" s="3638"/>
      <c r="I11" s="3638"/>
    </row>
    <row r="12" spans="1:9" ht="15.6">
      <c r="A12" s="3639" t="str">
        <f>结果表!A126</f>
        <v>抵押净值</v>
      </c>
      <c r="B12" s="3639"/>
      <c r="C12" s="3639"/>
      <c r="D12" s="3639">
        <f ca="1">结果表!D126</f>
        <v>134641</v>
      </c>
      <c r="E12" s="3639"/>
      <c r="F12" s="3639"/>
      <c r="G12" s="3639"/>
      <c r="H12" s="3639"/>
      <c r="I12" s="3639"/>
    </row>
    <row r="13" spans="1:9" ht="15">
      <c r="A13" s="3643" t="s">
        <v>112</v>
      </c>
      <c r="B13" s="3643"/>
      <c r="C13" s="3643"/>
      <c r="D13" s="3643" t="str">
        <f ca="1">结果表!D127</f>
        <v>壹拾叁亿肆仟陆佰肆拾壹万元整</v>
      </c>
      <c r="E13" s="3643"/>
      <c r="F13" s="3643"/>
      <c r="G13" s="3643"/>
      <c r="H13" s="3643"/>
      <c r="I13" s="3643"/>
    </row>
    <row r="14" spans="1:9">
      <c r="A14" s="3644" t="s">
        <v>113</v>
      </c>
      <c r="B14" s="3644"/>
      <c r="C14" s="3644"/>
      <c r="D14" s="3644"/>
      <c r="E14" s="3644"/>
      <c r="F14" s="3644"/>
      <c r="G14" s="3644"/>
      <c r="H14" s="3644"/>
      <c r="I14" s="3644"/>
    </row>
    <row r="16" spans="1:9" ht="17.399999999999999">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A100" zoomScale="80" zoomScaleNormal="80" workbookViewId="0">
      <selection activeCell="M3" sqref="M3"/>
    </sheetView>
  </sheetViews>
  <sheetFormatPr defaultColWidth="8.33203125" defaultRowHeight="14.4"/>
  <cols>
    <col min="1" max="1" width="4.88671875" style="4" customWidth="1"/>
    <col min="2" max="2" width="8.21875" style="3" customWidth="1"/>
    <col min="3" max="3" width="14.44140625" style="5" customWidth="1"/>
    <col min="4" max="4" width="8.33203125" style="3" customWidth="1"/>
    <col min="5" max="5" width="12.88671875" style="6" customWidth="1"/>
    <col min="6" max="6" width="15.77734375" style="6" customWidth="1"/>
    <col min="7" max="7" width="6.88671875" style="4" customWidth="1"/>
    <col min="8" max="8" width="33.44140625" style="7" customWidth="1"/>
    <col min="9" max="9" width="12.44140625" style="7" customWidth="1"/>
    <col min="10" max="10" width="6.88671875" style="8" customWidth="1"/>
    <col min="11" max="11" width="7.44140625" style="8" customWidth="1"/>
    <col min="12" max="12" width="8.33203125" style="8" customWidth="1"/>
    <col min="13" max="13" width="8.88671875" style="9" customWidth="1"/>
    <col min="14" max="14" width="12.21875" style="10" customWidth="1"/>
    <col min="15" max="15" width="11.44140625" style="11" customWidth="1"/>
    <col min="16" max="16" width="9.109375" style="11" customWidth="1"/>
    <col min="17" max="17" width="8" style="11" customWidth="1"/>
    <col min="18" max="18" width="7.109375" style="12" customWidth="1"/>
    <col min="19" max="19" width="10.44140625" style="13" customWidth="1"/>
    <col min="20" max="21" width="7.77734375" style="14" customWidth="1"/>
    <col min="22" max="22" width="15.88671875" style="14" customWidth="1"/>
    <col min="23" max="23" width="9.77734375" style="15" customWidth="1"/>
    <col min="24" max="24" width="8.33203125" style="15" customWidth="1"/>
    <col min="25" max="25" width="9.77734375" style="15" customWidth="1"/>
    <col min="26" max="26" width="8.77734375" style="15" customWidth="1"/>
    <col min="27" max="29" width="9.44140625" style="15" customWidth="1"/>
    <col min="30" max="30" width="9.21875" style="15" customWidth="1"/>
    <col min="31" max="31" width="9.21875" style="16" customWidth="1"/>
    <col min="32" max="36" width="9.21875" style="15" customWidth="1"/>
    <col min="37" max="37" width="10" style="15" customWidth="1"/>
    <col min="38" max="38" width="10.21875" style="17" customWidth="1"/>
    <col min="39" max="39" width="10.33203125" style="17" customWidth="1"/>
    <col min="40" max="40" width="12" style="15" customWidth="1"/>
    <col min="41" max="41" width="8.44140625" style="15" customWidth="1"/>
    <col min="42" max="42" width="7.21875" style="15" customWidth="1"/>
    <col min="43" max="43" width="6.6640625" style="15" customWidth="1"/>
    <col min="44" max="44" width="14" style="15" customWidth="1"/>
    <col min="45" max="45" width="9.44140625" style="18" hidden="1" customWidth="1"/>
    <col min="46" max="46" width="10.44140625" style="18" hidden="1" customWidth="1"/>
    <col min="47" max="47" width="11.21875" style="3" hidden="1" customWidth="1"/>
    <col min="48" max="50" width="9.6640625" style="3" hidden="1" customWidth="1"/>
    <col min="51" max="51" width="18" style="15" customWidth="1"/>
    <col min="52" max="52" width="12" style="19" customWidth="1"/>
    <col min="53" max="16156" width="8.33203125" style="3" customWidth="1"/>
    <col min="16157" max="16322" width="8.33203125" style="3"/>
    <col min="16323" max="16353" width="8.33203125" style="20"/>
    <col min="16354" max="16384" width="8.33203125" style="3"/>
  </cols>
  <sheetData>
    <row r="1" spans="1:52" s="1" customFormat="1" ht="37.200000000000003" customHeight="1">
      <c r="A1" s="3965" t="s">
        <v>3015</v>
      </c>
      <c r="B1" s="3966"/>
      <c r="C1" s="3966"/>
      <c r="D1" s="3966"/>
      <c r="E1" s="3966"/>
      <c r="F1" s="3966"/>
      <c r="G1" s="21"/>
      <c r="H1" s="21"/>
      <c r="I1" s="21"/>
      <c r="J1" s="3967" t="s">
        <v>3016</v>
      </c>
      <c r="K1" s="3967"/>
      <c r="L1" s="3967"/>
      <c r="M1" s="3968"/>
      <c r="N1" s="44" t="s">
        <v>3243</v>
      </c>
      <c r="O1" s="3969" t="s">
        <v>3244</v>
      </c>
      <c r="P1" s="3969"/>
      <c r="Q1" s="3969"/>
      <c r="R1" s="3969"/>
      <c r="S1" s="3969"/>
      <c r="T1" s="3969"/>
      <c r="U1" s="3970"/>
      <c r="V1" s="3970"/>
      <c r="W1" s="3971" t="s">
        <v>3245</v>
      </c>
      <c r="X1" s="3972"/>
      <c r="Y1" s="3972"/>
      <c r="Z1" s="3972"/>
      <c r="AA1" s="3972"/>
      <c r="AB1" s="3972"/>
      <c r="AC1" s="3972"/>
      <c r="AD1" s="3973" t="s">
        <v>3246</v>
      </c>
      <c r="AE1" s="3973"/>
      <c r="AF1" s="3973"/>
      <c r="AG1" s="3973"/>
      <c r="AH1" s="3973"/>
      <c r="AI1" s="3973"/>
      <c r="AJ1" s="3973"/>
      <c r="AK1" s="3973"/>
      <c r="AL1" s="3963" t="s">
        <v>3247</v>
      </c>
      <c r="AM1" s="3963"/>
      <c r="AN1" s="3963"/>
      <c r="AO1" s="3963"/>
      <c r="AP1" s="3963"/>
      <c r="AQ1" s="3963"/>
      <c r="AR1" s="3963"/>
      <c r="AS1" s="3964" t="s">
        <v>3248</v>
      </c>
      <c r="AT1" s="3964"/>
      <c r="AU1" s="3964"/>
      <c r="AV1" s="3964"/>
      <c r="AW1" s="3964"/>
      <c r="AX1" s="3964"/>
      <c r="AY1" s="3964"/>
      <c r="AZ1" s="72" t="s">
        <v>3249</v>
      </c>
    </row>
    <row r="2" spans="1:52" s="2" customFormat="1" ht="63" customHeight="1">
      <c r="A2" s="22" t="s">
        <v>3019</v>
      </c>
      <c r="B2" s="23" t="s">
        <v>3020</v>
      </c>
      <c r="C2" s="24" t="s">
        <v>3021</v>
      </c>
      <c r="D2" s="24" t="s">
        <v>3022</v>
      </c>
      <c r="E2" s="25" t="s">
        <v>3250</v>
      </c>
      <c r="F2" s="25" t="s">
        <v>3251</v>
      </c>
      <c r="G2" s="26" t="s">
        <v>361</v>
      </c>
      <c r="H2" s="27" t="s">
        <v>3252</v>
      </c>
      <c r="I2" s="43" t="s">
        <v>3253</v>
      </c>
      <c r="J2" s="42" t="s">
        <v>758</v>
      </c>
      <c r="K2" s="42" t="s">
        <v>3026</v>
      </c>
      <c r="L2" s="42" t="s">
        <v>3027</v>
      </c>
      <c r="M2" s="25" t="s">
        <v>351</v>
      </c>
      <c r="N2" s="45" t="s">
        <v>3254</v>
      </c>
      <c r="O2" s="46" t="s">
        <v>758</v>
      </c>
      <c r="P2" s="46" t="s">
        <v>3026</v>
      </c>
      <c r="Q2" s="46" t="s">
        <v>3027</v>
      </c>
      <c r="R2" s="57" t="s">
        <v>3255</v>
      </c>
      <c r="S2" s="57" t="s">
        <v>3256</v>
      </c>
      <c r="T2" s="57" t="s">
        <v>3257</v>
      </c>
      <c r="U2" s="57" t="s">
        <v>3258</v>
      </c>
      <c r="V2" s="57" t="s">
        <v>351</v>
      </c>
      <c r="W2" s="57" t="s">
        <v>758</v>
      </c>
      <c r="X2" s="57" t="s">
        <v>3026</v>
      </c>
      <c r="Y2" s="57" t="s">
        <v>3027</v>
      </c>
      <c r="Z2" s="57" t="s">
        <v>3255</v>
      </c>
      <c r="AA2" s="57" t="s">
        <v>3256</v>
      </c>
      <c r="AB2" s="57" t="s">
        <v>3257</v>
      </c>
      <c r="AC2" s="62" t="s">
        <v>351</v>
      </c>
      <c r="AD2" s="57" t="s">
        <v>758</v>
      </c>
      <c r="AE2" s="57" t="s">
        <v>3026</v>
      </c>
      <c r="AF2" s="57" t="s">
        <v>3027</v>
      </c>
      <c r="AG2" s="57" t="s">
        <v>3255</v>
      </c>
      <c r="AH2" s="57" t="s">
        <v>3256</v>
      </c>
      <c r="AI2" s="57" t="s">
        <v>3257</v>
      </c>
      <c r="AJ2" s="57" t="s">
        <v>3258</v>
      </c>
      <c r="AK2" s="57" t="s">
        <v>351</v>
      </c>
      <c r="AL2" s="65" t="s">
        <v>3259</v>
      </c>
      <c r="AM2" s="65" t="s">
        <v>3260</v>
      </c>
      <c r="AN2" s="65" t="s">
        <v>3261</v>
      </c>
      <c r="AO2" s="65" t="s">
        <v>3262</v>
      </c>
      <c r="AP2" s="65" t="s">
        <v>3263</v>
      </c>
      <c r="AQ2" s="65" t="s">
        <v>3264</v>
      </c>
      <c r="AR2" s="69" t="s">
        <v>3265</v>
      </c>
      <c r="AS2" s="70" t="s">
        <v>3266</v>
      </c>
      <c r="AT2" s="70" t="s">
        <v>3267</v>
      </c>
      <c r="AU2" s="70" t="s">
        <v>3268</v>
      </c>
      <c r="AV2" s="71" t="s">
        <v>3269</v>
      </c>
      <c r="AW2" s="71" t="s">
        <v>3270</v>
      </c>
      <c r="AX2" s="71" t="s">
        <v>3271</v>
      </c>
      <c r="AY2" s="73" t="s">
        <v>3272</v>
      </c>
      <c r="AZ2" s="74" t="s">
        <v>3273</v>
      </c>
    </row>
    <row r="3" spans="1:52" s="3" customFormat="1" ht="60" customHeight="1">
      <c r="A3" s="28" t="s">
        <v>1484</v>
      </c>
      <c r="B3" s="29">
        <v>1001</v>
      </c>
      <c r="C3" s="30" t="s">
        <v>3029</v>
      </c>
      <c r="D3" s="30" t="s">
        <v>3030</v>
      </c>
      <c r="E3" s="31">
        <v>44607</v>
      </c>
      <c r="F3" s="31">
        <v>45838</v>
      </c>
      <c r="G3" s="32">
        <f>(F3-E3)/365</f>
        <v>3.3726027397260272</v>
      </c>
      <c r="H3" s="33" t="s">
        <v>3274</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3275</v>
      </c>
    </row>
    <row r="4" spans="1:52" s="3" customFormat="1" ht="60" customHeight="1">
      <c r="A4" s="28" t="s">
        <v>1484</v>
      </c>
      <c r="B4" s="29">
        <v>1002</v>
      </c>
      <c r="C4" s="30" t="s">
        <v>3031</v>
      </c>
      <c r="D4" s="30" t="s">
        <v>3032</v>
      </c>
      <c r="E4" s="31">
        <v>44652</v>
      </c>
      <c r="F4" s="31">
        <v>45382</v>
      </c>
      <c r="G4" s="32">
        <f t="shared" ref="G4:G67" si="3">(F4-E4)/365</f>
        <v>2</v>
      </c>
      <c r="H4" s="33" t="s">
        <v>3276</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3275</v>
      </c>
    </row>
    <row r="5" spans="1:52" s="3" customFormat="1" ht="60" customHeight="1">
      <c r="A5" s="28" t="s">
        <v>1484</v>
      </c>
      <c r="B5" s="29">
        <v>1010</v>
      </c>
      <c r="C5" s="30" t="s">
        <v>3033</v>
      </c>
      <c r="D5" s="30" t="s">
        <v>3034</v>
      </c>
      <c r="E5" s="31">
        <v>44043</v>
      </c>
      <c r="F5" s="31">
        <v>46964</v>
      </c>
      <c r="G5" s="32">
        <f t="shared" si="3"/>
        <v>8.0027397260273965</v>
      </c>
      <c r="H5" s="33" t="s">
        <v>3277</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3278</v>
      </c>
    </row>
    <row r="6" spans="1:52" s="3" customFormat="1" ht="60" customHeight="1">
      <c r="A6" s="34" t="s">
        <v>1484</v>
      </c>
      <c r="B6" s="29">
        <v>1012</v>
      </c>
      <c r="C6" s="30" t="s">
        <v>3036</v>
      </c>
      <c r="D6" s="30" t="s">
        <v>3037</v>
      </c>
      <c r="E6" s="31">
        <v>44793</v>
      </c>
      <c r="F6" s="31">
        <v>45900</v>
      </c>
      <c r="G6" s="32">
        <f t="shared" si="3"/>
        <v>3.032876712328767</v>
      </c>
      <c r="H6" s="33" t="s">
        <v>3279</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3280</v>
      </c>
    </row>
    <row r="7" spans="1:52" s="3" customFormat="1" ht="60" customHeight="1">
      <c r="A7" s="28" t="s">
        <v>1484</v>
      </c>
      <c r="B7" s="29">
        <v>1017</v>
      </c>
      <c r="C7" s="30" t="s">
        <v>3038</v>
      </c>
      <c r="D7" s="30" t="s">
        <v>3039</v>
      </c>
      <c r="E7" s="31">
        <v>44835</v>
      </c>
      <c r="F7" s="31">
        <v>45565</v>
      </c>
      <c r="G7" s="32">
        <f t="shared" si="3"/>
        <v>2</v>
      </c>
      <c r="H7" s="33" t="s">
        <v>3281</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3275</v>
      </c>
    </row>
    <row r="8" spans="1:52" s="3" customFormat="1" ht="60" customHeight="1">
      <c r="A8" s="28" t="s">
        <v>1484</v>
      </c>
      <c r="B8" s="29">
        <v>1023</v>
      </c>
      <c r="C8" s="30" t="s">
        <v>3040</v>
      </c>
      <c r="D8" s="30" t="s">
        <v>3041</v>
      </c>
      <c r="E8" s="31">
        <v>43546</v>
      </c>
      <c r="F8" s="35">
        <v>45747</v>
      </c>
      <c r="G8" s="32">
        <f t="shared" si="3"/>
        <v>6.0301369863013701</v>
      </c>
      <c r="H8" s="33" t="s">
        <v>3282</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3283</v>
      </c>
    </row>
    <row r="9" spans="1:52" s="3" customFormat="1" ht="60" customHeight="1">
      <c r="A9" s="28" t="s">
        <v>1484</v>
      </c>
      <c r="B9" s="29">
        <v>1027</v>
      </c>
      <c r="C9" s="30" t="s">
        <v>3042</v>
      </c>
      <c r="D9" s="30" t="s">
        <v>3043</v>
      </c>
      <c r="E9" s="31">
        <v>44287</v>
      </c>
      <c r="F9" s="30">
        <v>45747</v>
      </c>
      <c r="G9" s="32">
        <f t="shared" si="3"/>
        <v>4</v>
      </c>
      <c r="H9" s="33" t="s">
        <v>3284</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3275</v>
      </c>
    </row>
    <row r="10" spans="1:52" s="3" customFormat="1" ht="60" customHeight="1">
      <c r="A10" s="28" t="s">
        <v>1484</v>
      </c>
      <c r="B10" s="29">
        <v>1030</v>
      </c>
      <c r="C10" s="30" t="s">
        <v>3031</v>
      </c>
      <c r="D10" s="30" t="s">
        <v>3032</v>
      </c>
      <c r="E10" s="31">
        <v>44652</v>
      </c>
      <c r="F10" s="31">
        <v>45382</v>
      </c>
      <c r="G10" s="32">
        <f t="shared" si="3"/>
        <v>2</v>
      </c>
      <c r="H10" s="33" t="s">
        <v>3285</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3275</v>
      </c>
    </row>
    <row r="11" spans="1:52" s="3" customFormat="1" ht="60" customHeight="1">
      <c r="A11" s="28" t="s">
        <v>1484</v>
      </c>
      <c r="B11" s="29">
        <v>1053</v>
      </c>
      <c r="C11" s="30" t="s">
        <v>3044</v>
      </c>
      <c r="D11" s="30" t="s">
        <v>3045</v>
      </c>
      <c r="E11" s="31">
        <v>44652</v>
      </c>
      <c r="F11" s="31">
        <v>45382</v>
      </c>
      <c r="G11" s="32">
        <f t="shared" si="3"/>
        <v>2</v>
      </c>
      <c r="H11" s="33" t="s">
        <v>3286</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3275</v>
      </c>
    </row>
    <row r="12" spans="1:52" s="3" customFormat="1" ht="60" customHeight="1">
      <c r="A12" s="28" t="s">
        <v>1484</v>
      </c>
      <c r="B12" s="29">
        <v>1055</v>
      </c>
      <c r="C12" s="30" t="s">
        <v>3044</v>
      </c>
      <c r="D12" s="30" t="s">
        <v>3045</v>
      </c>
      <c r="E12" s="31">
        <v>44652</v>
      </c>
      <c r="F12" s="31">
        <v>45382</v>
      </c>
      <c r="G12" s="32">
        <f t="shared" si="3"/>
        <v>2</v>
      </c>
      <c r="H12" s="33" t="s">
        <v>3287</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3275</v>
      </c>
    </row>
    <row r="13" spans="1:52" s="3" customFormat="1" ht="60" customHeight="1">
      <c r="A13" s="28" t="s">
        <v>1484</v>
      </c>
      <c r="B13" s="29">
        <v>1059</v>
      </c>
      <c r="C13" s="30" t="s">
        <v>3046</v>
      </c>
      <c r="D13" s="30" t="s">
        <v>3032</v>
      </c>
      <c r="E13" s="31">
        <v>44652</v>
      </c>
      <c r="F13" s="31">
        <v>45382</v>
      </c>
      <c r="G13" s="32">
        <f t="shared" si="3"/>
        <v>2</v>
      </c>
      <c r="H13" s="33" t="s">
        <v>3288</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1484</v>
      </c>
      <c r="B14" s="29">
        <v>1060</v>
      </c>
      <c r="C14" s="30" t="s">
        <v>3047</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3047</v>
      </c>
    </row>
    <row r="15" spans="1:52" s="3" customFormat="1" ht="60" customHeight="1">
      <c r="A15" s="28" t="s">
        <v>1484</v>
      </c>
      <c r="B15" s="29">
        <v>1076</v>
      </c>
      <c r="C15" s="30" t="s">
        <v>3044</v>
      </c>
      <c r="D15" s="30" t="s">
        <v>3045</v>
      </c>
      <c r="E15" s="31">
        <v>44652</v>
      </c>
      <c r="F15" s="31">
        <v>45382</v>
      </c>
      <c r="G15" s="32">
        <f t="shared" si="3"/>
        <v>2</v>
      </c>
      <c r="H15" s="33" t="s">
        <v>3289</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1484</v>
      </c>
      <c r="B16" s="29">
        <v>1077</v>
      </c>
      <c r="C16" s="30" t="s">
        <v>3048</v>
      </c>
      <c r="D16" s="30" t="s">
        <v>3049</v>
      </c>
      <c r="E16" s="31">
        <v>44819</v>
      </c>
      <c r="F16" s="31">
        <v>45900</v>
      </c>
      <c r="G16" s="32">
        <f t="shared" si="3"/>
        <v>2.9616438356164383</v>
      </c>
      <c r="H16" s="33" t="s">
        <v>3290</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3275</v>
      </c>
    </row>
    <row r="17" spans="1:52" s="3" customFormat="1" ht="60" customHeight="1">
      <c r="A17" s="28" t="s">
        <v>1484</v>
      </c>
      <c r="B17" s="29">
        <v>1088</v>
      </c>
      <c r="C17" s="30" t="s">
        <v>3050</v>
      </c>
      <c r="D17" s="30" t="s">
        <v>3051</v>
      </c>
      <c r="E17" s="31">
        <v>44180</v>
      </c>
      <c r="F17" s="30">
        <v>45657</v>
      </c>
      <c r="G17" s="32">
        <f t="shared" si="3"/>
        <v>4.0465753424657533</v>
      </c>
      <c r="H17" s="33" t="s">
        <v>3291</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3275</v>
      </c>
    </row>
    <row r="18" spans="1:52" s="3" customFormat="1" ht="60" customHeight="1">
      <c r="A18" s="28" t="s">
        <v>1484</v>
      </c>
      <c r="B18" s="29">
        <v>1089</v>
      </c>
      <c r="C18" s="30" t="s">
        <v>3052</v>
      </c>
      <c r="D18" s="30" t="s">
        <v>3053</v>
      </c>
      <c r="E18" s="31">
        <v>44776</v>
      </c>
      <c r="F18" s="31">
        <v>45504</v>
      </c>
      <c r="G18" s="32">
        <f t="shared" si="3"/>
        <v>1.9945205479452055</v>
      </c>
      <c r="H18" s="33" t="s">
        <v>3292</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3293</v>
      </c>
    </row>
    <row r="19" spans="1:52" s="3" customFormat="1" ht="60" customHeight="1">
      <c r="A19" s="34" t="s">
        <v>1484</v>
      </c>
      <c r="B19" s="36">
        <v>1096</v>
      </c>
      <c r="C19" s="30" t="s">
        <v>3054</v>
      </c>
      <c r="D19" s="30" t="s">
        <v>3055</v>
      </c>
      <c r="E19" s="31">
        <v>44652</v>
      </c>
      <c r="F19" s="31">
        <v>45382</v>
      </c>
      <c r="G19" s="32">
        <f t="shared" si="3"/>
        <v>2</v>
      </c>
      <c r="H19" s="33" t="s">
        <v>3294</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3295</v>
      </c>
    </row>
    <row r="20" spans="1:52" s="3" customFormat="1" ht="60" customHeight="1">
      <c r="A20" s="28" t="s">
        <v>1484</v>
      </c>
      <c r="B20" s="29">
        <v>1098</v>
      </c>
      <c r="C20" s="30" t="s">
        <v>3056</v>
      </c>
      <c r="D20" s="30" t="s">
        <v>3057</v>
      </c>
      <c r="E20" s="31">
        <v>44652</v>
      </c>
      <c r="F20" s="31">
        <v>45382</v>
      </c>
      <c r="G20" s="32">
        <f t="shared" si="3"/>
        <v>2</v>
      </c>
      <c r="H20" s="33" t="s">
        <v>3296</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3275</v>
      </c>
    </row>
    <row r="21" spans="1:52" s="3" customFormat="1" ht="60" customHeight="1">
      <c r="A21" s="28" t="s">
        <v>1484</v>
      </c>
      <c r="B21" s="29">
        <v>1099</v>
      </c>
      <c r="C21" s="30" t="s">
        <v>3058</v>
      </c>
      <c r="D21" s="30"/>
      <c r="E21" s="31">
        <v>44652</v>
      </c>
      <c r="F21" s="30">
        <v>45688</v>
      </c>
      <c r="G21" s="32">
        <f t="shared" si="3"/>
        <v>2.8383561643835615</v>
      </c>
      <c r="H21" s="33" t="s">
        <v>3297</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3298</v>
      </c>
    </row>
    <row r="22" spans="1:52" s="3" customFormat="1" ht="60" customHeight="1">
      <c r="A22" s="34" t="s">
        <v>1484</v>
      </c>
      <c r="B22" s="36">
        <v>1108</v>
      </c>
      <c r="C22" s="30" t="s">
        <v>3059</v>
      </c>
      <c r="D22" s="30" t="s">
        <v>3060</v>
      </c>
      <c r="E22" s="31">
        <v>44357</v>
      </c>
      <c r="F22" s="30">
        <v>45747</v>
      </c>
      <c r="G22" s="32">
        <f t="shared" si="3"/>
        <v>3.8082191780821919</v>
      </c>
      <c r="H22" s="33" t="s">
        <v>3299</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3275</v>
      </c>
    </row>
    <row r="23" spans="1:52" s="3" customFormat="1" ht="60" customHeight="1">
      <c r="A23" s="28" t="s">
        <v>1484</v>
      </c>
      <c r="B23" s="29">
        <v>1109</v>
      </c>
      <c r="C23" s="30" t="s">
        <v>3061</v>
      </c>
      <c r="D23" s="30" t="s">
        <v>3062</v>
      </c>
      <c r="E23" s="31">
        <v>44896</v>
      </c>
      <c r="F23" s="31">
        <v>45382</v>
      </c>
      <c r="G23" s="32">
        <f t="shared" si="3"/>
        <v>1.3315068493150686</v>
      </c>
      <c r="H23" s="33" t="s">
        <v>3300</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3283</v>
      </c>
    </row>
    <row r="24" spans="1:52" s="3" customFormat="1" ht="60" customHeight="1">
      <c r="A24" s="28" t="s">
        <v>1484</v>
      </c>
      <c r="B24" s="29">
        <v>1119</v>
      </c>
      <c r="C24" s="30" t="s">
        <v>3063</v>
      </c>
      <c r="D24" s="30" t="s">
        <v>3064</v>
      </c>
      <c r="E24" s="31">
        <v>44367</v>
      </c>
      <c r="F24" s="31">
        <v>45077</v>
      </c>
      <c r="G24" s="32">
        <f t="shared" si="3"/>
        <v>1.9452054794520548</v>
      </c>
      <c r="H24" s="33" t="s">
        <v>3301</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3275</v>
      </c>
    </row>
    <row r="25" spans="1:52" s="3" customFormat="1" ht="60" customHeight="1">
      <c r="A25" s="28" t="s">
        <v>1484</v>
      </c>
      <c r="B25" s="29">
        <v>1120</v>
      </c>
      <c r="C25" s="30" t="s">
        <v>3047</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3047</v>
      </c>
    </row>
    <row r="26" spans="1:52" s="3" customFormat="1" ht="60" customHeight="1">
      <c r="A26" s="28" t="s">
        <v>1484</v>
      </c>
      <c r="B26" s="29">
        <v>1121</v>
      </c>
      <c r="C26" s="30" t="s">
        <v>3065</v>
      </c>
      <c r="D26" s="30" t="s">
        <v>3066</v>
      </c>
      <c r="E26" s="31">
        <v>44287</v>
      </c>
      <c r="F26" s="30">
        <v>45747</v>
      </c>
      <c r="G26" s="32">
        <f t="shared" si="3"/>
        <v>4</v>
      </c>
      <c r="H26" s="33" t="s">
        <v>3302</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3275</v>
      </c>
    </row>
    <row r="27" spans="1:52" s="3" customFormat="1" ht="60" customHeight="1">
      <c r="A27" s="28" t="s">
        <v>1484</v>
      </c>
      <c r="B27" s="29">
        <v>1122</v>
      </c>
      <c r="C27" s="30" t="s">
        <v>3067</v>
      </c>
      <c r="D27" s="30" t="s">
        <v>3068</v>
      </c>
      <c r="E27" s="31">
        <v>44378</v>
      </c>
      <c r="F27" s="31">
        <v>45107</v>
      </c>
      <c r="G27" s="32">
        <f t="shared" si="3"/>
        <v>1.9972602739726026</v>
      </c>
      <c r="H27" s="33" t="s">
        <v>3303</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3283</v>
      </c>
    </row>
    <row r="28" spans="1:52" s="3" customFormat="1" ht="60" customHeight="1">
      <c r="A28" s="28" t="s">
        <v>1484</v>
      </c>
      <c r="B28" s="29">
        <v>1123</v>
      </c>
      <c r="C28" s="30" t="s">
        <v>3032</v>
      </c>
      <c r="D28" s="30" t="s">
        <v>3032</v>
      </c>
      <c r="E28" s="31">
        <v>44825</v>
      </c>
      <c r="F28" s="31">
        <v>45565</v>
      </c>
      <c r="G28" s="32">
        <f t="shared" si="3"/>
        <v>2.0273972602739727</v>
      </c>
      <c r="H28" s="33" t="s">
        <v>3304</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3275</v>
      </c>
    </row>
    <row r="29" spans="1:52" s="3" customFormat="1" ht="60" customHeight="1">
      <c r="A29" s="28" t="s">
        <v>3305</v>
      </c>
      <c r="B29" s="29">
        <v>2012</v>
      </c>
      <c r="C29" s="30" t="s">
        <v>3069</v>
      </c>
      <c r="D29" s="30" t="s">
        <v>3070</v>
      </c>
      <c r="E29" s="31">
        <v>44777</v>
      </c>
      <c r="F29" s="31">
        <v>45382</v>
      </c>
      <c r="G29" s="32">
        <f t="shared" si="3"/>
        <v>1.6575342465753424</v>
      </c>
      <c r="H29" s="33" t="s">
        <v>3306</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3275</v>
      </c>
    </row>
    <row r="30" spans="1:52" s="3" customFormat="1" ht="60" customHeight="1">
      <c r="A30" s="28" t="s">
        <v>3305</v>
      </c>
      <c r="B30" s="29">
        <v>2041</v>
      </c>
      <c r="C30" s="30" t="s">
        <v>3059</v>
      </c>
      <c r="D30" s="30" t="s">
        <v>3060</v>
      </c>
      <c r="E30" s="31">
        <v>44577</v>
      </c>
      <c r="F30" s="31">
        <v>45382</v>
      </c>
      <c r="G30" s="32">
        <f t="shared" si="3"/>
        <v>2.2054794520547945</v>
      </c>
      <c r="H30" s="33" t="s">
        <v>3307</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3308</v>
      </c>
    </row>
    <row r="31" spans="1:52" s="3" customFormat="1" ht="60" customHeight="1">
      <c r="A31" s="28" t="s">
        <v>3305</v>
      </c>
      <c r="B31" s="29">
        <v>2051</v>
      </c>
      <c r="C31" s="30" t="s">
        <v>3036</v>
      </c>
      <c r="D31" s="30" t="s">
        <v>3037</v>
      </c>
      <c r="E31" s="31">
        <v>44793</v>
      </c>
      <c r="F31" s="31">
        <v>45900</v>
      </c>
      <c r="G31" s="32">
        <f t="shared" si="3"/>
        <v>3.032876712328767</v>
      </c>
      <c r="H31" s="33" t="s">
        <v>3309</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3275</v>
      </c>
    </row>
    <row r="32" spans="1:52" s="3" customFormat="1" ht="60" customHeight="1">
      <c r="A32" s="28" t="s">
        <v>3305</v>
      </c>
      <c r="B32" s="29">
        <v>2058</v>
      </c>
      <c r="C32" s="30" t="s">
        <v>3071</v>
      </c>
      <c r="D32" s="30" t="s">
        <v>3072</v>
      </c>
      <c r="E32" s="31">
        <v>44777</v>
      </c>
      <c r="F32" s="31">
        <v>45382</v>
      </c>
      <c r="G32" s="32">
        <f t="shared" si="3"/>
        <v>1.6575342465753424</v>
      </c>
      <c r="H32" s="33" t="s">
        <v>3310</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3283</v>
      </c>
    </row>
    <row r="33" spans="1:52" s="3" customFormat="1" ht="60" customHeight="1">
      <c r="A33" s="28" t="s">
        <v>3305</v>
      </c>
      <c r="B33" s="29">
        <v>2059</v>
      </c>
      <c r="C33" s="30" t="s">
        <v>3073</v>
      </c>
      <c r="D33" s="30" t="s">
        <v>3074</v>
      </c>
      <c r="E33" s="31">
        <v>44577</v>
      </c>
      <c r="F33" s="31">
        <v>45382</v>
      </c>
      <c r="G33" s="32">
        <f t="shared" si="3"/>
        <v>2.2054794520547945</v>
      </c>
      <c r="H33" s="33" t="s">
        <v>3311</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3275</v>
      </c>
    </row>
    <row r="34" spans="1:52" s="3" customFormat="1" ht="60" customHeight="1">
      <c r="A34" s="28" t="s">
        <v>3305</v>
      </c>
      <c r="B34" s="29">
        <v>2063</v>
      </c>
      <c r="C34" s="30" t="s">
        <v>3075</v>
      </c>
      <c r="D34" s="30" t="s">
        <v>3076</v>
      </c>
      <c r="E34" s="31">
        <v>44625</v>
      </c>
      <c r="F34" s="31">
        <v>45382</v>
      </c>
      <c r="G34" s="32">
        <f t="shared" si="3"/>
        <v>2.0739726027397261</v>
      </c>
      <c r="H34" s="33" t="s">
        <v>3312</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3275</v>
      </c>
    </row>
    <row r="35" spans="1:52" s="3" customFormat="1" ht="60" customHeight="1">
      <c r="A35" s="34" t="s">
        <v>3305</v>
      </c>
      <c r="B35" s="29">
        <v>2065</v>
      </c>
      <c r="C35" s="30" t="s">
        <v>3077</v>
      </c>
      <c r="D35" s="30" t="s">
        <v>3078</v>
      </c>
      <c r="E35" s="31">
        <v>44577</v>
      </c>
      <c r="F35" s="31">
        <v>45382</v>
      </c>
      <c r="G35" s="32">
        <f t="shared" si="3"/>
        <v>2.2054794520547945</v>
      </c>
      <c r="H35" s="33" t="s">
        <v>3313</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3308</v>
      </c>
    </row>
    <row r="36" spans="1:52" s="3" customFormat="1" ht="60" customHeight="1">
      <c r="A36" s="28" t="s">
        <v>3305</v>
      </c>
      <c r="B36" s="29">
        <v>2078</v>
      </c>
      <c r="C36" s="30" t="s">
        <v>3048</v>
      </c>
      <c r="D36" s="30" t="s">
        <v>3079</v>
      </c>
      <c r="E36" s="31">
        <v>44577</v>
      </c>
      <c r="F36" s="31">
        <v>45657</v>
      </c>
      <c r="G36" s="32">
        <f t="shared" si="3"/>
        <v>2.9589041095890409</v>
      </c>
      <c r="H36" s="33" t="s">
        <v>3314</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3275</v>
      </c>
    </row>
    <row r="37" spans="1:52" s="3" customFormat="1" ht="60" customHeight="1">
      <c r="A37" s="28" t="s">
        <v>3305</v>
      </c>
      <c r="B37" s="29">
        <v>2087</v>
      </c>
      <c r="C37" s="30" t="s">
        <v>3080</v>
      </c>
      <c r="D37" s="30" t="s">
        <v>3081</v>
      </c>
      <c r="E37" s="31">
        <v>44577</v>
      </c>
      <c r="F37" s="31">
        <v>45382</v>
      </c>
      <c r="G37" s="32">
        <f t="shared" si="3"/>
        <v>2.2054794520547945</v>
      </c>
      <c r="H37" s="33" t="s">
        <v>3315</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3275</v>
      </c>
    </row>
    <row r="38" spans="1:52" s="3" customFormat="1" ht="60" customHeight="1">
      <c r="A38" s="34" t="s">
        <v>3305</v>
      </c>
      <c r="B38" s="29">
        <v>2088</v>
      </c>
      <c r="C38" s="30" t="s">
        <v>3082</v>
      </c>
      <c r="D38" s="30" t="s">
        <v>3083</v>
      </c>
      <c r="E38" s="31">
        <v>44577</v>
      </c>
      <c r="F38" s="31">
        <v>45382</v>
      </c>
      <c r="G38" s="32">
        <f t="shared" si="3"/>
        <v>2.2054794520547945</v>
      </c>
      <c r="H38" s="33" t="s">
        <v>3316</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3317</v>
      </c>
    </row>
    <row r="39" spans="1:52" s="3" customFormat="1" ht="60" customHeight="1">
      <c r="A39" s="28" t="s">
        <v>3305</v>
      </c>
      <c r="B39" s="29">
        <v>2093</v>
      </c>
      <c r="C39" s="30" t="s">
        <v>3084</v>
      </c>
      <c r="D39" s="30" t="s">
        <v>3062</v>
      </c>
      <c r="E39" s="31">
        <v>44577</v>
      </c>
      <c r="F39" s="31">
        <v>45382</v>
      </c>
      <c r="G39" s="32">
        <f t="shared" si="3"/>
        <v>2.2054794520547945</v>
      </c>
      <c r="H39" s="33" t="s">
        <v>3318</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3305</v>
      </c>
      <c r="B40" s="29">
        <v>2095</v>
      </c>
      <c r="C40" s="30" t="s">
        <v>3084</v>
      </c>
      <c r="D40" s="30" t="s">
        <v>3062</v>
      </c>
      <c r="E40" s="31">
        <v>44577</v>
      </c>
      <c r="F40" s="31">
        <v>45382</v>
      </c>
      <c r="G40" s="32">
        <f t="shared" si="3"/>
        <v>2.2054794520547945</v>
      </c>
      <c r="H40" s="33" t="s">
        <v>3319</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3283</v>
      </c>
    </row>
    <row r="41" spans="1:52" s="3" customFormat="1" ht="60" customHeight="1">
      <c r="A41" s="28" t="s">
        <v>3305</v>
      </c>
      <c r="B41" s="29">
        <v>2096</v>
      </c>
      <c r="C41" s="30" t="s">
        <v>3047</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3047</v>
      </c>
    </row>
    <row r="42" spans="1:52" s="3" customFormat="1" ht="60" customHeight="1">
      <c r="A42" s="28" t="s">
        <v>3305</v>
      </c>
      <c r="B42" s="29">
        <v>2097</v>
      </c>
      <c r="C42" s="30" t="s">
        <v>3047</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3047</v>
      </c>
    </row>
    <row r="43" spans="1:52" s="3" customFormat="1" ht="60" customHeight="1">
      <c r="A43" s="34" t="s">
        <v>3305</v>
      </c>
      <c r="B43" s="29">
        <v>2098</v>
      </c>
      <c r="C43" s="30" t="s">
        <v>3047</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3047</v>
      </c>
    </row>
    <row r="44" spans="1:52" s="3" customFormat="1" ht="60" customHeight="1">
      <c r="A44" s="28" t="s">
        <v>3305</v>
      </c>
      <c r="B44" s="29">
        <v>2099</v>
      </c>
      <c r="C44" s="30" t="s">
        <v>3085</v>
      </c>
      <c r="D44" s="30" t="s">
        <v>3086</v>
      </c>
      <c r="E44" s="31">
        <v>44577</v>
      </c>
      <c r="F44" s="31">
        <v>45382</v>
      </c>
      <c r="G44" s="32">
        <f t="shared" si="3"/>
        <v>2.2054794520547945</v>
      </c>
      <c r="H44" s="33" t="s">
        <v>3320</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3275</v>
      </c>
    </row>
    <row r="45" spans="1:52" s="3" customFormat="1" ht="60" customHeight="1">
      <c r="A45" s="34" t="s">
        <v>3305</v>
      </c>
      <c r="B45" s="29">
        <v>2101</v>
      </c>
      <c r="C45" s="30" t="s">
        <v>3087</v>
      </c>
      <c r="D45" s="30" t="s">
        <v>3088</v>
      </c>
      <c r="E45" s="31">
        <v>44577</v>
      </c>
      <c r="F45" s="31">
        <v>45382</v>
      </c>
      <c r="G45" s="32">
        <f t="shared" si="3"/>
        <v>2.2054794520547945</v>
      </c>
      <c r="H45" s="33" t="s">
        <v>3321</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3308</v>
      </c>
    </row>
    <row r="46" spans="1:52" s="3" customFormat="1" ht="60" customHeight="1">
      <c r="A46" s="28" t="s">
        <v>3305</v>
      </c>
      <c r="B46" s="29">
        <v>2102</v>
      </c>
      <c r="C46" s="30" t="s">
        <v>3047</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3047</v>
      </c>
    </row>
    <row r="47" spans="1:52" s="3" customFormat="1" ht="60" customHeight="1">
      <c r="A47" s="28" t="s">
        <v>3305</v>
      </c>
      <c r="B47" s="29">
        <v>2103</v>
      </c>
      <c r="C47" s="30" t="s">
        <v>3090</v>
      </c>
      <c r="D47" s="30" t="s">
        <v>3091</v>
      </c>
      <c r="E47" s="31">
        <v>44805</v>
      </c>
      <c r="F47" s="31">
        <v>45535</v>
      </c>
      <c r="G47" s="32">
        <f t="shared" si="3"/>
        <v>2</v>
      </c>
      <c r="H47" s="33" t="s">
        <v>3322</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3323</v>
      </c>
      <c r="D48" s="30"/>
      <c r="E48" s="30">
        <v>44977</v>
      </c>
      <c r="F48" s="30">
        <v>45747</v>
      </c>
      <c r="G48" s="32">
        <f t="shared" si="3"/>
        <v>2.1095890410958904</v>
      </c>
      <c r="H48" s="37" t="s">
        <v>3324</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3325</v>
      </c>
    </row>
    <row r="49" spans="1:52" s="3" customFormat="1" ht="60" customHeight="1">
      <c r="A49" s="28" t="s">
        <v>3305</v>
      </c>
      <c r="B49" s="29">
        <v>2107</v>
      </c>
      <c r="C49" s="30" t="s">
        <v>3326</v>
      </c>
      <c r="D49" s="30"/>
      <c r="E49" s="31">
        <v>44835</v>
      </c>
      <c r="F49" s="38">
        <v>45746</v>
      </c>
      <c r="G49" s="32">
        <f t="shared" si="3"/>
        <v>2.495890410958904</v>
      </c>
      <c r="H49" s="39" t="s">
        <v>3327</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3283</v>
      </c>
    </row>
    <row r="50" spans="1:52" s="3" customFormat="1" ht="60" customHeight="1">
      <c r="A50" s="28" t="s">
        <v>3305</v>
      </c>
      <c r="B50" s="29">
        <v>2128</v>
      </c>
      <c r="C50" s="30" t="s">
        <v>3058</v>
      </c>
      <c r="D50" s="30"/>
      <c r="E50" s="31">
        <v>44577</v>
      </c>
      <c r="F50" s="31">
        <v>45382</v>
      </c>
      <c r="G50" s="32">
        <f t="shared" si="3"/>
        <v>2.2054794520547945</v>
      </c>
      <c r="H50" s="33" t="s">
        <v>3328</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3329</v>
      </c>
    </row>
    <row r="51" spans="1:52" s="3" customFormat="1" ht="60" customHeight="1">
      <c r="A51" s="28" t="s">
        <v>3305</v>
      </c>
      <c r="B51" s="29">
        <v>2137</v>
      </c>
      <c r="C51" s="30" t="s">
        <v>3093</v>
      </c>
      <c r="D51" s="30" t="s">
        <v>3094</v>
      </c>
      <c r="E51" s="31">
        <v>44577</v>
      </c>
      <c r="F51" s="31">
        <v>45382</v>
      </c>
      <c r="G51" s="32">
        <f t="shared" si="3"/>
        <v>2.2054794520547945</v>
      </c>
      <c r="H51" s="33" t="s">
        <v>3330</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3275</v>
      </c>
    </row>
    <row r="52" spans="1:52" s="3" customFormat="1" ht="60" customHeight="1">
      <c r="A52" s="28" t="s">
        <v>3305</v>
      </c>
      <c r="B52" s="29">
        <v>2141</v>
      </c>
      <c r="C52" s="30" t="s">
        <v>3095</v>
      </c>
      <c r="D52" s="30" t="s">
        <v>3096</v>
      </c>
      <c r="E52" s="31">
        <v>44577</v>
      </c>
      <c r="F52" s="31">
        <v>45382</v>
      </c>
      <c r="G52" s="32">
        <f t="shared" si="3"/>
        <v>2.2054794520547945</v>
      </c>
      <c r="H52" s="33" t="s">
        <v>3331</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3275</v>
      </c>
    </row>
    <row r="53" spans="1:52" s="3" customFormat="1" ht="60" customHeight="1">
      <c r="A53" s="34">
        <v>2</v>
      </c>
      <c r="B53" s="29" t="s">
        <v>3332</v>
      </c>
      <c r="C53" s="30" t="s">
        <v>3333</v>
      </c>
      <c r="D53" s="30" t="s">
        <v>3334</v>
      </c>
      <c r="E53" s="31">
        <v>44915</v>
      </c>
      <c r="F53" s="31">
        <v>45096</v>
      </c>
      <c r="G53" s="32">
        <f t="shared" si="3"/>
        <v>0.49589041095890413</v>
      </c>
      <c r="H53" s="33" t="s">
        <v>3335</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3308</v>
      </c>
    </row>
    <row r="54" spans="1:52" s="3" customFormat="1" ht="60" customHeight="1">
      <c r="A54" s="28" t="s">
        <v>1407</v>
      </c>
      <c r="B54" s="29">
        <v>3003</v>
      </c>
      <c r="C54" s="30" t="s">
        <v>3097</v>
      </c>
      <c r="D54" s="30" t="s">
        <v>3098</v>
      </c>
      <c r="E54" s="31">
        <v>44835</v>
      </c>
      <c r="F54" s="31">
        <v>45565</v>
      </c>
      <c r="G54" s="32">
        <f t="shared" si="3"/>
        <v>2</v>
      </c>
      <c r="H54" s="33" t="s">
        <v>3336</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3275</v>
      </c>
    </row>
    <row r="55" spans="1:52" s="3" customFormat="1" ht="60" customHeight="1">
      <c r="A55" s="28" t="s">
        <v>1407</v>
      </c>
      <c r="B55" s="29">
        <v>3005</v>
      </c>
      <c r="C55" s="30" t="s">
        <v>3099</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3275</v>
      </c>
    </row>
    <row r="56" spans="1:52" s="3" customFormat="1" ht="60" customHeight="1">
      <c r="A56" s="28" t="s">
        <v>1407</v>
      </c>
      <c r="B56" s="29">
        <v>3006</v>
      </c>
      <c r="C56" s="30" t="s">
        <v>3100</v>
      </c>
      <c r="D56" s="30" t="s">
        <v>3101</v>
      </c>
      <c r="E56" s="31">
        <v>44078</v>
      </c>
      <c r="F56" s="31">
        <v>45291</v>
      </c>
      <c r="G56" s="32">
        <f t="shared" si="3"/>
        <v>3.3232876712328765</v>
      </c>
      <c r="H56" s="33" t="s">
        <v>3337</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3329</v>
      </c>
    </row>
    <row r="57" spans="1:52" s="3" customFormat="1" ht="60" customHeight="1">
      <c r="A57" s="34" t="s">
        <v>1407</v>
      </c>
      <c r="B57" s="29">
        <v>3008</v>
      </c>
      <c r="C57" s="30" t="s">
        <v>3102</v>
      </c>
      <c r="D57" s="30" t="s">
        <v>3103</v>
      </c>
      <c r="E57" s="31">
        <v>43070</v>
      </c>
      <c r="F57" s="31">
        <v>45565</v>
      </c>
      <c r="G57" s="32">
        <f t="shared" si="3"/>
        <v>6.8356164383561646</v>
      </c>
      <c r="H57" s="33" t="s">
        <v>3338</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3283</v>
      </c>
    </row>
    <row r="58" spans="1:52" s="3" customFormat="1" ht="60" customHeight="1">
      <c r="A58" s="28" t="s">
        <v>1407</v>
      </c>
      <c r="B58" s="29">
        <v>3019</v>
      </c>
      <c r="C58" s="30" t="s">
        <v>3102</v>
      </c>
      <c r="D58" s="30" t="s">
        <v>3103</v>
      </c>
      <c r="E58" s="31">
        <v>43070</v>
      </c>
      <c r="F58" s="31">
        <v>45565</v>
      </c>
      <c r="G58" s="32">
        <f t="shared" si="3"/>
        <v>6.8356164383561646</v>
      </c>
      <c r="H58" s="41" t="s">
        <v>3339</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3283</v>
      </c>
    </row>
    <row r="59" spans="1:52" s="3" customFormat="1" ht="60" customHeight="1">
      <c r="A59" s="28" t="s">
        <v>1407</v>
      </c>
      <c r="B59" s="29">
        <v>3021</v>
      </c>
      <c r="C59" s="30" t="s">
        <v>3104</v>
      </c>
      <c r="D59" s="30" t="s">
        <v>3105</v>
      </c>
      <c r="E59" s="31">
        <v>43466</v>
      </c>
      <c r="F59" s="30">
        <v>45747</v>
      </c>
      <c r="G59" s="32">
        <f t="shared" si="3"/>
        <v>6.2493150684931509</v>
      </c>
      <c r="H59" s="33" t="s">
        <v>3340</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3341</v>
      </c>
    </row>
    <row r="60" spans="1:52" s="3" customFormat="1" ht="60" customHeight="1">
      <c r="A60" s="28" t="s">
        <v>1407</v>
      </c>
      <c r="B60" s="29">
        <v>3022</v>
      </c>
      <c r="C60" s="30" t="s">
        <v>3105</v>
      </c>
      <c r="D60" s="30" t="s">
        <v>3105</v>
      </c>
      <c r="E60" s="31">
        <v>43997</v>
      </c>
      <c r="F60" s="30">
        <v>45382</v>
      </c>
      <c r="G60" s="32">
        <f t="shared" si="3"/>
        <v>3.7945205479452055</v>
      </c>
      <c r="H60" s="33" t="s">
        <v>3342</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3341</v>
      </c>
    </row>
    <row r="61" spans="1:52" s="3" customFormat="1" ht="60" customHeight="1">
      <c r="A61" s="28" t="s">
        <v>1407</v>
      </c>
      <c r="B61" s="29">
        <v>3023</v>
      </c>
      <c r="C61" s="30" t="s">
        <v>3106</v>
      </c>
      <c r="D61" s="30" t="s">
        <v>3107</v>
      </c>
      <c r="E61" s="31">
        <v>44287</v>
      </c>
      <c r="F61" s="30">
        <v>45747</v>
      </c>
      <c r="G61" s="32">
        <f t="shared" si="3"/>
        <v>4</v>
      </c>
      <c r="H61" s="33" t="s">
        <v>3343</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3275</v>
      </c>
    </row>
    <row r="62" spans="1:52" s="3" customFormat="1" ht="60" customHeight="1">
      <c r="A62" s="28" t="s">
        <v>1407</v>
      </c>
      <c r="B62" s="29">
        <v>3026</v>
      </c>
      <c r="C62" s="30" t="s">
        <v>3108</v>
      </c>
      <c r="D62" s="30" t="s">
        <v>3109</v>
      </c>
      <c r="E62" s="31">
        <v>44835</v>
      </c>
      <c r="F62" s="31">
        <v>45565</v>
      </c>
      <c r="G62" s="32">
        <f t="shared" si="3"/>
        <v>2</v>
      </c>
      <c r="H62" s="33" t="s">
        <v>3344</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3275</v>
      </c>
    </row>
    <row r="63" spans="1:52" s="3" customFormat="1" ht="60" customHeight="1">
      <c r="A63" s="28" t="s">
        <v>1407</v>
      </c>
      <c r="B63" s="29">
        <v>3028</v>
      </c>
      <c r="C63" s="30" t="s">
        <v>3110</v>
      </c>
      <c r="D63" s="30" t="s">
        <v>3111</v>
      </c>
      <c r="E63" s="31">
        <v>44652</v>
      </c>
      <c r="F63" s="31">
        <v>45382</v>
      </c>
      <c r="G63" s="32">
        <f t="shared" si="3"/>
        <v>2</v>
      </c>
      <c r="H63" s="33" t="s">
        <v>3345</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3329</v>
      </c>
    </row>
    <row r="64" spans="1:52" s="3" customFormat="1" ht="60" customHeight="1">
      <c r="A64" s="28" t="s">
        <v>1407</v>
      </c>
      <c r="B64" s="29">
        <v>3037</v>
      </c>
      <c r="C64" s="30" t="s">
        <v>3112</v>
      </c>
      <c r="D64" s="30" t="s">
        <v>3113</v>
      </c>
      <c r="E64" s="31">
        <v>43435</v>
      </c>
      <c r="F64" s="35">
        <v>45747</v>
      </c>
      <c r="G64" s="32">
        <f t="shared" si="3"/>
        <v>6.3342465753424655</v>
      </c>
      <c r="H64" s="33" t="s">
        <v>3346</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3329</v>
      </c>
    </row>
    <row r="65" spans="1:52" s="3" customFormat="1" ht="60" customHeight="1">
      <c r="A65" s="28" t="s">
        <v>1445</v>
      </c>
      <c r="B65" s="29">
        <v>4003</v>
      </c>
      <c r="C65" s="30" t="s">
        <v>3114</v>
      </c>
      <c r="D65" s="30" t="s">
        <v>3115</v>
      </c>
      <c r="E65" s="31">
        <v>44652</v>
      </c>
      <c r="F65" s="31">
        <v>45382</v>
      </c>
      <c r="G65" s="32">
        <f t="shared" si="3"/>
        <v>2</v>
      </c>
      <c r="H65" s="33" t="s">
        <v>3347</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3348</v>
      </c>
    </row>
    <row r="66" spans="1:52" s="3" customFormat="1" ht="60" customHeight="1">
      <c r="A66" s="28" t="s">
        <v>1445</v>
      </c>
      <c r="B66" s="29">
        <v>4006</v>
      </c>
      <c r="C66" s="30" t="s">
        <v>3116</v>
      </c>
      <c r="D66" s="30" t="s">
        <v>3117</v>
      </c>
      <c r="E66" s="31">
        <v>44845</v>
      </c>
      <c r="F66" s="31">
        <v>45565</v>
      </c>
      <c r="G66" s="32">
        <f t="shared" si="3"/>
        <v>1.9726027397260273</v>
      </c>
      <c r="H66" s="33" t="s">
        <v>3349</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3275</v>
      </c>
    </row>
    <row r="67" spans="1:52" s="3" customFormat="1" ht="60" customHeight="1">
      <c r="A67" s="28" t="s">
        <v>1445</v>
      </c>
      <c r="B67" s="29" t="s">
        <v>3350</v>
      </c>
      <c r="C67" s="30" t="s">
        <v>3118</v>
      </c>
      <c r="D67" s="30" t="s">
        <v>3119</v>
      </c>
      <c r="E67" s="31">
        <v>44844</v>
      </c>
      <c r="F67" s="31">
        <v>45565</v>
      </c>
      <c r="G67" s="32">
        <f t="shared" si="3"/>
        <v>1.9753424657534246</v>
      </c>
      <c r="H67" s="33" t="s">
        <v>3351</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3275</v>
      </c>
    </row>
    <row r="68" spans="1:52" s="3" customFormat="1" ht="60" customHeight="1">
      <c r="A68" s="28" t="s">
        <v>1445</v>
      </c>
      <c r="B68" s="29">
        <v>4008</v>
      </c>
      <c r="C68" s="30" t="s">
        <v>3120</v>
      </c>
      <c r="D68" s="30" t="s">
        <v>3121</v>
      </c>
      <c r="E68" s="31">
        <v>44652</v>
      </c>
      <c r="F68" s="30">
        <v>45747</v>
      </c>
      <c r="G68" s="32">
        <f t="shared" ref="G68:G125" si="19">(F68-E68)/365</f>
        <v>3</v>
      </c>
      <c r="H68" s="33" t="s">
        <v>3352</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3275</v>
      </c>
    </row>
    <row r="69" spans="1:52" s="3" customFormat="1" ht="60" customHeight="1">
      <c r="A69" s="28" t="s">
        <v>1445</v>
      </c>
      <c r="B69" s="29">
        <v>4010</v>
      </c>
      <c r="C69" s="30" t="s">
        <v>3122</v>
      </c>
      <c r="D69" s="30" t="s">
        <v>3123</v>
      </c>
      <c r="E69" s="31">
        <v>44413</v>
      </c>
      <c r="F69" s="31">
        <v>45138</v>
      </c>
      <c r="G69" s="32">
        <f t="shared" si="19"/>
        <v>1.9863013698630136</v>
      </c>
      <c r="H69" s="33" t="s">
        <v>3353</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3283</v>
      </c>
    </row>
    <row r="70" spans="1:52" s="3" customFormat="1" ht="60" customHeight="1">
      <c r="A70" s="28" t="s">
        <v>1445</v>
      </c>
      <c r="B70" s="29">
        <v>4013</v>
      </c>
      <c r="C70" s="30" t="s">
        <v>3124</v>
      </c>
      <c r="D70" s="30" t="s">
        <v>3125</v>
      </c>
      <c r="E70" s="31">
        <v>44652</v>
      </c>
      <c r="F70" s="31">
        <v>45382</v>
      </c>
      <c r="G70" s="32">
        <f t="shared" si="19"/>
        <v>2</v>
      </c>
      <c r="H70" s="33" t="s">
        <v>3354</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3275</v>
      </c>
    </row>
    <row r="71" spans="1:52" s="3" customFormat="1" ht="60" customHeight="1">
      <c r="A71" s="28" t="s">
        <v>1445</v>
      </c>
      <c r="B71" s="29">
        <v>4015</v>
      </c>
      <c r="C71" s="30" t="s">
        <v>3124</v>
      </c>
      <c r="D71" s="30" t="s">
        <v>3126</v>
      </c>
      <c r="E71" s="31">
        <v>44880</v>
      </c>
      <c r="F71" s="31">
        <v>45382</v>
      </c>
      <c r="G71" s="32">
        <f t="shared" si="19"/>
        <v>1.3753424657534246</v>
      </c>
      <c r="H71" s="33" t="s">
        <v>3355</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3329</v>
      </c>
    </row>
    <row r="72" spans="1:52" s="3" customFormat="1" ht="37.950000000000003" customHeight="1">
      <c r="A72" s="28" t="s">
        <v>1445</v>
      </c>
      <c r="B72" s="36">
        <v>4016</v>
      </c>
      <c r="C72" s="30" t="s">
        <v>3127</v>
      </c>
      <c r="D72" s="30" t="s">
        <v>3128</v>
      </c>
      <c r="E72" s="31">
        <v>44387</v>
      </c>
      <c r="F72" s="31">
        <v>45138</v>
      </c>
      <c r="G72" s="32">
        <f t="shared" si="19"/>
        <v>2.0575342465753423</v>
      </c>
      <c r="H72" s="33" t="s">
        <v>3356</v>
      </c>
      <c r="I72" s="47" t="s">
        <v>3357</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3358</v>
      </c>
    </row>
    <row r="73" spans="1:52" s="3" customFormat="1" ht="60" customHeight="1">
      <c r="A73" s="28" t="s">
        <v>1445</v>
      </c>
      <c r="B73" s="29">
        <v>4017</v>
      </c>
      <c r="C73" s="30" t="s">
        <v>3047</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3047</v>
      </c>
    </row>
    <row r="74" spans="1:52" s="3" customFormat="1" ht="60" customHeight="1">
      <c r="A74" s="28" t="s">
        <v>1445</v>
      </c>
      <c r="B74" s="29">
        <v>4018</v>
      </c>
      <c r="C74" s="30" t="s">
        <v>3129</v>
      </c>
      <c r="D74" s="30" t="s">
        <v>3130</v>
      </c>
      <c r="E74" s="31">
        <v>44397</v>
      </c>
      <c r="F74" s="31">
        <v>45138</v>
      </c>
      <c r="G74" s="32">
        <f t="shared" si="19"/>
        <v>2.0301369863013701</v>
      </c>
      <c r="H74" s="33" t="s">
        <v>3359</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3275</v>
      </c>
    </row>
    <row r="75" spans="1:52" s="3" customFormat="1" ht="60" customHeight="1">
      <c r="A75" s="28" t="s">
        <v>1445</v>
      </c>
      <c r="B75" s="29">
        <v>4026</v>
      </c>
      <c r="C75" s="30" t="s">
        <v>3131</v>
      </c>
      <c r="D75" s="30" t="s">
        <v>3132</v>
      </c>
      <c r="E75" s="31">
        <v>43922</v>
      </c>
      <c r="F75" s="75">
        <v>45747</v>
      </c>
      <c r="G75" s="32">
        <f t="shared" si="19"/>
        <v>5</v>
      </c>
      <c r="H75" s="33" t="s">
        <v>3360</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3275</v>
      </c>
    </row>
    <row r="76" spans="1:52" s="3" customFormat="1" ht="60" customHeight="1">
      <c r="A76" s="28" t="s">
        <v>1445</v>
      </c>
      <c r="B76" s="29">
        <v>4032</v>
      </c>
      <c r="C76" s="30" t="s">
        <v>3133</v>
      </c>
      <c r="D76" s="30" t="s">
        <v>3081</v>
      </c>
      <c r="E76" s="31">
        <v>44409</v>
      </c>
      <c r="F76" s="31">
        <v>45138</v>
      </c>
      <c r="G76" s="32">
        <f t="shared" si="19"/>
        <v>1.9972602739726026</v>
      </c>
      <c r="H76" s="33" t="s">
        <v>3361</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3275</v>
      </c>
    </row>
    <row r="77" spans="1:52" s="3" customFormat="1" ht="60" customHeight="1">
      <c r="A77" s="28" t="s">
        <v>1445</v>
      </c>
      <c r="B77" s="29">
        <v>4033</v>
      </c>
      <c r="C77" s="30" t="s">
        <v>3134</v>
      </c>
      <c r="D77" s="30" t="s">
        <v>3135</v>
      </c>
      <c r="E77" s="31">
        <v>44652</v>
      </c>
      <c r="F77" s="31">
        <v>45382</v>
      </c>
      <c r="G77" s="32">
        <f t="shared" si="19"/>
        <v>2</v>
      </c>
      <c r="H77" s="33" t="s">
        <v>3362</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3275</v>
      </c>
    </row>
    <row r="78" spans="1:52" s="3" customFormat="1" ht="60" customHeight="1">
      <c r="A78" s="28" t="s">
        <v>1445</v>
      </c>
      <c r="B78" s="29">
        <v>4088</v>
      </c>
      <c r="C78" s="30" t="s">
        <v>3047</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3047</v>
      </c>
    </row>
    <row r="79" spans="1:52" s="3" customFormat="1" ht="60" customHeight="1">
      <c r="A79" s="28" t="s">
        <v>1445</v>
      </c>
      <c r="B79" s="29">
        <v>4089</v>
      </c>
      <c r="C79" s="30" t="s">
        <v>3047</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1451</v>
      </c>
      <c r="B80" s="29">
        <v>5001</v>
      </c>
      <c r="C80" s="30" t="s">
        <v>3137</v>
      </c>
      <c r="D80" s="30" t="s">
        <v>3138</v>
      </c>
      <c r="E80" s="31">
        <v>44287</v>
      </c>
      <c r="F80" s="31">
        <v>45382</v>
      </c>
      <c r="G80" s="32">
        <f t="shared" si="19"/>
        <v>3</v>
      </c>
      <c r="H80" s="33" t="s">
        <v>3363</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3275</v>
      </c>
    </row>
    <row r="81" spans="1:52" s="3" customFormat="1" ht="60" customHeight="1">
      <c r="A81" s="28" t="s">
        <v>1451</v>
      </c>
      <c r="B81" s="29">
        <v>5002</v>
      </c>
      <c r="C81" s="30" t="s">
        <v>3139</v>
      </c>
      <c r="D81" s="30" t="s">
        <v>3140</v>
      </c>
      <c r="E81" s="31">
        <v>44392</v>
      </c>
      <c r="F81" s="31">
        <v>45473</v>
      </c>
      <c r="G81" s="32">
        <f t="shared" si="19"/>
        <v>2.9616438356164383</v>
      </c>
      <c r="H81" s="33" t="s">
        <v>3364</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3275</v>
      </c>
    </row>
    <row r="82" spans="1:52" s="3" customFormat="1" ht="60" customHeight="1">
      <c r="A82" s="28" t="s">
        <v>1451</v>
      </c>
      <c r="B82" s="29">
        <v>5003</v>
      </c>
      <c r="C82" s="30" t="s">
        <v>3141</v>
      </c>
      <c r="D82" s="30" t="s">
        <v>3142</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3283</v>
      </c>
    </row>
    <row r="83" spans="1:52" s="3" customFormat="1" ht="60" customHeight="1">
      <c r="A83" s="34" t="s">
        <v>1451</v>
      </c>
      <c r="B83" s="36">
        <v>5005</v>
      </c>
      <c r="C83" s="30" t="s">
        <v>3143</v>
      </c>
      <c r="D83" s="30" t="s">
        <v>3144</v>
      </c>
      <c r="E83" s="31">
        <v>44409</v>
      </c>
      <c r="F83" s="31">
        <v>45504</v>
      </c>
      <c r="G83" s="32">
        <f t="shared" si="19"/>
        <v>3</v>
      </c>
      <c r="H83" s="33" t="s">
        <v>3365</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3283</v>
      </c>
    </row>
    <row r="84" spans="1:52" s="3" customFormat="1" ht="60" customHeight="1">
      <c r="A84" s="28" t="s">
        <v>1451</v>
      </c>
      <c r="B84" s="29">
        <v>5006</v>
      </c>
      <c r="C84" s="30" t="s">
        <v>3145</v>
      </c>
      <c r="D84" s="30" t="s">
        <v>3146</v>
      </c>
      <c r="E84" s="31">
        <v>44520</v>
      </c>
      <c r="F84" s="31">
        <v>45747</v>
      </c>
      <c r="G84" s="32">
        <f t="shared" si="19"/>
        <v>3.3616438356164382</v>
      </c>
      <c r="H84" s="33" t="s">
        <v>3366</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3275</v>
      </c>
    </row>
    <row r="85" spans="1:52" s="3" customFormat="1" ht="60" customHeight="1">
      <c r="A85" s="28" t="s">
        <v>1451</v>
      </c>
      <c r="B85" s="29">
        <v>5007</v>
      </c>
      <c r="C85" s="30" t="s">
        <v>3147</v>
      </c>
      <c r="D85" s="30" t="s">
        <v>3148</v>
      </c>
      <c r="E85" s="31">
        <v>44287</v>
      </c>
      <c r="F85" s="30">
        <v>45747</v>
      </c>
      <c r="G85" s="32">
        <f t="shared" si="19"/>
        <v>4</v>
      </c>
      <c r="H85" s="33" t="s">
        <v>3367</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3275</v>
      </c>
    </row>
    <row r="86" spans="1:52" s="3" customFormat="1" ht="60" customHeight="1">
      <c r="A86" s="28" t="s">
        <v>1451</v>
      </c>
      <c r="B86" s="29">
        <v>5009</v>
      </c>
      <c r="C86" s="30" t="s">
        <v>3149</v>
      </c>
      <c r="D86" s="30" t="s">
        <v>3150</v>
      </c>
      <c r="E86" s="31">
        <v>43692</v>
      </c>
      <c r="F86" s="31">
        <v>45565</v>
      </c>
      <c r="G86" s="32">
        <f t="shared" si="19"/>
        <v>5.1315068493150688</v>
      </c>
      <c r="H86" s="33" t="s">
        <v>3368</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3275</v>
      </c>
    </row>
    <row r="87" spans="1:52" s="3" customFormat="1" ht="60" customHeight="1">
      <c r="A87" s="28" t="s">
        <v>1451</v>
      </c>
      <c r="B87" s="29">
        <v>5012</v>
      </c>
      <c r="C87" s="30" t="s">
        <v>3151</v>
      </c>
      <c r="D87" s="30" t="s">
        <v>3152</v>
      </c>
      <c r="E87" s="31">
        <v>43070</v>
      </c>
      <c r="F87" s="30">
        <v>45747</v>
      </c>
      <c r="G87" s="32">
        <f t="shared" si="19"/>
        <v>7.3342465753424655</v>
      </c>
      <c r="H87" s="33" t="s">
        <v>3369</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3283</v>
      </c>
    </row>
    <row r="88" spans="1:52" s="3" customFormat="1" ht="60" customHeight="1">
      <c r="A88" s="28" t="s">
        <v>1451</v>
      </c>
      <c r="B88" s="29">
        <v>5016</v>
      </c>
      <c r="C88" s="30" t="s">
        <v>3153</v>
      </c>
      <c r="D88" s="30" t="s">
        <v>3154</v>
      </c>
      <c r="E88" s="31">
        <v>44857</v>
      </c>
      <c r="F88" s="31">
        <v>46691</v>
      </c>
      <c r="G88" s="32">
        <f t="shared" si="19"/>
        <v>5.0246575342465754</v>
      </c>
      <c r="H88" s="33" t="s">
        <v>3370</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3358</v>
      </c>
    </row>
    <row r="89" spans="1:52" s="3" customFormat="1" ht="60" customHeight="1">
      <c r="A89" s="28" t="s">
        <v>1451</v>
      </c>
      <c r="B89" s="29">
        <v>5018</v>
      </c>
      <c r="C89" s="30" t="s">
        <v>3155</v>
      </c>
      <c r="D89" s="30" t="s">
        <v>3156</v>
      </c>
      <c r="E89" s="31">
        <v>44185</v>
      </c>
      <c r="F89" s="31">
        <v>45291</v>
      </c>
      <c r="G89" s="32">
        <f t="shared" si="19"/>
        <v>3.0301369863013701</v>
      </c>
      <c r="H89" s="33" t="s">
        <v>3371</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3275</v>
      </c>
    </row>
    <row r="90" spans="1:52" s="3" customFormat="1" ht="60" customHeight="1">
      <c r="A90" s="28" t="s">
        <v>1451</v>
      </c>
      <c r="B90" s="29">
        <v>5019</v>
      </c>
      <c r="C90" s="30" t="s">
        <v>3157</v>
      </c>
      <c r="D90" s="30" t="s">
        <v>3158</v>
      </c>
      <c r="E90" s="31">
        <v>44180</v>
      </c>
      <c r="F90" s="31">
        <v>45291</v>
      </c>
      <c r="G90" s="32">
        <f t="shared" si="19"/>
        <v>3.043835616438356</v>
      </c>
      <c r="H90" s="33" t="s">
        <v>3372</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3283</v>
      </c>
    </row>
    <row r="91" spans="1:52" s="3" customFormat="1" ht="60" customHeight="1">
      <c r="A91" s="28" t="s">
        <v>1451</v>
      </c>
      <c r="B91" s="29">
        <v>5021</v>
      </c>
      <c r="C91" s="30" t="s">
        <v>3159</v>
      </c>
      <c r="D91" s="30" t="s">
        <v>3160</v>
      </c>
      <c r="E91" s="31">
        <v>42826</v>
      </c>
      <c r="F91" s="30">
        <v>45747</v>
      </c>
      <c r="G91" s="32">
        <f t="shared" si="19"/>
        <v>8.0027397260273965</v>
      </c>
      <c r="H91" s="33" t="s">
        <v>3373</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3275</v>
      </c>
    </row>
    <row r="92" spans="1:52" s="3" customFormat="1" ht="60" customHeight="1">
      <c r="A92" s="28" t="s">
        <v>1451</v>
      </c>
      <c r="B92" s="29">
        <v>5027</v>
      </c>
      <c r="C92" s="30" t="s">
        <v>3161</v>
      </c>
      <c r="D92" s="30" t="s">
        <v>3162</v>
      </c>
      <c r="E92" s="31">
        <v>42826</v>
      </c>
      <c r="F92" s="30">
        <v>45747</v>
      </c>
      <c r="G92" s="32">
        <f t="shared" si="19"/>
        <v>8.0027397260273965</v>
      </c>
      <c r="H92" s="33" t="s">
        <v>3374</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3275</v>
      </c>
    </row>
    <row r="93" spans="1:52" s="3" customFormat="1" ht="60" customHeight="1">
      <c r="A93" s="28" t="s">
        <v>1451</v>
      </c>
      <c r="B93" s="29">
        <v>5031</v>
      </c>
      <c r="C93" s="30" t="s">
        <v>3163</v>
      </c>
      <c r="D93" s="30" t="s">
        <v>3164</v>
      </c>
      <c r="E93" s="31">
        <v>44306</v>
      </c>
      <c r="F93" s="31">
        <v>45382</v>
      </c>
      <c r="G93" s="32">
        <f t="shared" si="19"/>
        <v>2.9479452054794519</v>
      </c>
      <c r="H93" s="33" t="s">
        <v>3375</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3275</v>
      </c>
    </row>
    <row r="94" spans="1:52" s="3" customFormat="1" ht="60" customHeight="1">
      <c r="A94" s="28" t="s">
        <v>1463</v>
      </c>
      <c r="B94" s="29">
        <v>6001</v>
      </c>
      <c r="C94" s="30" t="s">
        <v>3047</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3047</v>
      </c>
    </row>
    <row r="95" spans="1:52" s="3" customFormat="1" ht="60" customHeight="1">
      <c r="A95" s="28" t="s">
        <v>1463</v>
      </c>
      <c r="B95" s="36">
        <v>6003</v>
      </c>
      <c r="C95" s="30" t="s">
        <v>3376</v>
      </c>
      <c r="D95" s="30" t="s">
        <v>3165</v>
      </c>
      <c r="E95" s="30">
        <v>43922</v>
      </c>
      <c r="F95" s="30">
        <v>45747</v>
      </c>
      <c r="G95" s="32">
        <f t="shared" si="19"/>
        <v>5</v>
      </c>
      <c r="H95" s="76" t="s">
        <v>3377</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1463</v>
      </c>
      <c r="B96" s="29">
        <v>6005</v>
      </c>
      <c r="C96" s="30" t="s">
        <v>3047</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3047</v>
      </c>
    </row>
    <row r="97" spans="1:52" s="3" customFormat="1" ht="60" customHeight="1">
      <c r="A97" s="28" t="s">
        <v>1463</v>
      </c>
      <c r="B97" s="29">
        <v>6006</v>
      </c>
      <c r="C97" s="30" t="s">
        <v>3166</v>
      </c>
      <c r="D97" s="30" t="s">
        <v>3167</v>
      </c>
      <c r="E97" s="31">
        <v>44793</v>
      </c>
      <c r="F97" s="31">
        <v>45504</v>
      </c>
      <c r="G97" s="32">
        <f t="shared" si="19"/>
        <v>1.9479452054794522</v>
      </c>
      <c r="H97" s="33" t="s">
        <v>3378</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3283</v>
      </c>
    </row>
    <row r="98" spans="1:52" s="3" customFormat="1" ht="60" customHeight="1">
      <c r="A98" s="28" t="s">
        <v>1463</v>
      </c>
      <c r="B98" s="29">
        <v>6007</v>
      </c>
      <c r="C98" s="30" t="s">
        <v>3047</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3047</v>
      </c>
    </row>
    <row r="99" spans="1:52" s="3" customFormat="1" ht="114.9" customHeight="1">
      <c r="A99" s="28" t="s">
        <v>1463</v>
      </c>
      <c r="B99" s="29">
        <v>6008</v>
      </c>
      <c r="C99" s="30" t="s">
        <v>3168</v>
      </c>
      <c r="D99" s="30" t="s">
        <v>3169</v>
      </c>
      <c r="E99" s="31">
        <v>42213</v>
      </c>
      <c r="F99" s="30">
        <v>45865</v>
      </c>
      <c r="G99" s="32">
        <f t="shared" si="19"/>
        <v>10.005479452054795</v>
      </c>
      <c r="H99" s="33" t="s">
        <v>3379</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3283</v>
      </c>
    </row>
    <row r="100" spans="1:52" s="3" customFormat="1" ht="60" customHeight="1">
      <c r="A100" s="28" t="s">
        <v>1463</v>
      </c>
      <c r="B100" s="29">
        <v>6009</v>
      </c>
      <c r="C100" s="30" t="s">
        <v>3170</v>
      </c>
      <c r="D100" s="30" t="s">
        <v>3171</v>
      </c>
      <c r="E100" s="31">
        <v>44652</v>
      </c>
      <c r="F100" s="31">
        <v>45382</v>
      </c>
      <c r="G100" s="32">
        <f t="shared" si="19"/>
        <v>2</v>
      </c>
      <c r="H100" s="33" t="s">
        <v>3380</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3275</v>
      </c>
    </row>
    <row r="101" spans="1:52" s="3" customFormat="1" ht="60" customHeight="1">
      <c r="A101" s="28" t="s">
        <v>3172</v>
      </c>
      <c r="B101" s="36" t="s">
        <v>3173</v>
      </c>
      <c r="C101" s="30" t="s">
        <v>3174</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3283</v>
      </c>
    </row>
    <row r="102" spans="1:52" s="3" customFormat="1" ht="60" customHeight="1">
      <c r="A102" s="28" t="s">
        <v>3172</v>
      </c>
      <c r="B102" s="29" t="s">
        <v>3175</v>
      </c>
      <c r="C102" s="30" t="s">
        <v>3176</v>
      </c>
      <c r="D102" s="30" t="s">
        <v>3177</v>
      </c>
      <c r="E102" s="31">
        <v>43497</v>
      </c>
      <c r="F102" s="35">
        <v>45747</v>
      </c>
      <c r="G102" s="32">
        <f t="shared" si="19"/>
        <v>6.1643835616438354</v>
      </c>
      <c r="H102" s="33" t="s">
        <v>3381</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3348</v>
      </c>
    </row>
    <row r="103" spans="1:52" s="3" customFormat="1" ht="60" customHeight="1">
      <c r="A103" s="28" t="s">
        <v>3172</v>
      </c>
      <c r="B103" s="29" t="s">
        <v>3178</v>
      </c>
      <c r="C103" s="30" t="s">
        <v>3179</v>
      </c>
      <c r="D103" s="30" t="s">
        <v>3180</v>
      </c>
      <c r="E103" s="31">
        <v>44652</v>
      </c>
      <c r="F103" s="31">
        <v>45382</v>
      </c>
      <c r="G103" s="32">
        <f t="shared" si="19"/>
        <v>2</v>
      </c>
      <c r="H103" s="33" t="s">
        <v>3382</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3383</v>
      </c>
    </row>
    <row r="104" spans="1:52" s="3" customFormat="1" ht="60" customHeight="1">
      <c r="A104" s="28" t="s">
        <v>3172</v>
      </c>
      <c r="B104" s="29" t="s">
        <v>3181</v>
      </c>
      <c r="C104" s="30" t="s">
        <v>3182</v>
      </c>
      <c r="D104" s="30" t="s">
        <v>3183</v>
      </c>
      <c r="E104" s="31">
        <v>43393</v>
      </c>
      <c r="F104" s="31">
        <v>45199</v>
      </c>
      <c r="G104" s="32">
        <f t="shared" si="19"/>
        <v>4.9479452054794519</v>
      </c>
      <c r="H104" s="33" t="s">
        <v>3384</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3275</v>
      </c>
    </row>
    <row r="105" spans="1:52" s="3" customFormat="1" ht="60" customHeight="1">
      <c r="A105" s="28" t="s">
        <v>3172</v>
      </c>
      <c r="B105" s="29" t="s">
        <v>3184</v>
      </c>
      <c r="C105" s="30" t="s">
        <v>3185</v>
      </c>
      <c r="D105" s="30" t="s">
        <v>3186</v>
      </c>
      <c r="E105" s="31">
        <v>44835</v>
      </c>
      <c r="F105" s="31">
        <v>45565</v>
      </c>
      <c r="G105" s="32">
        <f t="shared" si="19"/>
        <v>2</v>
      </c>
      <c r="H105" s="33" t="s">
        <v>3385</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3329</v>
      </c>
    </row>
    <row r="106" spans="1:52" s="3" customFormat="1" ht="60" customHeight="1">
      <c r="A106" s="28" t="s">
        <v>3172</v>
      </c>
      <c r="B106" s="29" t="s">
        <v>3187</v>
      </c>
      <c r="C106" s="30" t="s">
        <v>3188</v>
      </c>
      <c r="D106" s="30" t="s">
        <v>3189</v>
      </c>
      <c r="E106" s="31">
        <v>44835</v>
      </c>
      <c r="F106" s="31">
        <v>45565</v>
      </c>
      <c r="G106" s="32">
        <f t="shared" si="19"/>
        <v>2</v>
      </c>
      <c r="H106" s="33" t="s">
        <v>3386</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3275</v>
      </c>
    </row>
    <row r="107" spans="1:52" s="3" customFormat="1" ht="60" customHeight="1">
      <c r="A107" s="28" t="s">
        <v>3172</v>
      </c>
      <c r="B107" s="29" t="s">
        <v>3190</v>
      </c>
      <c r="C107" s="30" t="s">
        <v>3191</v>
      </c>
      <c r="D107" s="30" t="s">
        <v>3192</v>
      </c>
      <c r="E107" s="31">
        <v>44105</v>
      </c>
      <c r="F107" s="30">
        <v>45565</v>
      </c>
      <c r="G107" s="32">
        <f t="shared" si="19"/>
        <v>4</v>
      </c>
      <c r="H107" s="33" t="s">
        <v>3387</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3283</v>
      </c>
    </row>
    <row r="108" spans="1:52" s="3" customFormat="1" ht="60" customHeight="1">
      <c r="A108" s="28" t="s">
        <v>3172</v>
      </c>
      <c r="B108" s="29" t="s">
        <v>3193</v>
      </c>
      <c r="C108" s="30" t="s">
        <v>3194</v>
      </c>
      <c r="D108" s="30" t="s">
        <v>3195</v>
      </c>
      <c r="E108" s="31">
        <v>44105</v>
      </c>
      <c r="F108" s="30">
        <v>45565</v>
      </c>
      <c r="G108" s="32">
        <f t="shared" si="19"/>
        <v>4</v>
      </c>
      <c r="H108" s="33" t="s">
        <v>3387</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3275</v>
      </c>
    </row>
    <row r="109" spans="1:52" s="3" customFormat="1" ht="60" customHeight="1">
      <c r="A109" s="28" t="s">
        <v>3172</v>
      </c>
      <c r="B109" s="29" t="s">
        <v>3196</v>
      </c>
      <c r="C109" s="30" t="s">
        <v>3197</v>
      </c>
      <c r="D109" s="30" t="s">
        <v>3198</v>
      </c>
      <c r="E109" s="31">
        <v>44105</v>
      </c>
      <c r="F109" s="30">
        <v>45565</v>
      </c>
      <c r="G109" s="32">
        <f t="shared" si="19"/>
        <v>4</v>
      </c>
      <c r="H109" s="33" t="s">
        <v>3388</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3275</v>
      </c>
    </row>
    <row r="110" spans="1:52" s="3" customFormat="1" ht="60" customHeight="1">
      <c r="A110" s="28" t="s">
        <v>3172</v>
      </c>
      <c r="B110" s="29" t="s">
        <v>3199</v>
      </c>
      <c r="C110" s="30" t="s">
        <v>3200</v>
      </c>
      <c r="D110" s="30" t="s">
        <v>3201</v>
      </c>
      <c r="E110" s="31">
        <v>43393</v>
      </c>
      <c r="F110" s="30">
        <v>45199</v>
      </c>
      <c r="G110" s="32">
        <f t="shared" si="19"/>
        <v>4.9479452054794519</v>
      </c>
      <c r="H110" s="33" t="s">
        <v>3389</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3275</v>
      </c>
    </row>
    <row r="111" spans="1:52" s="3" customFormat="1" ht="60" customHeight="1">
      <c r="A111" s="28" t="s">
        <v>3172</v>
      </c>
      <c r="B111" s="29" t="s">
        <v>3202</v>
      </c>
      <c r="C111" s="30" t="s">
        <v>3203</v>
      </c>
      <c r="D111" s="30" t="s">
        <v>3204</v>
      </c>
      <c r="E111" s="31">
        <v>44835</v>
      </c>
      <c r="F111" s="31">
        <v>45565</v>
      </c>
      <c r="G111" s="32">
        <f t="shared" si="19"/>
        <v>2</v>
      </c>
      <c r="H111" s="33" t="s">
        <v>3390</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3275</v>
      </c>
    </row>
    <row r="112" spans="1:52" s="3" customFormat="1" ht="60" customHeight="1">
      <c r="A112" s="28" t="s">
        <v>3172</v>
      </c>
      <c r="B112" s="29" t="s">
        <v>3205</v>
      </c>
      <c r="C112" s="30" t="s">
        <v>3206</v>
      </c>
      <c r="D112" s="30" t="s">
        <v>3207</v>
      </c>
      <c r="E112" s="31">
        <v>44105</v>
      </c>
      <c r="F112" s="30">
        <v>45565</v>
      </c>
      <c r="G112" s="32">
        <f t="shared" si="19"/>
        <v>4</v>
      </c>
      <c r="H112" s="33" t="s">
        <v>3391</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3283</v>
      </c>
    </row>
    <row r="113" spans="1:52" s="3" customFormat="1" ht="60" customHeight="1">
      <c r="A113" s="28" t="s">
        <v>3172</v>
      </c>
      <c r="B113" s="29" t="s">
        <v>3208</v>
      </c>
      <c r="C113" s="30" t="s">
        <v>3209</v>
      </c>
      <c r="D113" s="30" t="s">
        <v>3210</v>
      </c>
      <c r="E113" s="31">
        <v>44105</v>
      </c>
      <c r="F113" s="30">
        <v>45565</v>
      </c>
      <c r="G113" s="32">
        <f t="shared" si="19"/>
        <v>4</v>
      </c>
      <c r="H113" s="33" t="s">
        <v>3392</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3275</v>
      </c>
    </row>
    <row r="114" spans="1:52" s="3" customFormat="1" ht="60" customHeight="1">
      <c r="A114" s="28" t="s">
        <v>3172</v>
      </c>
      <c r="B114" s="29" t="s">
        <v>3211</v>
      </c>
      <c r="C114" s="30" t="s">
        <v>3209</v>
      </c>
      <c r="D114" s="30" t="s">
        <v>3210</v>
      </c>
      <c r="E114" s="31">
        <v>44835</v>
      </c>
      <c r="F114" s="31">
        <v>45565</v>
      </c>
      <c r="G114" s="32">
        <f t="shared" si="19"/>
        <v>2</v>
      </c>
      <c r="H114" s="33" t="s">
        <v>3393</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3275</v>
      </c>
    </row>
    <row r="115" spans="1:52" s="3" customFormat="1" ht="60" customHeight="1">
      <c r="A115" s="28" t="s">
        <v>3172</v>
      </c>
      <c r="B115" s="29" t="s">
        <v>3212</v>
      </c>
      <c r="C115" s="30" t="s">
        <v>3213</v>
      </c>
      <c r="D115" s="30" t="s">
        <v>3214</v>
      </c>
      <c r="E115" s="31">
        <v>44652</v>
      </c>
      <c r="F115" s="31">
        <v>45382</v>
      </c>
      <c r="G115" s="32">
        <f t="shared" si="19"/>
        <v>2</v>
      </c>
      <c r="H115" s="33" t="s">
        <v>3394</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3275</v>
      </c>
    </row>
    <row r="116" spans="1:52" s="3" customFormat="1" ht="60" customHeight="1">
      <c r="A116" s="28" t="s">
        <v>3172</v>
      </c>
      <c r="B116" s="36" t="s">
        <v>3215</v>
      </c>
      <c r="C116" s="30" t="s">
        <v>3216</v>
      </c>
      <c r="D116" s="30" t="s">
        <v>3217</v>
      </c>
      <c r="E116" s="31">
        <v>44835</v>
      </c>
      <c r="F116" s="31">
        <v>45565</v>
      </c>
      <c r="G116" s="32">
        <f t="shared" si="19"/>
        <v>2</v>
      </c>
      <c r="H116" s="33" t="s">
        <v>3395</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3275</v>
      </c>
    </row>
    <row r="117" spans="1:52" s="3" customFormat="1" ht="60" customHeight="1">
      <c r="A117" s="28" t="s">
        <v>3172</v>
      </c>
      <c r="B117" s="29" t="s">
        <v>3218</v>
      </c>
      <c r="C117" s="30" t="s">
        <v>3219</v>
      </c>
      <c r="D117" s="30" t="s">
        <v>3220</v>
      </c>
      <c r="E117" s="31">
        <v>44835</v>
      </c>
      <c r="F117" s="31">
        <v>45565</v>
      </c>
      <c r="G117" s="32">
        <f t="shared" si="19"/>
        <v>2</v>
      </c>
      <c r="H117" s="33" t="s">
        <v>3396</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3329</v>
      </c>
    </row>
    <row r="118" spans="1:52" s="3" customFormat="1" ht="60" customHeight="1">
      <c r="A118" s="28" t="s">
        <v>3172</v>
      </c>
      <c r="B118" s="29" t="s">
        <v>3221</v>
      </c>
      <c r="C118" s="30" t="s">
        <v>3222</v>
      </c>
      <c r="D118" s="30" t="s">
        <v>3223</v>
      </c>
      <c r="E118" s="31">
        <v>44835</v>
      </c>
      <c r="F118" s="31">
        <v>45565</v>
      </c>
      <c r="G118" s="32">
        <f t="shared" si="19"/>
        <v>2</v>
      </c>
      <c r="H118" s="33" t="s">
        <v>3397</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3275</v>
      </c>
    </row>
    <row r="119" spans="1:52" s="3" customFormat="1" ht="60" customHeight="1">
      <c r="A119" s="28" t="s">
        <v>3172</v>
      </c>
      <c r="B119" s="29" t="s">
        <v>3224</v>
      </c>
      <c r="C119" s="30" t="s">
        <v>3225</v>
      </c>
      <c r="D119" s="30" t="s">
        <v>3226</v>
      </c>
      <c r="E119" s="31">
        <v>44287</v>
      </c>
      <c r="F119" s="30">
        <v>45747</v>
      </c>
      <c r="G119" s="32">
        <f t="shared" si="19"/>
        <v>4</v>
      </c>
      <c r="H119" s="33" t="s">
        <v>3398</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3329</v>
      </c>
    </row>
    <row r="120" spans="1:52" s="3" customFormat="1" ht="60" customHeight="1">
      <c r="A120" s="28" t="s">
        <v>3172</v>
      </c>
      <c r="B120" s="29" t="s">
        <v>3227</v>
      </c>
      <c r="C120" s="30" t="s">
        <v>3228</v>
      </c>
      <c r="D120" s="30" t="s">
        <v>3162</v>
      </c>
      <c r="E120" s="31">
        <v>44058</v>
      </c>
      <c r="F120" s="31">
        <v>45199</v>
      </c>
      <c r="G120" s="32">
        <f t="shared" si="19"/>
        <v>3.1260273972602741</v>
      </c>
      <c r="H120" s="33" t="s">
        <v>3399</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3172</v>
      </c>
      <c r="B121" s="29" t="s">
        <v>3229</v>
      </c>
      <c r="C121" s="30" t="s">
        <v>3230</v>
      </c>
      <c r="D121" s="30" t="s">
        <v>3192</v>
      </c>
      <c r="E121" s="31">
        <v>44470</v>
      </c>
      <c r="F121" s="31">
        <v>45565</v>
      </c>
      <c r="G121" s="32">
        <f t="shared" si="19"/>
        <v>3</v>
      </c>
      <c r="H121" s="33" t="s">
        <v>3400</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3275</v>
      </c>
    </row>
    <row r="122" spans="1:52" s="3" customFormat="1" ht="60" customHeight="1">
      <c r="A122" s="28" t="s">
        <v>3172</v>
      </c>
      <c r="B122" s="29" t="s">
        <v>3231</v>
      </c>
      <c r="C122" s="30" t="s">
        <v>3232</v>
      </c>
      <c r="D122" s="30" t="s">
        <v>3233</v>
      </c>
      <c r="E122" s="31">
        <v>44287</v>
      </c>
      <c r="F122" s="30">
        <v>45747</v>
      </c>
      <c r="G122" s="32">
        <f t="shared" si="19"/>
        <v>4</v>
      </c>
      <c r="H122" s="33" t="s">
        <v>3401</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3275</v>
      </c>
    </row>
    <row r="123" spans="1:52" s="3" customFormat="1" ht="60" customHeight="1">
      <c r="A123" s="28" t="s">
        <v>3234</v>
      </c>
      <c r="B123" s="29" t="s">
        <v>3235</v>
      </c>
      <c r="C123" s="30" t="s">
        <v>3097</v>
      </c>
      <c r="D123" s="30" t="s">
        <v>3236</v>
      </c>
      <c r="E123" s="31">
        <v>43419</v>
      </c>
      <c r="F123" s="31">
        <v>45199</v>
      </c>
      <c r="G123" s="32">
        <f t="shared" si="19"/>
        <v>4.8767123287671232</v>
      </c>
      <c r="H123" s="33" t="s">
        <v>3402</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3275</v>
      </c>
    </row>
    <row r="124" spans="1:52" s="3" customFormat="1" ht="60" customHeight="1">
      <c r="A124" s="28" t="s">
        <v>3234</v>
      </c>
      <c r="B124" s="29" t="s">
        <v>3237</v>
      </c>
      <c r="C124" s="30" t="s">
        <v>3238</v>
      </c>
      <c r="D124" s="30" t="s">
        <v>3239</v>
      </c>
      <c r="E124" s="31">
        <v>44287</v>
      </c>
      <c r="F124" s="30">
        <v>45382</v>
      </c>
      <c r="G124" s="32">
        <f t="shared" si="19"/>
        <v>3</v>
      </c>
      <c r="H124" s="33" t="s">
        <v>3403</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3275</v>
      </c>
    </row>
    <row r="125" spans="1:52" s="3" customFormat="1" ht="60" customHeight="1">
      <c r="A125" s="28" t="s">
        <v>3234</v>
      </c>
      <c r="B125" s="36" t="s">
        <v>3240</v>
      </c>
      <c r="C125" s="30" t="s">
        <v>3241</v>
      </c>
      <c r="D125" s="30" t="s">
        <v>3242</v>
      </c>
      <c r="E125" s="31">
        <v>44013</v>
      </c>
      <c r="F125" s="30">
        <v>45473</v>
      </c>
      <c r="G125" s="32">
        <f t="shared" si="19"/>
        <v>4</v>
      </c>
      <c r="H125" s="33" t="s">
        <v>3404</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3275</v>
      </c>
    </row>
    <row r="126" spans="1:52" s="3" customFormat="1" ht="20.100000000000001" customHeight="1">
      <c r="A126" s="4"/>
      <c r="C126" s="5"/>
      <c r="E126" s="6"/>
      <c r="F126" s="6"/>
      <c r="G126" s="6"/>
      <c r="H126" s="7"/>
      <c r="I126" s="7">
        <f>SUM(I3:I125)</f>
        <v>26334.180000000008</v>
      </c>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f>I14+I25+I41+I42+I43+I46+I73+I78+I94+I96+I98</f>
        <v>2466.4</v>
      </c>
      <c r="J127" s="8"/>
      <c r="K127" s="8"/>
      <c r="L127" s="8"/>
      <c r="M127" s="9"/>
      <c r="N127" s="10"/>
      <c r="O127" s="11"/>
      <c r="P127" s="11"/>
      <c r="Q127" s="11"/>
      <c r="R127" s="12"/>
      <c r="S127" s="13"/>
      <c r="T127" s="14"/>
      <c r="U127" s="14"/>
      <c r="V127" s="14">
        <f>V126*4</f>
        <v>114672728.04000002</v>
      </c>
      <c r="W127" s="15">
        <f>V127/I127</f>
        <v>46493.970175154078</v>
      </c>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3616">
        <f>1-I127/I126</f>
        <v>0.90634225178076555</v>
      </c>
      <c r="J128" s="8"/>
      <c r="K128" s="8"/>
      <c r="L128" s="8"/>
      <c r="M128" s="9"/>
      <c r="N128" s="10"/>
      <c r="O128" s="11"/>
      <c r="P128" s="11"/>
      <c r="Q128" s="11"/>
      <c r="R128" s="12"/>
      <c r="S128" s="13"/>
      <c r="T128" s="14"/>
      <c r="U128" s="14"/>
      <c r="V128" s="14">
        <f>V127/365/'数据-汇总表'!E3</f>
        <v>11.508877049266788</v>
      </c>
      <c r="W128" s="77">
        <f>W127/365/'数据-汇总表'!E3</f>
        <v>4.6662654270462171E-3</v>
      </c>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22" s="3" customFormat="1" ht="20.100000000000001" customHeight="1">
      <c r="G129" s="6"/>
      <c r="V129" s="3617">
        <f>V128/I128</f>
        <v>12.69815792726682</v>
      </c>
    </row>
    <row r="130" spans="7:22" s="3" customFormat="1" ht="20.100000000000001" customHeight="1">
      <c r="G130" s="6"/>
    </row>
    <row r="131" spans="7:22" s="3" customFormat="1" ht="20.100000000000001" customHeight="1">
      <c r="G131" s="6"/>
    </row>
    <row r="132" spans="7:22" s="3" customFormat="1" ht="20.100000000000001" customHeight="1">
      <c r="G132" s="6"/>
    </row>
    <row r="133" spans="7:22" s="3" customFormat="1" ht="20.100000000000001" customHeight="1">
      <c r="G133" s="6"/>
    </row>
    <row r="134" spans="7:22" s="3" customFormat="1" ht="20.100000000000001" customHeight="1">
      <c r="G134" s="6"/>
    </row>
    <row r="135" spans="7:22" s="3" customFormat="1" ht="20.100000000000001" customHeight="1">
      <c r="G135" s="6"/>
    </row>
    <row r="136" spans="7:22"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6"/>
  <sheetViews>
    <sheetView workbookViewId="0">
      <selection activeCell="G14" sqref="G14"/>
    </sheetView>
  </sheetViews>
  <sheetFormatPr defaultRowHeight="14.4"/>
  <sheetData>
    <row r="2" spans="4:6">
      <c r="E2" s="2362" t="s">
        <v>3416</v>
      </c>
      <c r="F2" s="2362" t="s">
        <v>3417</v>
      </c>
    </row>
    <row r="3" spans="4:6">
      <c r="D3" s="2362" t="s">
        <v>3412</v>
      </c>
      <c r="E3">
        <v>155087</v>
      </c>
      <c r="F3">
        <v>140777</v>
      </c>
    </row>
    <row r="4" spans="4:6">
      <c r="D4" s="2362" t="s">
        <v>3413</v>
      </c>
      <c r="E4">
        <v>155052</v>
      </c>
      <c r="F4">
        <v>140751</v>
      </c>
    </row>
    <row r="5" spans="4:6">
      <c r="D5" s="2362" t="s">
        <v>3414</v>
      </c>
      <c r="E5">
        <v>153076</v>
      </c>
      <c r="F5">
        <v>139252</v>
      </c>
    </row>
    <row r="6" spans="4:6">
      <c r="D6" s="2362" t="s">
        <v>3415</v>
      </c>
      <c r="E6">
        <v>149745</v>
      </c>
      <c r="F6">
        <v>136728</v>
      </c>
    </row>
  </sheetData>
  <phoneticPr fontId="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8"/>
  <sheetViews>
    <sheetView topLeftCell="A9" workbookViewId="0">
      <selection activeCell="I62" sqref="I62"/>
    </sheetView>
  </sheetViews>
  <sheetFormatPr defaultRowHeight="14.4"/>
  <cols>
    <col min="1" max="1" width="15.21875" customWidth="1"/>
    <col min="8" max="8" width="11" customWidth="1"/>
    <col min="9" max="9" width="10.77734375" customWidth="1"/>
  </cols>
  <sheetData>
    <row r="1" spans="1:17" s="3591" customFormat="1" ht="19.95" customHeight="1">
      <c r="A1" s="3588" t="s">
        <v>762</v>
      </c>
      <c r="B1" s="3588" t="s">
        <v>3418</v>
      </c>
      <c r="C1" s="3588" t="s">
        <v>3419</v>
      </c>
      <c r="D1" s="3588" t="s">
        <v>3420</v>
      </c>
      <c r="E1" s="3588" t="s">
        <v>1244</v>
      </c>
      <c r="F1" s="3588" t="s">
        <v>405</v>
      </c>
      <c r="G1" s="3588" t="s">
        <v>3421</v>
      </c>
      <c r="H1" s="3588" t="s">
        <v>3422</v>
      </c>
      <c r="I1" s="3589" t="s">
        <v>3423</v>
      </c>
      <c r="J1" s="3588" t="s">
        <v>3424</v>
      </c>
      <c r="K1" s="3588" t="s">
        <v>3425</v>
      </c>
      <c r="L1" s="3588" t="s">
        <v>3426</v>
      </c>
      <c r="M1" s="3588" t="s">
        <v>3427</v>
      </c>
      <c r="N1" s="3588" t="s">
        <v>3428</v>
      </c>
      <c r="O1" s="3590" t="s">
        <v>3429</v>
      </c>
      <c r="P1" s="3588" t="s">
        <v>3430</v>
      </c>
      <c r="Q1" s="3588" t="s">
        <v>3431</v>
      </c>
    </row>
    <row r="2" spans="1:17" s="3615" customFormat="1" ht="19.95" customHeight="1">
      <c r="A2" s="3608" t="s">
        <v>3432</v>
      </c>
      <c r="B2" s="3609" t="s">
        <v>3433</v>
      </c>
      <c r="C2" s="3609" t="s">
        <v>1257</v>
      </c>
      <c r="D2" s="3610" t="s">
        <v>3434</v>
      </c>
      <c r="E2" s="3609" t="s">
        <v>3435</v>
      </c>
      <c r="F2" s="3609" t="s">
        <v>1166</v>
      </c>
      <c r="G2" s="3610">
        <v>6225</v>
      </c>
      <c r="H2" s="3611">
        <v>34364.15</v>
      </c>
      <c r="I2" s="3612">
        <v>29982</v>
      </c>
      <c r="J2" s="3613">
        <v>4382.1500000000015</v>
      </c>
      <c r="K2" s="3612">
        <v>172000</v>
      </c>
      <c r="L2" s="3612">
        <v>50052</v>
      </c>
      <c r="M2" s="3612">
        <v>57368</v>
      </c>
      <c r="N2" s="3612" t="s">
        <v>3436</v>
      </c>
      <c r="O2" s="3614">
        <v>43831</v>
      </c>
      <c r="P2" s="3612" t="s">
        <v>3437</v>
      </c>
      <c r="Q2" s="3612"/>
    </row>
    <row r="3" spans="1:17" s="3591" customFormat="1" ht="19.95" customHeight="1">
      <c r="A3" s="3594" t="s">
        <v>3438</v>
      </c>
      <c r="B3" s="3594" t="s">
        <v>3439</v>
      </c>
      <c r="C3" s="3594" t="s">
        <v>1262</v>
      </c>
      <c r="D3" s="3594" t="s">
        <v>3440</v>
      </c>
      <c r="E3" s="3594" t="s">
        <v>3441</v>
      </c>
      <c r="F3" s="3594" t="s">
        <v>549</v>
      </c>
      <c r="G3" s="3594"/>
      <c r="H3" s="3594">
        <v>1398.91</v>
      </c>
      <c r="I3" s="3594">
        <v>1398.91</v>
      </c>
      <c r="J3" s="3594"/>
      <c r="K3" s="3594">
        <v>6646</v>
      </c>
      <c r="L3" s="3594">
        <v>47508</v>
      </c>
      <c r="M3" s="3594">
        <v>47508</v>
      </c>
      <c r="N3" s="3594" t="s">
        <v>3441</v>
      </c>
      <c r="O3" s="3595">
        <v>44001</v>
      </c>
      <c r="P3" s="3594" t="s">
        <v>3442</v>
      </c>
      <c r="Q3" s="3594" t="s">
        <v>3443</v>
      </c>
    </row>
    <row r="4" spans="1:17" s="3591" customFormat="1" ht="19.95" hidden="1" customHeight="1">
      <c r="A4" s="3594" t="s">
        <v>3444</v>
      </c>
      <c r="B4" s="3594" t="s">
        <v>3445</v>
      </c>
      <c r="C4" s="3594" t="s">
        <v>1267</v>
      </c>
      <c r="D4" s="3594" t="s">
        <v>3446</v>
      </c>
      <c r="E4" s="3594" t="s">
        <v>3447</v>
      </c>
      <c r="F4" s="3594" t="s">
        <v>3448</v>
      </c>
      <c r="G4" s="3594"/>
      <c r="H4" s="3594">
        <v>42325.21</v>
      </c>
      <c r="I4" s="3594">
        <v>42325.21</v>
      </c>
      <c r="J4" s="3594">
        <v>0</v>
      </c>
      <c r="K4" s="3594">
        <v>68800</v>
      </c>
      <c r="L4" s="3594">
        <v>16255</v>
      </c>
      <c r="M4" s="3594">
        <v>16255</v>
      </c>
      <c r="N4" s="3594" t="s">
        <v>3449</v>
      </c>
      <c r="O4" s="3595">
        <v>43917</v>
      </c>
      <c r="P4" s="3594" t="s">
        <v>3450</v>
      </c>
      <c r="Q4" s="3594" t="s">
        <v>3443</v>
      </c>
    </row>
    <row r="5" spans="1:17" s="3591" customFormat="1" ht="19.95" hidden="1" customHeight="1">
      <c r="A5" s="3594" t="s">
        <v>3451</v>
      </c>
      <c r="B5" s="3594" t="s">
        <v>3452</v>
      </c>
      <c r="C5" s="3594" t="s">
        <v>1267</v>
      </c>
      <c r="D5" s="3594" t="s">
        <v>3446</v>
      </c>
      <c r="E5" s="3594" t="s">
        <v>3453</v>
      </c>
      <c r="F5" s="3594" t="s">
        <v>3454</v>
      </c>
      <c r="G5" s="3594"/>
      <c r="H5" s="3594">
        <v>151904.19999999946</v>
      </c>
      <c r="I5" s="3594">
        <v>129768.05999999928</v>
      </c>
      <c r="J5" s="3594">
        <v>22136.140000000174</v>
      </c>
      <c r="K5" s="3594">
        <v>620167</v>
      </c>
      <c r="L5" s="3594">
        <v>40826</v>
      </c>
      <c r="M5" s="3594">
        <v>47790</v>
      </c>
      <c r="N5" s="3594" t="s">
        <v>3455</v>
      </c>
      <c r="O5" s="3595">
        <v>43878</v>
      </c>
      <c r="P5" s="3594" t="s">
        <v>3456</v>
      </c>
      <c r="Q5" s="3594"/>
    </row>
    <row r="6" spans="1:17" s="3591" customFormat="1" ht="19.95" customHeight="1">
      <c r="A6" s="3588" t="s">
        <v>3457</v>
      </c>
      <c r="B6" s="3588" t="s">
        <v>3458</v>
      </c>
      <c r="C6" s="3588" t="s">
        <v>1367</v>
      </c>
      <c r="D6" s="3596" t="s">
        <v>3459</v>
      </c>
      <c r="E6" s="3588" t="s">
        <v>3441</v>
      </c>
      <c r="F6" s="3588" t="s">
        <v>1166</v>
      </c>
      <c r="G6" s="3596"/>
      <c r="H6" s="3597">
        <v>510.43</v>
      </c>
      <c r="I6" s="3597">
        <v>510.43</v>
      </c>
      <c r="J6" s="3597"/>
      <c r="K6" s="3596">
        <v>5599</v>
      </c>
      <c r="L6" s="3592">
        <v>109692</v>
      </c>
      <c r="M6" s="3593">
        <v>109692</v>
      </c>
      <c r="N6" s="3588" t="s">
        <v>3460</v>
      </c>
      <c r="O6" s="3598">
        <v>43971</v>
      </c>
      <c r="P6" s="3588" t="s">
        <v>3461</v>
      </c>
      <c r="Q6" s="3588"/>
    </row>
    <row r="7" spans="1:17" s="3591" customFormat="1" ht="19.95" customHeight="1">
      <c r="A7" s="3594" t="s">
        <v>3462</v>
      </c>
      <c r="B7" s="3594" t="s">
        <v>3463</v>
      </c>
      <c r="C7" s="3594" t="s">
        <v>1262</v>
      </c>
      <c r="D7" s="3594" t="s">
        <v>3464</v>
      </c>
      <c r="E7" s="3594" t="s">
        <v>3465</v>
      </c>
      <c r="F7" s="3594" t="s">
        <v>3466</v>
      </c>
      <c r="G7" s="3594"/>
      <c r="H7" s="3594">
        <v>45935.14</v>
      </c>
      <c r="I7" s="3594">
        <v>36500.58</v>
      </c>
      <c r="J7" s="3594">
        <v>9434.56</v>
      </c>
      <c r="K7" s="3594">
        <v>135929.60000000001</v>
      </c>
      <c r="L7" s="3594">
        <v>29592</v>
      </c>
      <c r="M7" s="3594">
        <v>37240</v>
      </c>
      <c r="N7" s="3594" t="s">
        <v>3467</v>
      </c>
      <c r="O7" s="3595">
        <v>43973</v>
      </c>
      <c r="P7" s="3594" t="s">
        <v>3468</v>
      </c>
      <c r="Q7" s="3594" t="s">
        <v>3443</v>
      </c>
    </row>
    <row r="8" spans="1:17" s="3591" customFormat="1" ht="19.95" customHeight="1">
      <c r="A8" s="3588" t="s">
        <v>3469</v>
      </c>
      <c r="B8" s="3588" t="s">
        <v>3470</v>
      </c>
      <c r="C8" s="3588" t="s">
        <v>1257</v>
      </c>
      <c r="D8" s="3596" t="s">
        <v>3471</v>
      </c>
      <c r="E8" s="3588"/>
      <c r="F8" s="3588" t="s">
        <v>1166</v>
      </c>
      <c r="G8" s="3596"/>
      <c r="H8" s="3597">
        <v>1387.74</v>
      </c>
      <c r="I8" s="3597">
        <v>1387.74</v>
      </c>
      <c r="J8" s="3597"/>
      <c r="K8" s="3596">
        <v>5452</v>
      </c>
      <c r="L8" s="3592">
        <v>39287</v>
      </c>
      <c r="M8" s="3593">
        <v>39287</v>
      </c>
      <c r="N8" s="3588" t="s">
        <v>3460</v>
      </c>
      <c r="O8" s="3598">
        <v>43984</v>
      </c>
      <c r="P8" s="3588"/>
      <c r="Q8" s="3588" t="s">
        <v>3443</v>
      </c>
    </row>
    <row r="9" spans="1:17" s="3591" customFormat="1" ht="19.95" customHeight="1">
      <c r="A9" s="3588" t="s">
        <v>3472</v>
      </c>
      <c r="B9" s="3588" t="s">
        <v>3473</v>
      </c>
      <c r="C9" s="3588" t="s">
        <v>1257</v>
      </c>
      <c r="D9" s="3596" t="s">
        <v>3471</v>
      </c>
      <c r="E9" s="3588" t="s">
        <v>441</v>
      </c>
      <c r="F9" s="3588" t="s">
        <v>549</v>
      </c>
      <c r="G9" s="3596"/>
      <c r="H9" s="3597">
        <v>1555.86</v>
      </c>
      <c r="I9" s="3597">
        <v>1555.86</v>
      </c>
      <c r="J9" s="3597"/>
      <c r="K9" s="3596">
        <v>4524</v>
      </c>
      <c r="L9" s="3592">
        <v>29077</v>
      </c>
      <c r="M9" s="3593">
        <v>29077</v>
      </c>
      <c r="N9" s="3588" t="s">
        <v>3474</v>
      </c>
      <c r="O9" s="3598">
        <v>44012</v>
      </c>
      <c r="P9" s="3588" t="s">
        <v>3475</v>
      </c>
      <c r="Q9" s="3588" t="s">
        <v>3476</v>
      </c>
    </row>
    <row r="10" spans="1:17" s="3591" customFormat="1" ht="19.95" customHeight="1">
      <c r="A10" s="3588" t="s">
        <v>3477</v>
      </c>
      <c r="B10" s="3588" t="s">
        <v>3478</v>
      </c>
      <c r="C10" s="3588" t="s">
        <v>1262</v>
      </c>
      <c r="D10" s="3596" t="s">
        <v>3479</v>
      </c>
      <c r="E10" s="3588" t="s">
        <v>3441</v>
      </c>
      <c r="F10" s="3588" t="s">
        <v>549</v>
      </c>
      <c r="G10" s="3596"/>
      <c r="H10" s="3597">
        <v>905.35</v>
      </c>
      <c r="I10" s="3597">
        <v>905.35</v>
      </c>
      <c r="J10" s="3597"/>
      <c r="K10" s="3596">
        <v>3910.8832000000002</v>
      </c>
      <c r="L10" s="3592">
        <v>43197</v>
      </c>
      <c r="M10" s="3593">
        <v>43197</v>
      </c>
      <c r="N10" s="3588" t="s">
        <v>3480</v>
      </c>
      <c r="O10" s="3598">
        <v>43997</v>
      </c>
      <c r="P10" s="3588" t="s">
        <v>3481</v>
      </c>
      <c r="Q10" s="3594" t="s">
        <v>3443</v>
      </c>
    </row>
    <row r="11" spans="1:17" s="3591" customFormat="1" ht="19.95" hidden="1" customHeight="1">
      <c r="A11" s="3588" t="s">
        <v>3482</v>
      </c>
      <c r="B11" s="3588" t="s">
        <v>3483</v>
      </c>
      <c r="C11" s="3588" t="s">
        <v>3484</v>
      </c>
      <c r="D11" s="3596" t="s">
        <v>3485</v>
      </c>
      <c r="E11" s="3588" t="s">
        <v>441</v>
      </c>
      <c r="F11" s="3588" t="s">
        <v>549</v>
      </c>
      <c r="G11" s="3596"/>
      <c r="H11" s="3597">
        <v>363.59</v>
      </c>
      <c r="I11" s="3597"/>
      <c r="J11" s="3597"/>
      <c r="K11" s="3596">
        <v>922.5</v>
      </c>
      <c r="L11" s="3592">
        <v>25372</v>
      </c>
      <c r="M11" s="3593" t="e">
        <v>#DIV/0!</v>
      </c>
      <c r="N11" s="3588" t="s">
        <v>3441</v>
      </c>
      <c r="O11" s="3598">
        <v>44030</v>
      </c>
      <c r="P11" s="3588" t="s">
        <v>3486</v>
      </c>
      <c r="Q11" s="3594" t="s">
        <v>3443</v>
      </c>
    </row>
    <row r="12" spans="1:17" s="3591" customFormat="1" ht="19.95" customHeight="1">
      <c r="A12" s="3588" t="s">
        <v>3487</v>
      </c>
      <c r="B12" s="3588" t="s">
        <v>3488</v>
      </c>
      <c r="C12" s="3588" t="s">
        <v>1367</v>
      </c>
      <c r="D12" s="3596" t="s">
        <v>3489</v>
      </c>
      <c r="E12" s="3588" t="s">
        <v>441</v>
      </c>
      <c r="F12" s="3588" t="s">
        <v>549</v>
      </c>
      <c r="G12" s="3596"/>
      <c r="H12" s="3597">
        <v>213.78</v>
      </c>
      <c r="I12" s="3597"/>
      <c r="J12" s="3597"/>
      <c r="K12" s="3596">
        <v>909.84767999999997</v>
      </c>
      <c r="L12" s="3592">
        <v>42560</v>
      </c>
      <c r="M12" s="3593" t="e">
        <v>#DIV/0!</v>
      </c>
      <c r="N12" s="3588" t="s">
        <v>3441</v>
      </c>
      <c r="O12" s="3598">
        <v>44028</v>
      </c>
      <c r="P12" s="3588" t="s">
        <v>3490</v>
      </c>
      <c r="Q12" s="3594" t="s">
        <v>3443</v>
      </c>
    </row>
    <row r="13" spans="1:17" s="3591" customFormat="1" ht="19.95" hidden="1" customHeight="1">
      <c r="A13" s="3588" t="s">
        <v>3491</v>
      </c>
      <c r="B13" s="3588" t="s">
        <v>3492</v>
      </c>
      <c r="C13" s="3588" t="s">
        <v>3484</v>
      </c>
      <c r="D13" s="3588" t="s">
        <v>3484</v>
      </c>
      <c r="E13" s="3588" t="s">
        <v>441</v>
      </c>
      <c r="F13" s="3588" t="s">
        <v>549</v>
      </c>
      <c r="G13" s="3596"/>
      <c r="H13" s="3597">
        <v>1014.86</v>
      </c>
      <c r="I13" s="3597">
        <v>1014.86</v>
      </c>
      <c r="J13" s="3597"/>
      <c r="K13" s="3596">
        <v>1445.5</v>
      </c>
      <c r="L13" s="3592">
        <v>14243</v>
      </c>
      <c r="M13" s="3593">
        <v>14243</v>
      </c>
      <c r="N13" s="3588" t="s">
        <v>3493</v>
      </c>
      <c r="O13" s="3598">
        <v>44036</v>
      </c>
      <c r="P13" s="3588" t="s">
        <v>3494</v>
      </c>
      <c r="Q13" s="3594" t="s">
        <v>3443</v>
      </c>
    </row>
    <row r="14" spans="1:17" s="3591" customFormat="1" ht="19.95" hidden="1" customHeight="1">
      <c r="A14" s="3588" t="s">
        <v>3495</v>
      </c>
      <c r="B14" s="3588" t="s">
        <v>3496</v>
      </c>
      <c r="C14" s="3588" t="s">
        <v>1252</v>
      </c>
      <c r="D14" s="3596" t="s">
        <v>3497</v>
      </c>
      <c r="E14" s="3588" t="s">
        <v>3498</v>
      </c>
      <c r="F14" s="3588" t="s">
        <v>3499</v>
      </c>
      <c r="G14" s="3596"/>
      <c r="H14" s="3597">
        <v>16997.669999999998</v>
      </c>
      <c r="I14" s="3597"/>
      <c r="J14" s="3597"/>
      <c r="K14" s="3596">
        <v>11810</v>
      </c>
      <c r="L14" s="3592">
        <v>6948</v>
      </c>
      <c r="M14" s="3593" t="e">
        <v>#DIV/0!</v>
      </c>
      <c r="N14" s="3588" t="s">
        <v>3500</v>
      </c>
      <c r="O14" s="3598">
        <v>43838</v>
      </c>
      <c r="P14" s="3588" t="s">
        <v>3501</v>
      </c>
      <c r="Q14" s="3594"/>
    </row>
    <row r="15" spans="1:17" s="3591" customFormat="1" ht="19.95" hidden="1" customHeight="1">
      <c r="A15" s="3588" t="s">
        <v>3502</v>
      </c>
      <c r="B15" s="3588" t="s">
        <v>3503</v>
      </c>
      <c r="C15" s="3588" t="s">
        <v>1252</v>
      </c>
      <c r="D15" s="3596" t="s">
        <v>3504</v>
      </c>
      <c r="E15" s="3588" t="s">
        <v>1349</v>
      </c>
      <c r="F15" s="3588" t="s">
        <v>3505</v>
      </c>
      <c r="G15" s="3596"/>
      <c r="H15" s="3597">
        <v>25377.580000000042</v>
      </c>
      <c r="I15" s="3597">
        <v>24955.180000000029</v>
      </c>
      <c r="J15" s="3597">
        <v>422.40000000001237</v>
      </c>
      <c r="K15" s="3596">
        <v>104830</v>
      </c>
      <c r="L15" s="3592">
        <v>41308</v>
      </c>
      <c r="M15" s="3593">
        <v>42007</v>
      </c>
      <c r="N15" s="3588"/>
      <c r="O15" s="3598">
        <v>44025</v>
      </c>
      <c r="P15" s="3588" t="s">
        <v>3506</v>
      </c>
      <c r="Q15" s="3594"/>
    </row>
    <row r="16" spans="1:17" s="3591" customFormat="1" ht="19.95" hidden="1" customHeight="1">
      <c r="A16" s="3588" t="s">
        <v>3507</v>
      </c>
      <c r="B16" s="3588" t="s">
        <v>3503</v>
      </c>
      <c r="C16" s="3588" t="s">
        <v>1252</v>
      </c>
      <c r="D16" s="3596" t="s">
        <v>3504</v>
      </c>
      <c r="E16" s="3588" t="s">
        <v>1349</v>
      </c>
      <c r="F16" s="3588" t="s">
        <v>3505</v>
      </c>
      <c r="G16" s="3596"/>
      <c r="H16" s="3597">
        <v>12407.430000000002</v>
      </c>
      <c r="I16" s="3597">
        <v>12407.430000000002</v>
      </c>
      <c r="J16" s="3597"/>
      <c r="K16" s="3596">
        <v>72710</v>
      </c>
      <c r="L16" s="3592">
        <v>58602</v>
      </c>
      <c r="M16" s="3593">
        <v>58602</v>
      </c>
      <c r="N16" s="3588"/>
      <c r="O16" s="3598">
        <v>43949</v>
      </c>
      <c r="P16" s="3588" t="s">
        <v>3508</v>
      </c>
      <c r="Q16" s="3594"/>
    </row>
    <row r="17" spans="1:17" s="3591" customFormat="1" ht="19.95" hidden="1" customHeight="1">
      <c r="A17" s="3588" t="s">
        <v>3509</v>
      </c>
      <c r="B17" s="3588" t="s">
        <v>3503</v>
      </c>
      <c r="C17" s="3588" t="s">
        <v>1252</v>
      </c>
      <c r="D17" s="3596" t="s">
        <v>3504</v>
      </c>
      <c r="E17" s="3588" t="s">
        <v>1349</v>
      </c>
      <c r="F17" s="3588" t="s">
        <v>3505</v>
      </c>
      <c r="G17" s="3596"/>
      <c r="H17" s="3597">
        <v>13410.230000000003</v>
      </c>
      <c r="I17" s="3597">
        <v>13410.230000000003</v>
      </c>
      <c r="J17" s="3597"/>
      <c r="K17" s="3596">
        <v>75915</v>
      </c>
      <c r="L17" s="3592">
        <v>56610</v>
      </c>
      <c r="M17" s="3593">
        <v>56610</v>
      </c>
      <c r="N17" s="3588"/>
      <c r="O17" s="3598">
        <v>43832</v>
      </c>
      <c r="P17" s="3588" t="s">
        <v>3510</v>
      </c>
      <c r="Q17" s="3594"/>
    </row>
    <row r="18" spans="1:17" s="3591" customFormat="1" ht="19.95" customHeight="1">
      <c r="A18" s="3594" t="s">
        <v>3511</v>
      </c>
      <c r="B18" s="3594" t="s">
        <v>3512</v>
      </c>
      <c r="C18" s="3594" t="s">
        <v>1262</v>
      </c>
      <c r="D18" s="3594" t="s">
        <v>3513</v>
      </c>
      <c r="E18" s="3594" t="s">
        <v>3514</v>
      </c>
      <c r="F18" s="3594" t="s">
        <v>3505</v>
      </c>
      <c r="G18" s="3596"/>
      <c r="H18" s="3597">
        <v>1481.36</v>
      </c>
      <c r="I18" s="3597">
        <v>1481.36</v>
      </c>
      <c r="J18" s="3597"/>
      <c r="K18" s="3596">
        <v>12740</v>
      </c>
      <c r="L18" s="3592">
        <v>86000</v>
      </c>
      <c r="M18" s="3593">
        <v>86000</v>
      </c>
      <c r="N18" s="3588"/>
      <c r="O18" s="3598">
        <v>44026</v>
      </c>
      <c r="P18" s="3588" t="s">
        <v>3515</v>
      </c>
      <c r="Q18" s="3594"/>
    </row>
    <row r="19" spans="1:17" s="3591" customFormat="1" ht="19.95" hidden="1" customHeight="1">
      <c r="A19" s="3588" t="s">
        <v>3516</v>
      </c>
      <c r="B19" s="3588" t="s">
        <v>3517</v>
      </c>
      <c r="C19" s="3588" t="s">
        <v>1252</v>
      </c>
      <c r="D19" s="3596" t="s">
        <v>3518</v>
      </c>
      <c r="E19" s="3588" t="s">
        <v>3519</v>
      </c>
      <c r="F19" s="3594" t="s">
        <v>3505</v>
      </c>
      <c r="G19" s="3596">
        <v>6945.09</v>
      </c>
      <c r="H19" s="3597">
        <v>74675.98</v>
      </c>
      <c r="I19" s="3597">
        <v>52048.62</v>
      </c>
      <c r="J19" s="3597">
        <v>22627.360000000001</v>
      </c>
      <c r="K19" s="3596">
        <v>335985</v>
      </c>
      <c r="L19" s="3592">
        <v>44992</v>
      </c>
      <c r="M19" s="3593">
        <v>64552</v>
      </c>
      <c r="N19" s="3588" t="s">
        <v>3520</v>
      </c>
      <c r="O19" s="3598">
        <v>44043</v>
      </c>
      <c r="P19" s="3588" t="s">
        <v>3521</v>
      </c>
      <c r="Q19" s="3594"/>
    </row>
    <row r="20" spans="1:17" s="3591" customFormat="1" ht="19.95" hidden="1" customHeight="1">
      <c r="A20" s="3588" t="s">
        <v>3522</v>
      </c>
      <c r="B20" s="3588" t="s">
        <v>3523</v>
      </c>
      <c r="C20" s="3588" t="s">
        <v>2251</v>
      </c>
      <c r="D20" s="3596" t="s">
        <v>3524</v>
      </c>
      <c r="E20" s="3588" t="s">
        <v>3525</v>
      </c>
      <c r="F20" s="3588" t="s">
        <v>3526</v>
      </c>
      <c r="G20" s="3596">
        <v>92783.56</v>
      </c>
      <c r="H20" s="3597">
        <v>27629.15</v>
      </c>
      <c r="I20" s="3597">
        <v>27629.15</v>
      </c>
      <c r="J20" s="3597"/>
      <c r="K20" s="3596">
        <v>39045.362999999998</v>
      </c>
      <c r="L20" s="3592">
        <v>14132</v>
      </c>
      <c r="M20" s="3593">
        <v>14132</v>
      </c>
      <c r="N20" s="3588" t="s">
        <v>3527</v>
      </c>
      <c r="O20" s="3598">
        <v>44128</v>
      </c>
      <c r="P20" s="3588" t="s">
        <v>3528</v>
      </c>
      <c r="Q20" s="3594"/>
    </row>
    <row r="21" spans="1:17" s="3591" customFormat="1" ht="19.95" hidden="1" customHeight="1">
      <c r="A21" s="3588" t="s">
        <v>3529</v>
      </c>
      <c r="B21" s="3588" t="s">
        <v>3530</v>
      </c>
      <c r="C21" s="3588" t="s">
        <v>2251</v>
      </c>
      <c r="D21" s="3596" t="s">
        <v>3524</v>
      </c>
      <c r="E21" s="3588" t="s">
        <v>3525</v>
      </c>
      <c r="F21" s="3588" t="s">
        <v>3526</v>
      </c>
      <c r="G21" s="3596">
        <v>82323.28</v>
      </c>
      <c r="H21" s="3597">
        <v>12736.12</v>
      </c>
      <c r="I21" s="3597">
        <v>12736.12</v>
      </c>
      <c r="J21" s="3597"/>
      <c r="K21" s="3596">
        <v>36279.964</v>
      </c>
      <c r="L21" s="3592">
        <v>28486</v>
      </c>
      <c r="M21" s="3593">
        <v>28486</v>
      </c>
      <c r="N21" s="3588" t="s">
        <v>3527</v>
      </c>
      <c r="O21" s="3598">
        <v>44096</v>
      </c>
      <c r="P21" s="3588" t="s">
        <v>3531</v>
      </c>
      <c r="Q21" s="3594"/>
    </row>
    <row r="22" spans="1:17" s="3591" customFormat="1" ht="19.95" hidden="1" customHeight="1">
      <c r="A22" s="3588" t="s">
        <v>3532</v>
      </c>
      <c r="B22" s="3588" t="s">
        <v>3533</v>
      </c>
      <c r="C22" s="3588" t="s">
        <v>1267</v>
      </c>
      <c r="D22" s="3596" t="s">
        <v>3446</v>
      </c>
      <c r="E22" s="3588" t="s">
        <v>3534</v>
      </c>
      <c r="F22" s="3588" t="s">
        <v>549</v>
      </c>
      <c r="G22" s="3596"/>
      <c r="H22" s="3597">
        <v>2253.4299999999994</v>
      </c>
      <c r="I22" s="3597">
        <v>2253.4299999999994</v>
      </c>
      <c r="J22" s="3597"/>
      <c r="K22" s="3596">
        <v>17126.067999999996</v>
      </c>
      <c r="L22" s="3592">
        <v>76000</v>
      </c>
      <c r="M22" s="3593">
        <v>76000</v>
      </c>
      <c r="N22" s="3588" t="s">
        <v>3535</v>
      </c>
      <c r="O22" s="3598">
        <v>43849</v>
      </c>
      <c r="P22" s="3588" t="s">
        <v>3536</v>
      </c>
      <c r="Q22" s="3594"/>
    </row>
    <row r="23" spans="1:17" s="3591" customFormat="1" ht="19.95" hidden="1" customHeight="1">
      <c r="A23" s="3588" t="s">
        <v>3537</v>
      </c>
      <c r="B23" s="3588" t="s">
        <v>3538</v>
      </c>
      <c r="C23" s="3588" t="s">
        <v>1257</v>
      </c>
      <c r="D23" s="3596" t="s">
        <v>3539</v>
      </c>
      <c r="E23" s="3596" t="s">
        <v>3540</v>
      </c>
      <c r="F23" s="3588" t="s">
        <v>3541</v>
      </c>
      <c r="G23" s="3596">
        <v>2041.16</v>
      </c>
      <c r="H23" s="3596">
        <v>9791.86</v>
      </c>
      <c r="I23" s="3597">
        <v>8159.8833333333332</v>
      </c>
      <c r="J23" s="3597">
        <v>1631.9766666666674</v>
      </c>
      <c r="K23" s="3599">
        <v>15924.944</v>
      </c>
      <c r="L23" s="3592">
        <v>16263</v>
      </c>
      <c r="M23" s="3593">
        <v>19516</v>
      </c>
      <c r="N23" s="3588" t="s">
        <v>3542</v>
      </c>
      <c r="O23" s="3598">
        <v>44151</v>
      </c>
      <c r="P23" s="3596" t="s">
        <v>3543</v>
      </c>
      <c r="Q23" s="3596"/>
    </row>
    <row r="24" spans="1:17" s="3591" customFormat="1" ht="19.95" customHeight="1">
      <c r="A24" s="3596" t="s">
        <v>3544</v>
      </c>
      <c r="B24" s="3588" t="s">
        <v>3545</v>
      </c>
      <c r="C24" s="3596" t="s">
        <v>1262</v>
      </c>
      <c r="D24" s="3596" t="s">
        <v>3546</v>
      </c>
      <c r="E24" s="3596" t="s">
        <v>3441</v>
      </c>
      <c r="F24" s="3588" t="s">
        <v>549</v>
      </c>
      <c r="G24" s="3596"/>
      <c r="H24" s="3596">
        <v>341.81</v>
      </c>
      <c r="I24" s="3597">
        <v>341.81</v>
      </c>
      <c r="J24" s="3596"/>
      <c r="K24" s="3596">
        <v>2103.1</v>
      </c>
      <c r="L24" s="3592">
        <v>61528</v>
      </c>
      <c r="M24" s="3593">
        <v>61528</v>
      </c>
      <c r="N24" s="3596" t="s">
        <v>3441</v>
      </c>
      <c r="O24" s="3598">
        <v>44152</v>
      </c>
      <c r="P24" s="3588" t="s">
        <v>3547</v>
      </c>
      <c r="Q24" s="3596"/>
    </row>
    <row r="25" spans="1:17" s="3591" customFormat="1" ht="19.95" customHeight="1">
      <c r="A25" s="3596" t="s">
        <v>3548</v>
      </c>
      <c r="B25" s="3588" t="s">
        <v>3549</v>
      </c>
      <c r="C25" s="3596" t="s">
        <v>1262</v>
      </c>
      <c r="D25" s="3596" t="s">
        <v>3546</v>
      </c>
      <c r="E25" s="3596" t="s">
        <v>3441</v>
      </c>
      <c r="F25" s="3588" t="s">
        <v>549</v>
      </c>
      <c r="G25" s="3596"/>
      <c r="H25" s="3596">
        <v>148.19999999999999</v>
      </c>
      <c r="I25" s="3597">
        <v>148.19999999999999</v>
      </c>
      <c r="J25" s="3596"/>
      <c r="K25" s="3596">
        <v>1402.3472999999999</v>
      </c>
      <c r="L25" s="3592">
        <v>94625</v>
      </c>
      <c r="M25" s="3593">
        <v>94625</v>
      </c>
      <c r="N25" s="3596" t="s">
        <v>3441</v>
      </c>
      <c r="O25" s="3598">
        <v>44152</v>
      </c>
      <c r="P25" s="3596"/>
      <c r="Q25" s="3596"/>
    </row>
    <row r="26" spans="1:17" s="3591" customFormat="1" ht="19.95" customHeight="1">
      <c r="A26" s="3596" t="s">
        <v>3550</v>
      </c>
      <c r="B26" s="3596" t="s">
        <v>3551</v>
      </c>
      <c r="C26" s="3596" t="s">
        <v>1262</v>
      </c>
      <c r="D26" s="3596" t="s">
        <v>3552</v>
      </c>
      <c r="E26" s="3588" t="s">
        <v>3553</v>
      </c>
      <c r="F26" s="3588" t="s">
        <v>1166</v>
      </c>
      <c r="G26" s="3596">
        <v>2350.9</v>
      </c>
      <c r="H26" s="3596">
        <v>4571.58</v>
      </c>
      <c r="I26" s="3597">
        <v>4571.58</v>
      </c>
      <c r="J26" s="3596"/>
      <c r="K26" s="3596">
        <v>10145.700000000001</v>
      </c>
      <c r="L26" s="3592">
        <v>22193</v>
      </c>
      <c r="M26" s="3593">
        <v>22193</v>
      </c>
      <c r="N26" s="3596" t="s">
        <v>3441</v>
      </c>
      <c r="O26" s="3598">
        <v>44166</v>
      </c>
      <c r="P26" s="3596" t="s">
        <v>3554</v>
      </c>
      <c r="Q26" s="3596"/>
    </row>
    <row r="27" spans="1:17" s="3591" customFormat="1" ht="19.95" customHeight="1">
      <c r="A27" s="3588" t="s">
        <v>3555</v>
      </c>
      <c r="B27" s="3588" t="s">
        <v>3556</v>
      </c>
      <c r="C27" s="3596" t="s">
        <v>1262</v>
      </c>
      <c r="D27" s="3596" t="s">
        <v>3557</v>
      </c>
      <c r="E27" s="3588" t="s">
        <v>3558</v>
      </c>
      <c r="F27" s="3588" t="s">
        <v>3559</v>
      </c>
      <c r="G27" s="3596"/>
      <c r="H27" s="3597">
        <v>29304.19</v>
      </c>
      <c r="I27" s="3597">
        <v>6574.91</v>
      </c>
      <c r="J27" s="3596">
        <v>22729.279999999999</v>
      </c>
      <c r="K27" s="3588">
        <v>64594.258399999999</v>
      </c>
      <c r="L27" s="3592">
        <v>22043</v>
      </c>
      <c r="M27" s="3593">
        <v>98244</v>
      </c>
      <c r="N27" s="3588" t="s">
        <v>3560</v>
      </c>
      <c r="O27" s="3598">
        <v>44170</v>
      </c>
      <c r="P27" s="3588" t="s">
        <v>3561</v>
      </c>
      <c r="Q27" s="3596"/>
    </row>
    <row r="28" spans="1:17" s="3591" customFormat="1" ht="19.95" customHeight="1">
      <c r="A28" s="3596" t="s">
        <v>3562</v>
      </c>
      <c r="B28" s="3588" t="s">
        <v>3563</v>
      </c>
      <c r="C28" s="3596" t="s">
        <v>1252</v>
      </c>
      <c r="D28" s="3596" t="s">
        <v>3518</v>
      </c>
      <c r="E28" s="3596" t="s">
        <v>3441</v>
      </c>
      <c r="F28" s="3588" t="s">
        <v>3564</v>
      </c>
      <c r="G28" s="3596"/>
      <c r="H28" s="3596">
        <v>1204.4000000000001</v>
      </c>
      <c r="I28" s="3597">
        <v>802.93333333333339</v>
      </c>
      <c r="J28" s="3597">
        <v>401.4666666666667</v>
      </c>
      <c r="K28" s="3596">
        <v>3857.7941000000001</v>
      </c>
      <c r="L28" s="3592">
        <v>32031</v>
      </c>
      <c r="M28" s="3593">
        <v>48046</v>
      </c>
      <c r="N28" s="3596" t="s">
        <v>3441</v>
      </c>
      <c r="O28" s="3598">
        <v>44176</v>
      </c>
      <c r="P28" s="3588" t="s">
        <v>3565</v>
      </c>
      <c r="Q28" s="3596"/>
    </row>
    <row r="29" spans="1:17" s="3591" customFormat="1" ht="19.95" customHeight="1">
      <c r="A29" s="3588" t="s">
        <v>3566</v>
      </c>
      <c r="B29" s="3596" t="s">
        <v>3567</v>
      </c>
      <c r="C29" s="3596" t="s">
        <v>1252</v>
      </c>
      <c r="D29" s="3596" t="s">
        <v>3568</v>
      </c>
      <c r="E29" s="3596" t="s">
        <v>3459</v>
      </c>
      <c r="F29" s="3588" t="s">
        <v>3569</v>
      </c>
      <c r="G29" s="3596">
        <v>27500</v>
      </c>
      <c r="H29" s="3596">
        <v>138263.04000000001</v>
      </c>
      <c r="I29" s="3597">
        <v>109309.91</v>
      </c>
      <c r="J29" s="3596">
        <v>28953.13</v>
      </c>
      <c r="K29" s="3596"/>
      <c r="L29" s="3592">
        <v>0</v>
      </c>
      <c r="M29" s="3593">
        <v>0</v>
      </c>
      <c r="N29" s="3596" t="s">
        <v>3570</v>
      </c>
      <c r="O29" s="3598">
        <v>44187</v>
      </c>
      <c r="P29" s="3588" t="s">
        <v>3571</v>
      </c>
      <c r="Q29" s="3596"/>
    </row>
    <row r="30" spans="1:17" s="3591" customFormat="1" ht="19.95" customHeight="1">
      <c r="A30" s="3596" t="s">
        <v>3572</v>
      </c>
      <c r="B30" s="3588" t="s">
        <v>3573</v>
      </c>
      <c r="C30" s="3596" t="s">
        <v>1257</v>
      </c>
      <c r="D30" s="3596" t="s">
        <v>3471</v>
      </c>
      <c r="E30" s="3588" t="s">
        <v>3574</v>
      </c>
      <c r="F30" s="3588" t="s">
        <v>3575</v>
      </c>
      <c r="G30" s="3600">
        <v>5643.56</v>
      </c>
      <c r="H30" s="3600">
        <v>31811.75</v>
      </c>
      <c r="I30" s="3597">
        <v>20772.5</v>
      </c>
      <c r="J30" s="3596">
        <v>11039.25</v>
      </c>
      <c r="K30" s="3596">
        <v>90000</v>
      </c>
      <c r="L30" s="3592">
        <v>28291</v>
      </c>
      <c r="M30" s="3593">
        <v>43327</v>
      </c>
      <c r="N30" s="3596" t="s">
        <v>3576</v>
      </c>
      <c r="O30" s="3598">
        <v>44193</v>
      </c>
      <c r="P30" s="3588" t="s">
        <v>3577</v>
      </c>
      <c r="Q30" s="3596"/>
    </row>
    <row r="33" spans="1:12" s="3602" customFormat="1">
      <c r="A33" s="3601" t="s">
        <v>762</v>
      </c>
      <c r="B33" s="3601" t="s">
        <v>2894</v>
      </c>
      <c r="C33" s="3601" t="s">
        <v>2126</v>
      </c>
      <c r="D33" s="3601" t="s">
        <v>3420</v>
      </c>
      <c r="E33" s="3601" t="s">
        <v>2896</v>
      </c>
      <c r="F33" s="3601" t="s">
        <v>3578</v>
      </c>
      <c r="G33" s="3601" t="s">
        <v>3579</v>
      </c>
      <c r="H33" s="3601" t="s">
        <v>3580</v>
      </c>
      <c r="I33" s="3601" t="s">
        <v>3581</v>
      </c>
      <c r="J33" s="3601" t="s">
        <v>3582</v>
      </c>
      <c r="K33" s="3601" t="s">
        <v>3583</v>
      </c>
      <c r="L33" s="3601" t="s">
        <v>3584</v>
      </c>
    </row>
    <row r="34" spans="1:12" s="3604" customFormat="1" ht="12">
      <c r="A34" s="3603" t="s">
        <v>3585</v>
      </c>
      <c r="B34" s="3603" t="s">
        <v>3586</v>
      </c>
      <c r="C34" s="3603" t="s">
        <v>3587</v>
      </c>
      <c r="D34" s="3603" t="s">
        <v>3588</v>
      </c>
      <c r="E34" s="3603" t="s">
        <v>3589</v>
      </c>
      <c r="F34" s="3603" t="s">
        <v>3590</v>
      </c>
      <c r="G34" s="3603" t="s">
        <v>3591</v>
      </c>
      <c r="H34" s="3603" t="s">
        <v>3592</v>
      </c>
      <c r="I34" s="3603" t="s">
        <v>3593</v>
      </c>
      <c r="J34" s="3603" t="s">
        <v>3594</v>
      </c>
      <c r="K34" s="3603" t="s">
        <v>3595</v>
      </c>
      <c r="L34" s="3603" t="s">
        <v>3596</v>
      </c>
    </row>
    <row r="35" spans="1:12" s="3607" customFormat="1" ht="12">
      <c r="A35" s="3606" t="s">
        <v>3597</v>
      </c>
      <c r="B35" s="3606" t="s">
        <v>3586</v>
      </c>
      <c r="C35" s="3606" t="s">
        <v>3587</v>
      </c>
      <c r="D35" s="3606" t="s">
        <v>3598</v>
      </c>
      <c r="E35" s="3606" t="s">
        <v>3589</v>
      </c>
      <c r="F35" s="3606" t="s">
        <v>3599</v>
      </c>
      <c r="G35" s="3606" t="s">
        <v>3600</v>
      </c>
      <c r="H35" s="3606" t="s">
        <v>3601</v>
      </c>
      <c r="I35" s="3606" t="s">
        <v>3602</v>
      </c>
      <c r="J35" s="3606" t="s">
        <v>3603</v>
      </c>
      <c r="K35" s="3606" t="s">
        <v>3604</v>
      </c>
      <c r="L35" s="3606" t="s">
        <v>3605</v>
      </c>
    </row>
    <row r="36" spans="1:12" s="3604" customFormat="1" ht="12">
      <c r="A36" s="3603" t="s">
        <v>3606</v>
      </c>
      <c r="B36" s="3603" t="s">
        <v>3586</v>
      </c>
      <c r="C36" s="3603" t="s">
        <v>3607</v>
      </c>
      <c r="D36" s="3603" t="s">
        <v>3591</v>
      </c>
      <c r="E36" s="3603" t="s">
        <v>3589</v>
      </c>
      <c r="F36" s="3603" t="s">
        <v>3608</v>
      </c>
      <c r="G36" s="3603" t="s">
        <v>3600</v>
      </c>
      <c r="H36" s="3603" t="s">
        <v>3609</v>
      </c>
      <c r="I36" s="3603" t="s">
        <v>3610</v>
      </c>
      <c r="J36" s="3603" t="s">
        <v>3611</v>
      </c>
      <c r="K36" s="3603" t="s">
        <v>3612</v>
      </c>
      <c r="L36" s="3603" t="s">
        <v>3613</v>
      </c>
    </row>
    <row r="37" spans="1:12" s="3604" customFormat="1" ht="12" hidden="1">
      <c r="A37" s="3603" t="s">
        <v>3614</v>
      </c>
      <c r="B37" s="3603" t="s">
        <v>3586</v>
      </c>
      <c r="C37" s="3603" t="s">
        <v>3615</v>
      </c>
      <c r="D37" s="3603" t="s">
        <v>3616</v>
      </c>
      <c r="E37" s="3603" t="s">
        <v>3589</v>
      </c>
      <c r="F37" s="3603" t="s">
        <v>3617</v>
      </c>
      <c r="G37" s="3603" t="s">
        <v>3591</v>
      </c>
      <c r="H37" s="3603" t="s">
        <v>3618</v>
      </c>
      <c r="I37" s="3603" t="s">
        <v>3619</v>
      </c>
      <c r="J37" s="3603" t="s">
        <v>3620</v>
      </c>
      <c r="K37" s="3603" t="s">
        <v>3621</v>
      </c>
      <c r="L37" s="3603" t="s">
        <v>3622</v>
      </c>
    </row>
    <row r="38" spans="1:12" s="3604" customFormat="1" ht="12">
      <c r="A38" s="3603" t="s">
        <v>3623</v>
      </c>
      <c r="B38" s="3603" t="s">
        <v>3586</v>
      </c>
      <c r="C38" s="3603" t="s">
        <v>3624</v>
      </c>
      <c r="D38" s="3603" t="s">
        <v>3625</v>
      </c>
      <c r="E38" s="3603" t="s">
        <v>3589</v>
      </c>
      <c r="F38" s="3603" t="s">
        <v>3626</v>
      </c>
      <c r="G38" s="3603" t="s">
        <v>3591</v>
      </c>
      <c r="H38" s="3603" t="s">
        <v>3627</v>
      </c>
      <c r="I38" s="3603" t="s">
        <v>3628</v>
      </c>
      <c r="J38" s="3603" t="s">
        <v>3629</v>
      </c>
      <c r="K38" s="3603" t="s">
        <v>3630</v>
      </c>
      <c r="L38" s="3603" t="s">
        <v>3631</v>
      </c>
    </row>
    <row r="39" spans="1:12" s="3604" customFormat="1" ht="12">
      <c r="A39" s="3603" t="s">
        <v>3632</v>
      </c>
      <c r="B39" s="3603" t="s">
        <v>3586</v>
      </c>
      <c r="C39" s="3603" t="s">
        <v>3624</v>
      </c>
      <c r="D39" s="3603" t="s">
        <v>3633</v>
      </c>
      <c r="E39" s="3603" t="s">
        <v>3589</v>
      </c>
      <c r="F39" s="3603" t="s">
        <v>3634</v>
      </c>
      <c r="G39" s="3603" t="s">
        <v>3591</v>
      </c>
      <c r="H39" s="3603" t="s">
        <v>3635</v>
      </c>
      <c r="I39" s="3603" t="s">
        <v>3636</v>
      </c>
      <c r="J39" s="3603" t="s">
        <v>3637</v>
      </c>
      <c r="K39" s="3603" t="s">
        <v>3638</v>
      </c>
      <c r="L39" s="3603" t="s">
        <v>3639</v>
      </c>
    </row>
    <row r="40" spans="1:12" s="3604" customFormat="1" ht="12">
      <c r="A40" s="3603" t="s">
        <v>3640</v>
      </c>
      <c r="B40" s="3603" t="s">
        <v>3586</v>
      </c>
      <c r="C40" s="3603" t="s">
        <v>3607</v>
      </c>
      <c r="D40" s="3603" t="s">
        <v>3641</v>
      </c>
      <c r="E40" s="3603" t="s">
        <v>3589</v>
      </c>
      <c r="F40" s="3603" t="s">
        <v>3642</v>
      </c>
      <c r="G40" s="3603" t="s">
        <v>3600</v>
      </c>
      <c r="H40" s="3603" t="s">
        <v>3643</v>
      </c>
      <c r="I40" s="3603" t="s">
        <v>3644</v>
      </c>
      <c r="J40" s="3603" t="s">
        <v>3645</v>
      </c>
      <c r="K40" s="3603" t="s">
        <v>3646</v>
      </c>
      <c r="L40" s="3603" t="s">
        <v>3647</v>
      </c>
    </row>
    <row r="41" spans="1:12" s="3607" customFormat="1" ht="12">
      <c r="A41" s="3606" t="s">
        <v>3648</v>
      </c>
      <c r="B41" s="3606" t="s">
        <v>3586</v>
      </c>
      <c r="C41" s="3606" t="s">
        <v>3624</v>
      </c>
      <c r="D41" s="3606" t="s">
        <v>3591</v>
      </c>
      <c r="E41" s="3606" t="s">
        <v>3589</v>
      </c>
      <c r="F41" s="3606" t="s">
        <v>3649</v>
      </c>
      <c r="G41" s="3606" t="s">
        <v>3650</v>
      </c>
      <c r="H41" s="3606" t="s">
        <v>3651</v>
      </c>
      <c r="I41" s="3606" t="s">
        <v>3652</v>
      </c>
      <c r="J41" s="3606" t="s">
        <v>3653</v>
      </c>
      <c r="K41" s="3606" t="s">
        <v>3654</v>
      </c>
      <c r="L41" s="3606" t="s">
        <v>3655</v>
      </c>
    </row>
    <row r="42" spans="1:12" s="3604" customFormat="1" ht="12" hidden="1">
      <c r="A42" s="3603" t="s">
        <v>3656</v>
      </c>
      <c r="B42" s="3603" t="s">
        <v>3586</v>
      </c>
      <c r="C42" s="3603" t="s">
        <v>3657</v>
      </c>
      <c r="D42" s="3603" t="s">
        <v>3658</v>
      </c>
      <c r="E42" s="3603" t="s">
        <v>3589</v>
      </c>
      <c r="F42" s="3603" t="s">
        <v>3659</v>
      </c>
      <c r="G42" s="3603" t="s">
        <v>3600</v>
      </c>
      <c r="H42" s="3603" t="s">
        <v>3660</v>
      </c>
      <c r="I42" s="3603" t="s">
        <v>3591</v>
      </c>
      <c r="J42" s="3603" t="s">
        <v>3661</v>
      </c>
      <c r="K42" s="3603" t="s">
        <v>3662</v>
      </c>
      <c r="L42" s="3603" t="s">
        <v>3663</v>
      </c>
    </row>
    <row r="43" spans="1:12" s="3604" customFormat="1" ht="12">
      <c r="A43" s="3603" t="s">
        <v>3664</v>
      </c>
      <c r="B43" s="3603" t="s">
        <v>3586</v>
      </c>
      <c r="C43" s="3603" t="s">
        <v>3587</v>
      </c>
      <c r="D43" s="3603" t="s">
        <v>3665</v>
      </c>
      <c r="E43" s="3603" t="s">
        <v>3666</v>
      </c>
      <c r="F43" s="3603" t="s">
        <v>3667</v>
      </c>
      <c r="G43" s="3603" t="s">
        <v>3591</v>
      </c>
      <c r="H43" s="3603" t="s">
        <v>3668</v>
      </c>
      <c r="I43" s="3603" t="s">
        <v>3669</v>
      </c>
      <c r="J43" s="3603" t="s">
        <v>3670</v>
      </c>
      <c r="K43" s="3603" t="s">
        <v>3671</v>
      </c>
      <c r="L43" s="3603" t="s">
        <v>3672</v>
      </c>
    </row>
    <row r="44" spans="1:12" s="3604" customFormat="1" ht="12" hidden="1">
      <c r="A44" s="3603" t="s">
        <v>3673</v>
      </c>
      <c r="B44" s="3603" t="s">
        <v>3586</v>
      </c>
      <c r="C44" s="3603" t="s">
        <v>3657</v>
      </c>
      <c r="D44" s="3603" t="s">
        <v>3591</v>
      </c>
      <c r="E44" s="3603" t="s">
        <v>3666</v>
      </c>
      <c r="F44" s="3603" t="s">
        <v>3674</v>
      </c>
      <c r="G44" s="3603" t="s">
        <v>3650</v>
      </c>
      <c r="H44" s="3603" t="s">
        <v>3675</v>
      </c>
      <c r="I44" s="3603" t="s">
        <v>3676</v>
      </c>
      <c r="J44" s="3603" t="s">
        <v>3677</v>
      </c>
      <c r="K44" s="3603" t="s">
        <v>3678</v>
      </c>
      <c r="L44" s="3603" t="s">
        <v>3679</v>
      </c>
    </row>
    <row r="45" spans="1:12" s="3604" customFormat="1" ht="12" hidden="1">
      <c r="A45" s="3603" t="s">
        <v>3680</v>
      </c>
      <c r="B45" s="3603" t="s">
        <v>3586</v>
      </c>
      <c r="C45" s="3603" t="s">
        <v>3657</v>
      </c>
      <c r="D45" s="3603" t="s">
        <v>3591</v>
      </c>
      <c r="E45" s="3603" t="s">
        <v>3666</v>
      </c>
      <c r="F45" s="3603" t="s">
        <v>3681</v>
      </c>
      <c r="G45" s="3603" t="s">
        <v>3650</v>
      </c>
      <c r="H45" s="3603" t="s">
        <v>3682</v>
      </c>
      <c r="I45" s="3603" t="s">
        <v>3683</v>
      </c>
      <c r="J45" s="3603" t="s">
        <v>3684</v>
      </c>
      <c r="K45" s="3603" t="s">
        <v>3685</v>
      </c>
      <c r="L45" s="3603" t="s">
        <v>3686</v>
      </c>
    </row>
    <row r="46" spans="1:12" s="3604" customFormat="1" ht="12">
      <c r="A46" s="3603" t="s">
        <v>3687</v>
      </c>
      <c r="B46" s="3603" t="s">
        <v>3586</v>
      </c>
      <c r="C46" s="3603" t="s">
        <v>3587</v>
      </c>
      <c r="D46" s="3603" t="s">
        <v>3665</v>
      </c>
      <c r="E46" s="3603" t="s">
        <v>3666</v>
      </c>
      <c r="F46" s="3603" t="s">
        <v>3688</v>
      </c>
      <c r="G46" s="3603" t="s">
        <v>3600</v>
      </c>
      <c r="H46" s="3603" t="s">
        <v>3689</v>
      </c>
      <c r="I46" s="3603" t="s">
        <v>3690</v>
      </c>
      <c r="J46" s="3603" t="s">
        <v>3691</v>
      </c>
      <c r="K46" s="3603" t="s">
        <v>3692</v>
      </c>
      <c r="L46" s="3603" t="s">
        <v>3672</v>
      </c>
    </row>
    <row r="47" spans="1:12" s="3604" customFormat="1" ht="12">
      <c r="A47" s="3605" t="s">
        <v>3664</v>
      </c>
      <c r="B47" s="3605" t="s">
        <v>3586</v>
      </c>
      <c r="C47" s="3605" t="s">
        <v>3587</v>
      </c>
      <c r="D47" s="3605" t="s">
        <v>3665</v>
      </c>
      <c r="E47" s="3605" t="s">
        <v>3666</v>
      </c>
      <c r="F47" s="3605" t="s">
        <v>3667</v>
      </c>
      <c r="G47" s="3605" t="s">
        <v>3591</v>
      </c>
      <c r="H47" s="3605" t="s">
        <v>3668</v>
      </c>
      <c r="I47" s="3605" t="s">
        <v>3669</v>
      </c>
      <c r="J47" s="3605" t="s">
        <v>3670</v>
      </c>
      <c r="K47" s="3605" t="s">
        <v>3671</v>
      </c>
      <c r="L47" s="3605" t="s">
        <v>3672</v>
      </c>
    </row>
    <row r="48" spans="1:12" s="3604" customFormat="1" ht="12">
      <c r="A48" s="3605" t="s">
        <v>3687</v>
      </c>
      <c r="B48" s="3605" t="s">
        <v>3586</v>
      </c>
      <c r="C48" s="3605" t="s">
        <v>3587</v>
      </c>
      <c r="D48" s="3605" t="s">
        <v>3665</v>
      </c>
      <c r="E48" s="3605" t="s">
        <v>3666</v>
      </c>
      <c r="F48" s="3605" t="s">
        <v>3688</v>
      </c>
      <c r="G48" s="3605" t="s">
        <v>3600</v>
      </c>
      <c r="H48" s="3605" t="s">
        <v>3689</v>
      </c>
      <c r="I48" s="3605" t="s">
        <v>3690</v>
      </c>
      <c r="J48" s="3605" t="s">
        <v>3691</v>
      </c>
      <c r="K48" s="3605" t="s">
        <v>3692</v>
      </c>
      <c r="L48" s="3605" t="s">
        <v>3672</v>
      </c>
    </row>
    <row r="49" spans="1:12" s="3604" customFormat="1" ht="12" hidden="1">
      <c r="A49" s="3605" t="s">
        <v>3680</v>
      </c>
      <c r="B49" s="3605" t="s">
        <v>3586</v>
      </c>
      <c r="C49" s="3605" t="s">
        <v>3657</v>
      </c>
      <c r="D49" s="3605" t="s">
        <v>3591</v>
      </c>
      <c r="E49" s="3605" t="s">
        <v>3666</v>
      </c>
      <c r="F49" s="3605" t="s">
        <v>3681</v>
      </c>
      <c r="G49" s="3605" t="s">
        <v>3650</v>
      </c>
      <c r="H49" s="3605" t="s">
        <v>3682</v>
      </c>
      <c r="I49" s="3605" t="s">
        <v>3683</v>
      </c>
      <c r="J49" s="3605" t="s">
        <v>3684</v>
      </c>
      <c r="K49" s="3605" t="s">
        <v>3685</v>
      </c>
      <c r="L49" s="3605" t="s">
        <v>3686</v>
      </c>
    </row>
    <row r="50" spans="1:12" s="3604" customFormat="1" ht="12" hidden="1">
      <c r="A50" s="3605" t="s">
        <v>3693</v>
      </c>
      <c r="B50" s="3605" t="s">
        <v>3586</v>
      </c>
      <c r="C50" s="3605" t="s">
        <v>3694</v>
      </c>
      <c r="D50" s="3605" t="s">
        <v>3591</v>
      </c>
      <c r="E50" s="3605" t="s">
        <v>3666</v>
      </c>
      <c r="F50" s="3605" t="s">
        <v>3695</v>
      </c>
      <c r="G50" s="3605" t="s">
        <v>3600</v>
      </c>
      <c r="H50" s="3605" t="s">
        <v>3696</v>
      </c>
      <c r="I50" s="3605" t="s">
        <v>3591</v>
      </c>
      <c r="J50" s="3605" t="s">
        <v>3697</v>
      </c>
      <c r="K50" s="3605" t="s">
        <v>3698</v>
      </c>
      <c r="L50" s="3605" t="s">
        <v>3699</v>
      </c>
    </row>
    <row r="51" spans="1:12" s="3604" customFormat="1" ht="12">
      <c r="A51" s="3605" t="s">
        <v>3700</v>
      </c>
      <c r="B51" s="3605" t="s">
        <v>3586</v>
      </c>
      <c r="C51" s="3605" t="s">
        <v>3587</v>
      </c>
      <c r="D51" s="3605" t="s">
        <v>3591</v>
      </c>
      <c r="E51" s="3605" t="s">
        <v>3666</v>
      </c>
      <c r="F51" s="3605" t="s">
        <v>3701</v>
      </c>
      <c r="G51" s="3605" t="s">
        <v>3600</v>
      </c>
      <c r="H51" s="3605" t="s">
        <v>3702</v>
      </c>
      <c r="I51" s="3605" t="s">
        <v>3703</v>
      </c>
      <c r="J51" s="3605" t="s">
        <v>3704</v>
      </c>
      <c r="K51" s="3605" t="s">
        <v>3705</v>
      </c>
      <c r="L51" s="3605" t="s">
        <v>3706</v>
      </c>
    </row>
    <row r="52" spans="1:12" s="3604" customFormat="1" ht="12">
      <c r="A52" s="3605" t="s">
        <v>3664</v>
      </c>
      <c r="B52" s="3605" t="s">
        <v>3586</v>
      </c>
      <c r="C52" s="3605" t="s">
        <v>3587</v>
      </c>
      <c r="D52" s="3605" t="s">
        <v>3665</v>
      </c>
      <c r="E52" s="3605" t="s">
        <v>3666</v>
      </c>
      <c r="F52" s="3605" t="s">
        <v>3667</v>
      </c>
      <c r="G52" s="3605" t="s">
        <v>3591</v>
      </c>
      <c r="H52" s="3605" t="s">
        <v>3668</v>
      </c>
      <c r="I52" s="3605" t="s">
        <v>3669</v>
      </c>
      <c r="J52" s="3605" t="s">
        <v>3670</v>
      </c>
      <c r="K52" s="3605" t="s">
        <v>3671</v>
      </c>
      <c r="L52" s="3605" t="s">
        <v>3672</v>
      </c>
    </row>
    <row r="53" spans="1:12" s="3604" customFormat="1" ht="12" hidden="1">
      <c r="A53" s="3605" t="s">
        <v>3707</v>
      </c>
      <c r="B53" s="3605" t="s">
        <v>3586</v>
      </c>
      <c r="C53" s="3605" t="s">
        <v>3708</v>
      </c>
      <c r="D53" s="3605" t="s">
        <v>3591</v>
      </c>
      <c r="E53" s="3605" t="s">
        <v>3709</v>
      </c>
      <c r="F53" s="3605" t="s">
        <v>3710</v>
      </c>
      <c r="G53" s="3605" t="s">
        <v>3591</v>
      </c>
      <c r="H53" s="3605" t="s">
        <v>3711</v>
      </c>
      <c r="I53" s="3605" t="s">
        <v>3712</v>
      </c>
      <c r="J53" s="3605" t="s">
        <v>3713</v>
      </c>
      <c r="K53" s="3605" t="s">
        <v>3714</v>
      </c>
      <c r="L53" s="3605" t="s">
        <v>3715</v>
      </c>
    </row>
    <row r="54" spans="1:12" s="3604" customFormat="1" ht="12">
      <c r="A54" s="3605" t="s">
        <v>3716</v>
      </c>
      <c r="B54" s="3605" t="s">
        <v>3586</v>
      </c>
      <c r="C54" s="3605" t="s">
        <v>3587</v>
      </c>
      <c r="D54" s="3605" t="s">
        <v>3717</v>
      </c>
      <c r="E54" s="3605" t="s">
        <v>3709</v>
      </c>
      <c r="F54" s="3605" t="s">
        <v>3718</v>
      </c>
      <c r="G54" s="3605" t="s">
        <v>3600</v>
      </c>
      <c r="H54" s="3605" t="s">
        <v>3719</v>
      </c>
      <c r="I54" s="3605" t="s">
        <v>3591</v>
      </c>
      <c r="J54" s="3605" t="s">
        <v>3720</v>
      </c>
      <c r="K54" s="3605" t="s">
        <v>3721</v>
      </c>
      <c r="L54" s="3605" t="s">
        <v>3722</v>
      </c>
    </row>
    <row r="55" spans="1:12" s="3604" customFormat="1" ht="12">
      <c r="A55" s="3605" t="s">
        <v>3723</v>
      </c>
      <c r="B55" s="3605" t="s">
        <v>3586</v>
      </c>
      <c r="C55" s="3605" t="s">
        <v>3587</v>
      </c>
      <c r="D55" s="3605" t="s">
        <v>3598</v>
      </c>
      <c r="E55" s="3605" t="s">
        <v>3709</v>
      </c>
      <c r="F55" s="3605" t="s">
        <v>3724</v>
      </c>
      <c r="G55" s="3605" t="s">
        <v>3650</v>
      </c>
      <c r="H55" s="3605" t="s">
        <v>3591</v>
      </c>
      <c r="I55" s="3605" t="s">
        <v>3591</v>
      </c>
      <c r="J55" s="3605" t="s">
        <v>3725</v>
      </c>
      <c r="K55" s="3605" t="s">
        <v>3726</v>
      </c>
      <c r="L55" s="3605" t="s">
        <v>3727</v>
      </c>
    </row>
    <row r="56" spans="1:12" s="3604" customFormat="1" ht="12">
      <c r="A56" s="3605" t="s">
        <v>3728</v>
      </c>
      <c r="B56" s="3605" t="s">
        <v>3586</v>
      </c>
      <c r="C56" s="3605" t="s">
        <v>3587</v>
      </c>
      <c r="D56" s="3605" t="s">
        <v>3591</v>
      </c>
      <c r="E56" s="3605" t="s">
        <v>3709</v>
      </c>
      <c r="F56" s="3605" t="s">
        <v>3729</v>
      </c>
      <c r="G56" s="3605" t="s">
        <v>3600</v>
      </c>
      <c r="H56" s="3605" t="s">
        <v>3730</v>
      </c>
      <c r="I56" s="3605" t="s">
        <v>3731</v>
      </c>
      <c r="J56" s="3605" t="s">
        <v>3732</v>
      </c>
      <c r="K56" s="3605" t="s">
        <v>3733</v>
      </c>
      <c r="L56" s="3605" t="s">
        <v>3734</v>
      </c>
    </row>
    <row r="57" spans="1:12" s="3604" customFormat="1" ht="12" hidden="1">
      <c r="A57" s="3605" t="s">
        <v>3735</v>
      </c>
      <c r="B57" s="3605" t="s">
        <v>3586</v>
      </c>
      <c r="C57" s="3605" t="s">
        <v>3736</v>
      </c>
      <c r="D57" s="3605" t="s">
        <v>3591</v>
      </c>
      <c r="E57" s="3605" t="s">
        <v>3709</v>
      </c>
      <c r="F57" s="3605" t="s">
        <v>3737</v>
      </c>
      <c r="G57" s="3605" t="s">
        <v>3650</v>
      </c>
      <c r="H57" s="3605" t="s">
        <v>3738</v>
      </c>
      <c r="I57" s="3605" t="s">
        <v>3739</v>
      </c>
      <c r="J57" s="3605" t="s">
        <v>3740</v>
      </c>
      <c r="K57" s="3605" t="s">
        <v>3741</v>
      </c>
      <c r="L57" s="3605" t="s">
        <v>3742</v>
      </c>
    </row>
    <row r="58" spans="1:12" s="3604" customFormat="1" ht="12">
      <c r="A58" s="3605" t="s">
        <v>3743</v>
      </c>
      <c r="B58" s="3605" t="s">
        <v>3586</v>
      </c>
      <c r="C58" s="3605" t="s">
        <v>3587</v>
      </c>
      <c r="D58" s="3605" t="s">
        <v>3591</v>
      </c>
      <c r="E58" s="3605" t="s">
        <v>3709</v>
      </c>
      <c r="F58" s="3605" t="s">
        <v>3744</v>
      </c>
      <c r="G58" s="3605" t="s">
        <v>3591</v>
      </c>
      <c r="H58" s="3605" t="s">
        <v>3591</v>
      </c>
      <c r="I58" s="3605" t="s">
        <v>3591</v>
      </c>
      <c r="J58" s="3605" t="s">
        <v>3745</v>
      </c>
      <c r="K58" s="3605" t="s">
        <v>3746</v>
      </c>
      <c r="L58" s="3605" t="s">
        <v>3706</v>
      </c>
    </row>
  </sheetData>
  <phoneticPr fontId="1"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30" customWidth="1"/>
    <col min="2" max="3" width="22.33203125" style="1030" customWidth="1"/>
    <col min="4" max="4" width="23" style="1030" customWidth="1"/>
    <col min="5" max="16384" width="9" style="1030"/>
  </cols>
  <sheetData>
    <row r="1" spans="1:4" ht="17.399999999999999">
      <c r="A1" s="3645" t="s">
        <v>114</v>
      </c>
      <c r="B1" s="3645"/>
      <c r="C1" s="3645"/>
      <c r="D1" s="3645"/>
    </row>
    <row r="2" spans="1:4" ht="17.399999999999999">
      <c r="A2" s="3646" t="s">
        <v>115</v>
      </c>
      <c r="B2" s="3646"/>
      <c r="C2" s="3646"/>
      <c r="D2" s="3646"/>
    </row>
    <row r="3" spans="1:4" ht="17.399999999999999">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7.399999999999999">
      <c r="A6" s="3646" t="s">
        <v>121</v>
      </c>
      <c r="B6" s="3646"/>
      <c r="C6" s="3646"/>
      <c r="D6" s="3646"/>
    </row>
    <row r="7" spans="1:4" ht="17.399999999999999">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7.399999999999999">
      <c r="A10" s="3516" t="s">
        <v>125</v>
      </c>
      <c r="B10" s="3524"/>
      <c r="C10" s="3524"/>
      <c r="D10" s="3524"/>
    </row>
    <row r="11" spans="1:4" ht="30" customHeight="1">
      <c r="A11" s="3647" t="s">
        <v>126</v>
      </c>
      <c r="B11" s="3648"/>
      <c r="C11" s="3648"/>
      <c r="D11" s="3648"/>
    </row>
    <row r="12" spans="1:4" ht="15.6">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spans="1:4" ht="30" customHeight="1">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spans="1:4" ht="15.75" customHeight="1">
      <c r="A14" s="3648" t="str">
        <f>IF(项目基本情况!B8="抵押","4.本次评估估价师所知悉的法定优先受偿款情况说明如下：","——")</f>
        <v>4.本次评估估价师所知悉的法定优先受偿款情况说明如下：</v>
      </c>
      <c r="B14" s="3649"/>
      <c r="C14" s="3649"/>
      <c r="D14" s="3649"/>
    </row>
    <row r="15" spans="1:4" ht="42" customHeight="1">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spans="1:4" ht="30" customHeight="1">
      <c r="A16" s="3650" t="s">
        <v>127</v>
      </c>
      <c r="B16" s="3650"/>
      <c r="C16" s="3650"/>
      <c r="D16" s="3650"/>
    </row>
    <row r="17" spans="1:4" ht="144" customHeight="1">
      <c r="A17" s="3650" t="s">
        <v>128</v>
      </c>
      <c r="B17" s="3650"/>
      <c r="C17" s="3650"/>
      <c r="D17" s="3650"/>
    </row>
    <row r="18" spans="1:4" ht="15.75" customHeight="1">
      <c r="A18" s="3648" t="str">
        <f>IF(项目基本情况!B8="抵押",结果表!K120,"——")</f>
        <v>故，本次评估不存在估价师知悉的法定优先受偿款</v>
      </c>
      <c r="B18" s="3648"/>
      <c r="C18" s="3648"/>
      <c r="D18" s="3648"/>
    </row>
    <row r="19" spans="1:4" ht="46.5" customHeight="1">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spans="1:4" ht="57.75" customHeight="1">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spans="1:4" ht="18.75" customHeight="1">
      <c r="A22" s="3653" t="s">
        <v>129</v>
      </c>
      <c r="B22" s="3653"/>
      <c r="C22" s="3653"/>
      <c r="D22" s="3653"/>
    </row>
    <row r="23" spans="1:4">
      <c r="A23" s="3525"/>
      <c r="B23" s="1836"/>
      <c r="C23" s="1836"/>
      <c r="D23" s="1836"/>
    </row>
    <row r="24" spans="1:4">
      <c r="A24" s="3525"/>
      <c r="B24" s="1836"/>
      <c r="C24" s="1836"/>
      <c r="D24" s="1836"/>
    </row>
    <row r="25" spans="1:4" ht="17.399999999999999">
      <c r="A25" s="3526" t="s">
        <v>130</v>
      </c>
    </row>
    <row r="26" spans="1:4" ht="17.399999999999999">
      <c r="A26" s="3527"/>
    </row>
    <row r="27" spans="1:4" ht="17.399999999999999">
      <c r="A27" s="3527" t="s">
        <v>131</v>
      </c>
    </row>
    <row r="30" spans="1:4" ht="17.399999999999999">
      <c r="D30" s="3526" t="s">
        <v>132</v>
      </c>
    </row>
    <row r="31" spans="1:4" ht="13.5" customHeight="1">
      <c r="C31" s="3651">
        <v>42551</v>
      </c>
      <c r="D31" s="36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512" customWidth="1"/>
    <col min="3" max="10" width="12.44140625" style="3512" customWidth="1"/>
    <col min="11" max="16384" width="9" style="3512"/>
  </cols>
  <sheetData>
    <row r="1" spans="1:10" ht="17.399999999999999">
      <c r="A1" s="3513" t="s">
        <v>133</v>
      </c>
      <c r="B1" s="3514"/>
      <c r="C1" s="3514"/>
      <c r="D1" s="3514"/>
      <c r="E1" s="3514"/>
      <c r="F1" s="3514"/>
      <c r="G1" s="3514"/>
      <c r="H1" s="3514"/>
      <c r="I1" s="3514"/>
      <c r="J1" s="3514"/>
    </row>
    <row r="2" spans="1:10" ht="17.399999999999999">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95" customWidth="1"/>
    <col min="2" max="16384" width="14.44140625" style="3446"/>
  </cols>
  <sheetData>
    <row r="1" spans="1:7" s="3494" customFormat="1" ht="17.399999999999999">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4.4">
      <c r="A15" s="3656" t="s">
        <v>146</v>
      </c>
      <c r="B15" s="3661" t="s">
        <v>147</v>
      </c>
      <c r="C15" s="3655"/>
    </row>
    <row r="16" spans="1:7" ht="14.4">
      <c r="A16" s="3657"/>
      <c r="B16" s="3661" t="s">
        <v>148</v>
      </c>
      <c r="C16" s="3655"/>
    </row>
    <row r="17" spans="1:3" ht="14.4">
      <c r="A17" s="3657"/>
      <c r="B17" s="3660" t="s">
        <v>149</v>
      </c>
      <c r="C17" s="3505" t="s">
        <v>146</v>
      </c>
    </row>
    <row r="18" spans="1:3" ht="14.4">
      <c r="A18" s="3657"/>
      <c r="B18" s="3660"/>
      <c r="C18" s="3505" t="s">
        <v>150</v>
      </c>
    </row>
    <row r="19" spans="1:3" ht="14.4">
      <c r="A19" s="3657"/>
      <c r="B19" s="3660"/>
      <c r="C19" s="3505" t="s">
        <v>151</v>
      </c>
    </row>
    <row r="20" spans="1:3" ht="14.4">
      <c r="A20" s="3658"/>
      <c r="B20" s="3654" t="s">
        <v>152</v>
      </c>
      <c r="C20" s="3655"/>
    </row>
    <row r="21" spans="1:3" ht="14.4">
      <c r="A21" s="3506" t="s">
        <v>153</v>
      </c>
      <c r="B21" s="3507"/>
      <c r="C21" s="3508"/>
    </row>
    <row r="22" spans="1:3" ht="14.4">
      <c r="A22" s="3659" t="s">
        <v>154</v>
      </c>
      <c r="B22" s="3654" t="s">
        <v>155</v>
      </c>
      <c r="C22" s="3655"/>
    </row>
    <row r="23" spans="1:3" ht="14.4">
      <c r="A23" s="3659"/>
      <c r="B23" s="3654" t="s">
        <v>156</v>
      </c>
      <c r="C23" s="3655"/>
    </row>
    <row r="24" spans="1:3" ht="14.4">
      <c r="A24" s="3659"/>
      <c r="B24" s="3654" t="s">
        <v>157</v>
      </c>
      <c r="C24" s="3655"/>
    </row>
    <row r="25" spans="1:3" ht="14.4">
      <c r="A25" s="3659"/>
      <c r="B25" s="3660" t="s">
        <v>158</v>
      </c>
      <c r="C25" s="3505" t="s">
        <v>159</v>
      </c>
    </row>
    <row r="26" spans="1:3" ht="14.4">
      <c r="A26" s="3659"/>
      <c r="B26" s="3660"/>
      <c r="C26" s="3505" t="s">
        <v>160</v>
      </c>
    </row>
    <row r="27" spans="1:3" ht="14.4">
      <c r="A27" s="3659"/>
      <c r="B27" s="3660"/>
      <c r="C27" s="3505" t="s">
        <v>161</v>
      </c>
    </row>
    <row r="28" spans="1:3" ht="14.4">
      <c r="A28" s="3659"/>
      <c r="B28" s="3660"/>
      <c r="C28" s="3505" t="s">
        <v>162</v>
      </c>
    </row>
    <row r="29" spans="1:3" ht="14.4">
      <c r="A29" s="3659"/>
      <c r="B29" s="3660"/>
      <c r="C29" s="3505" t="s">
        <v>163</v>
      </c>
    </row>
    <row r="30" spans="1:3" ht="14.4">
      <c r="A30" s="3659"/>
      <c r="B30" s="3660"/>
      <c r="C30" s="3505" t="s">
        <v>164</v>
      </c>
    </row>
    <row r="31" spans="1:3" ht="14.4">
      <c r="A31" s="3659"/>
      <c r="B31" s="3660"/>
      <c r="C31" s="3505" t="s">
        <v>165</v>
      </c>
    </row>
    <row r="32" spans="1:3" ht="14.4">
      <c r="A32" s="3659"/>
      <c r="B32" s="3660"/>
      <c r="C32" s="3505" t="s">
        <v>166</v>
      </c>
    </row>
    <row r="33" spans="1:3" ht="14.4">
      <c r="A33" s="3659"/>
      <c r="B33" s="3660"/>
      <c r="C33" s="3505" t="s">
        <v>167</v>
      </c>
    </row>
    <row r="34" spans="1:3">
      <c r="A34" s="3509" t="s">
        <v>168</v>
      </c>
    </row>
    <row r="37" spans="1:3">
      <c r="A37" s="3509" t="s">
        <v>169</v>
      </c>
    </row>
    <row r="38" spans="1:3" ht="14.4">
      <c r="A38" s="3510" t="s">
        <v>170</v>
      </c>
    </row>
    <row r="39" spans="1:3" ht="14.4">
      <c r="A39" s="3510" t="s">
        <v>171</v>
      </c>
    </row>
    <row r="40" spans="1:3" ht="14.4">
      <c r="A40" s="3510" t="s">
        <v>172</v>
      </c>
    </row>
    <row r="41" spans="1:3" ht="14.4">
      <c r="A41" s="3511" t="s">
        <v>173</v>
      </c>
    </row>
    <row r="42" spans="1:3" ht="14.4">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65" customWidth="1"/>
    <col min="2" max="2" width="38.6640625" style="3465" customWidth="1"/>
    <col min="3" max="3" width="26" style="3465" customWidth="1"/>
    <col min="4" max="4" width="35" style="3465" hidden="1" customWidth="1"/>
    <col min="5" max="5" width="30.109375" style="3465" customWidth="1"/>
    <col min="6" max="6" width="35.44140625" style="3465" customWidth="1"/>
    <col min="7" max="7" width="31" style="3465" customWidth="1"/>
    <col min="8" max="8" width="37.44140625" style="3465" hidden="1" customWidth="1"/>
    <col min="9" max="16384" width="22.6640625" style="3465"/>
  </cols>
  <sheetData>
    <row r="1" spans="1:8" ht="24" customHeight="1">
      <c r="A1" s="3466"/>
      <c r="B1" s="3466"/>
      <c r="C1" s="3466"/>
      <c r="D1" s="3466"/>
      <c r="E1" s="3466"/>
      <c r="F1" s="3466"/>
      <c r="G1" s="3466"/>
      <c r="H1" s="3466"/>
    </row>
    <row r="2" spans="1:8" ht="24" customHeight="1">
      <c r="A2" s="3467" t="s">
        <v>175</v>
      </c>
      <c r="B2" s="3468">
        <f ca="1">TODAY()</f>
        <v>45041</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62" t="s">
        <v>197</v>
      </c>
      <c r="B17" s="3662"/>
      <c r="C17" s="3662"/>
      <c r="D17" s="3662"/>
      <c r="E17" s="3662"/>
      <c r="F17" s="3662"/>
      <c r="G17" s="3662"/>
      <c r="H17" s="3662"/>
    </row>
    <row r="18" spans="1:8" ht="24" customHeight="1">
      <c r="A18" s="3663" t="s">
        <v>198</v>
      </c>
      <c r="B18" s="3663"/>
      <c r="C18" s="3663"/>
      <c r="D18" s="3472"/>
      <c r="E18" s="3664" t="s">
        <v>199</v>
      </c>
      <c r="F18" s="3663"/>
      <c r="G18" s="3663"/>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Sheet1</vt:lpstr>
      <vt:lpstr>2020大宗案例</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2023-04-25T08:09:10Z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