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5" i="9" l="1"/>
  <c r="M24" i="9"/>
  <c r="E92" i="37" l="1"/>
  <c r="F92" i="37" s="1"/>
  <c r="G92" i="37" s="1"/>
  <c r="D92" i="37"/>
  <c r="I33" i="37" l="1"/>
  <c r="N18" i="1"/>
  <c r="B29" i="1" l="1"/>
  <c r="N6" i="1" l="1"/>
  <c r="Y6" i="1" s="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G77" i="37"/>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0" i="37"/>
  <c r="AC15" i="37"/>
  <c r="J17" i="37"/>
  <c r="W17" i="37" s="1"/>
  <c r="F17" i="37"/>
  <c r="AA17"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M24" i="67"/>
  <c r="B9" i="76"/>
  <c r="M29" i="15"/>
  <c r="D4" i="73"/>
  <c r="D7" i="73"/>
  <c r="F40" i="67"/>
  <c r="E13" i="76"/>
  <c r="M26" i="15"/>
  <c r="M24" i="15"/>
  <c r="F38" i="67"/>
  <c r="F42" i="67"/>
  <c r="F7" i="15"/>
  <c r="F7" i="73"/>
  <c r="E7" i="76"/>
  <c r="L48" i="15"/>
  <c r="L47" i="15"/>
  <c r="J15" i="67"/>
  <c r="F13" i="67"/>
  <c r="F20" i="31"/>
  <c r="F3" i="73"/>
  <c r="F7" i="67"/>
  <c r="F8" i="15"/>
  <c r="M28" i="15"/>
  <c r="F8" i="67"/>
  <c r="M28" i="67"/>
  <c r="L47" i="67"/>
  <c r="M23" i="67"/>
  <c r="C76" i="67"/>
  <c r="E2" i="68"/>
  <c r="M29" i="67"/>
  <c r="F4" i="73"/>
  <c r="E10" i="76"/>
  <c r="M8" i="67"/>
  <c r="B10" i="76"/>
  <c r="F9" i="67"/>
  <c r="F16" i="15"/>
  <c r="F16" i="67"/>
  <c r="E8" i="76"/>
  <c r="M26" i="67"/>
  <c r="M8" i="15"/>
  <c r="F26" i="67"/>
  <c r="F5" i="73"/>
  <c r="F36" i="15"/>
  <c r="F13" i="15"/>
  <c r="D34" i="9"/>
  <c r="D35" i="9"/>
  <c r="E9" i="76"/>
  <c r="M6" i="67"/>
  <c r="F9" i="15"/>
  <c r="M9" i="15"/>
  <c r="D5" i="73"/>
  <c r="F26" i="15"/>
  <c r="F6" i="73"/>
  <c r="B11" i="76"/>
  <c r="D3" i="73"/>
  <c r="M22" i="15"/>
  <c r="B13" i="76"/>
  <c r="C76" i="15"/>
  <c r="J15" i="15"/>
  <c r="F42" i="15"/>
  <c r="F37" i="67"/>
  <c r="M9" i="67"/>
  <c r="B8" i="76"/>
  <c r="L48" i="67"/>
  <c r="E2" i="69"/>
  <c r="M22" i="67"/>
  <c r="B12" i="76"/>
  <c r="M6" i="15"/>
  <c r="F6" i="67"/>
  <c r="F38" i="15"/>
  <c r="F6" i="15"/>
  <c r="F36" i="67"/>
  <c r="B7" i="76"/>
  <c r="F43" i="67"/>
  <c r="E12" i="76"/>
  <c r="F40" i="15"/>
  <c r="F37" i="15"/>
  <c r="AO13" i="1"/>
  <c r="F43" i="15"/>
  <c r="M23" i="15"/>
  <c r="D6" i="73"/>
  <c r="F79" i="37" l="1"/>
  <c r="G79" i="37" s="1"/>
  <c r="F23" i="37"/>
  <c r="S23" i="37" s="1"/>
  <c r="J23" i="37"/>
  <c r="W23" i="37" s="1"/>
  <c r="H23" i="37"/>
  <c r="F75" i="37"/>
  <c r="G75" i="37" s="1"/>
  <c r="J19" i="37"/>
  <c r="W19" i="37" s="1"/>
  <c r="F19" i="37"/>
  <c r="H19" i="37"/>
  <c r="AC17" i="37"/>
  <c r="AB17" i="37"/>
  <c r="AC23" i="37"/>
  <c r="AA23" i="37"/>
  <c r="AC19" i="37"/>
  <c r="S15" i="37"/>
  <c r="S37" i="37"/>
  <c r="J37" i="37"/>
  <c r="S36" i="37"/>
  <c r="H33" i="37"/>
  <c r="F99" i="37"/>
  <c r="G99" i="37" s="1"/>
  <c r="H99" i="37" s="1"/>
  <c r="I99" i="37" s="1"/>
  <c r="J99" i="37" s="1"/>
  <c r="K99" i="37" s="1"/>
  <c r="L99" i="37" s="1"/>
  <c r="M99" i="37" s="1"/>
  <c r="J33" i="37"/>
  <c r="AC33" i="37" s="1"/>
  <c r="F33" i="37"/>
  <c r="AA33" i="37" s="1"/>
  <c r="S32" i="37"/>
  <c r="W30" i="37"/>
  <c r="U36" i="37"/>
  <c r="W36" i="37"/>
  <c r="U32" i="37"/>
  <c r="AA29" i="37"/>
  <c r="AC29" i="37"/>
  <c r="C5" i="68"/>
  <c r="C28" i="67"/>
  <c r="G28" i="6"/>
  <c r="E28" i="6" s="1"/>
  <c r="K14" i="1" s="1"/>
  <c r="A15" i="62"/>
  <c r="B61" i="72" s="1"/>
  <c r="H112" i="9"/>
  <c r="C8" i="74" s="1"/>
  <c r="A118" i="9"/>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67"/>
  <c r="C16" i="15"/>
  <c r="G1" i="73"/>
  <c r="G26" i="43" l="1"/>
  <c r="AB23" i="37"/>
  <c r="U23" i="37"/>
  <c r="AB19" i="37"/>
  <c r="U19" i="37"/>
  <c r="AA19" i="37"/>
  <c r="S19" i="37"/>
  <c r="AC37" i="37"/>
  <c r="W37" i="37"/>
  <c r="AB33" i="37"/>
  <c r="U33" i="37"/>
  <c r="W33" i="37"/>
  <c r="N94" i="46"/>
  <c r="E26" i="43"/>
  <c r="J26" i="43"/>
  <c r="K16" i="1"/>
  <c r="E59" i="40"/>
  <c r="D20" i="53"/>
  <c r="B40"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4" i="6" l="1"/>
  <c r="H22" i="6"/>
  <c r="R22" i="6" s="1"/>
  <c r="R9"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Q57" i="67" l="1"/>
  <c r="Q66" i="67"/>
  <c r="Q75" i="67" s="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8" i="1"/>
  <c r="AO12" i="1"/>
  <c r="C19" i="9"/>
  <c r="AO9"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6" i="53" l="1"/>
  <c r="H109" i="9"/>
  <c r="D17" i="53" l="1"/>
  <c r="B36" i="72" s="1"/>
  <c r="B34" i="72"/>
  <c r="D124" i="9"/>
  <c r="H110" i="9"/>
  <c r="C7" i="74" l="1"/>
  <c r="D18" i="53"/>
  <c r="B35" i="72" s="1"/>
  <c r="D10" i="52"/>
  <c r="D125" i="9"/>
  <c r="D11" i="52" s="1"/>
  <c r="F118" i="9"/>
  <c r="F4" i="52" s="1"/>
  <c r="B51" i="72" s="1"/>
  <c r="D118" i="9"/>
  <c r="D4" i="52" s="1"/>
  <c r="B47" i="72" s="1"/>
  <c r="H118" i="9"/>
  <c r="H4" i="52" l="1"/>
  <c r="D14" i="74"/>
  <c r="G14" i="74" s="1"/>
  <c r="B6" i="74" s="1"/>
  <c r="D6" i="74" s="1"/>
  <c r="H101" i="9"/>
  <c r="M48" i="9" s="1"/>
  <c r="D119" i="9"/>
  <c r="D5" i="52" s="1"/>
  <c r="B49" i="72" s="1"/>
  <c r="I118" i="9"/>
  <c r="F119" i="9"/>
  <c r="F5" i="52" s="1"/>
  <c r="B53" i="72" s="1"/>
  <c r="G118" i="9"/>
  <c r="G4" i="52" s="1"/>
  <c r="B52" i="72" s="1"/>
  <c r="H119" i="9"/>
  <c r="H5" i="52" s="1"/>
  <c r="C104" i="9"/>
  <c r="H107" i="9" l="1"/>
  <c r="D13" i="53" s="1"/>
  <c r="D5" i="53"/>
  <c r="B20" i="72" s="1"/>
  <c r="D45" i="9"/>
  <c r="D53" i="9" s="1"/>
  <c r="F14" i="74"/>
  <c r="E14" i="74"/>
  <c r="B5" i="74"/>
  <c r="D5" i="74" s="1"/>
  <c r="C105" i="9"/>
  <c r="E118" i="9"/>
  <c r="E4" i="52" s="1"/>
  <c r="B48" i="72" s="1"/>
  <c r="I4" i="52"/>
  <c r="H102" i="9"/>
  <c r="D122" i="9" l="1"/>
  <c r="D123" i="9" s="1"/>
  <c r="D9" i="52" s="1"/>
  <c r="D52" i="9"/>
  <c r="C78" i="9"/>
  <c r="C73" i="9" s="1"/>
  <c r="M49" i="9"/>
  <c r="L64" i="9" s="1"/>
  <c r="M64" i="9" s="1"/>
  <c r="C72" i="9"/>
  <c r="C64" i="9"/>
  <c r="C63" i="9" s="1"/>
  <c r="C67" i="9" s="1"/>
  <c r="D59" i="9" s="1"/>
  <c r="M55" i="9" s="1"/>
  <c r="C85" i="9"/>
  <c r="D55" i="9"/>
  <c r="M53" i="9" s="1"/>
  <c r="C93" i="9"/>
  <c r="C86" i="9" s="1"/>
  <c r="C95" i="9" s="1"/>
  <c r="C96" i="9" s="1"/>
  <c r="D6" i="53"/>
  <c r="B22" i="72" s="1"/>
  <c r="C5" i="74"/>
  <c r="D7" i="53"/>
  <c r="B21" i="72" s="1"/>
  <c r="D8" i="52"/>
  <c r="B30" i="72"/>
  <c r="D14" i="53"/>
  <c r="B32" i="72" s="1"/>
  <c r="H108" i="9"/>
  <c r="C79" i="9" l="1"/>
  <c r="C80" i="9" s="1"/>
  <c r="E80" i="9" s="1"/>
  <c r="E81" i="9" s="1"/>
  <c r="C68" i="9"/>
  <c r="D54" i="9" s="1"/>
  <c r="L65" i="9"/>
  <c r="M65" i="9" s="1"/>
  <c r="L68" i="9"/>
  <c r="M68" i="9" s="1"/>
  <c r="L66" i="9"/>
  <c r="M66" i="9" s="1"/>
  <c r="L63" i="9"/>
  <c r="M63" i="9" s="1"/>
  <c r="L67" i="9"/>
  <c r="M67" i="9" s="1"/>
  <c r="E96" i="9"/>
  <c r="E97" i="9" s="1"/>
  <c r="C97" i="9"/>
  <c r="D58" i="9" s="1"/>
  <c r="D56" i="9" s="1"/>
  <c r="M54" i="9" s="1"/>
  <c r="N57" i="9" s="1"/>
  <c r="N58" i="9" s="1"/>
  <c r="C6" i="74"/>
  <c r="D15" i="53"/>
  <c r="B31" i="72" s="1"/>
  <c r="C81" i="9" l="1"/>
  <c r="M69" i="9"/>
  <c r="N69" i="9" s="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<sst xmlns="http://schemas.openxmlformats.org/spreadsheetml/2006/main" count="7873" uniqueCount="3432">
  <si>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</si>
  <si>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</si>
  <si>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</si>
  <si>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</si>
  <si>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</si>
  <si>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</si>
  <si>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</si>
  <si>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</si>
  <si>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</si>
  <si>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</si>
  <si>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</si>
  <si>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</si>
  <si>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</si>
  <si>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</si>
  <si>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</si>
  <si>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</si>
  <si>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</si>
  <si>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</si>
  <si>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</si>
  <si>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</si>
  <si>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</si>
  <si>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</si>
  <si>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</si>
  <si>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</si>
  <si>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</si>
  <si>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</si>
  <si>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</si>
  <si>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</si>
  <si>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</si>
  <si>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</si>
  <si>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</si>
  <si>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</si>
  <si>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</si>
  <si>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</si>
  <si>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</si>
  <si>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</si>
  <si>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</si>
  <si>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</si>
  <si>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</si>
  <si>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</si>
  <si>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</si>
  <si>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</si>
  <si>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</si>
  <si>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</si>
  <si>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</si>
  <si>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</si>
  <si>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</si>
  <si>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</si>
  <si>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</si>
  <si>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</si>
  <si>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</si>
  <si>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</si>
  <si>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</si>
  <si>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</si>
  <si>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</si>
  <si>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</si>
  <si>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</si>
  <si>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</si>
  <si>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</si>
  <si>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</si>
  <si>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</si>
  <si>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</si>
  <si>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</si>
  <si>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</si>
  <si>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</si>
  <si>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</si>
  <si>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</si>
  <si>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</si>
  <si>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</si>
  <si>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</si>
  <si>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</si>
  <si>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</si>
  <si>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</si>
  <si>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</si>
  <si>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</si>
  <si>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</si>
  <si>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</si>
  <si>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</si>
  <si>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</si>
  <si>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</si>
  <si>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</si>
  <si>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</si>
  <si>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</si>
  <si>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</si>
  <si>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</si>
  <si>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</si>
  <si>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</si>
  <si>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</si>
  <si>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</si>
  <si>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</si>
  <si>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</si>
  <si>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</si>
  <si>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</si>
  <si>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</si>
  <si>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</si>
  <si>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</si>
  <si>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</si>
  <si>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</si>
  <si>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</si>
  <si>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</si>
  <si>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</si>
  <si>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</si>
  <si>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</si>
  <si>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</si>
  <si>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</si>
  <si>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</si>
  <si>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</si>
  <si>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</si>
  <si>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</si>
  <si>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</si>
  <si>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</si>
  <si>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</si>
  <si>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</si>
  <si>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</si>
  <si>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</si>
  <si>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</si>
  <si>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</si>
  <si>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</si>
  <si>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</si>
  <si>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</si>
  <si>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</si>
  <si>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</si>
  <si>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</si>
  <si>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</si>
  <si>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</si>
  <si>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</si>
  <si>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</si>
  <si>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</si>
  <si>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</si>
  <si>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</si>
  <si>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</si>
  <si>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</si>
  <si>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</si>
  <si>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</si>
  <si>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</si>
  <si>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</si>
  <si>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</si>
  <si>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</si>
  <si>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</si>
  <si>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</si>
  <si>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</si>
  <si>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</si>
  <si>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</si>
  <si>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</si>
  <si>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</si>
  <si>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</si>
  <si>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</si>
  <si>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</si>
  <si>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</si>
  <si>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</si>
  <si>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</si>
  <si>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</si>
  <si>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</si>
  <si>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</si>
  <si>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</si>
  <si>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</si>
  <si>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</si>
  <si>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</si>
  <si>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</si>
  <si>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</si>
  <si>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</si>
  <si>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</si>
  <si>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</si>
  <si>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</si>
  <si>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</si>
  <si>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</si>
  <si>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</si>
  <si>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</si>
  <si>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</si>
  <si>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</si>
  <si>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</si>
  <si>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</si>
  <si>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</si>
  <si>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</si>
  <si>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</si>
  <si>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</si>
  <si>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</si>
  <si>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</si>
  <si>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</si>
  <si>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</si>
  <si>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</si>
  <si>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</si>
  <si>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</si>
  <si>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</si>
  <si>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</si>
  <si>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</si>
  <si>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</si>
  <si>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</si>
  <si>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</si>
  <si>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</si>
  <si>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</si>
  <si>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</si>
  <si>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</si>
  <si>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</si>
  <si>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</si>
  <si>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</si>
  <si>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</si>
  <si>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</si>
  <si>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</si>
  <si>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</si>
  <si>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</si>
  <si>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</si>
  <si>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</si>
  <si>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</si>
  <si>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</si>
  <si>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</si>
  <si>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</si>
  <si>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</si>
  <si>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</si>
  <si>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</si>
  <si>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</si>
  <si>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</si>
  <si>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</si>
  <si>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</si>
  <si>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</si>
  <si>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</si>
  <si>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</si>
  <si>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</si>
  <si>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</si>
  <si>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</si>
  <si>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</si>
  <si>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</si>
  <si>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</si>
  <si>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</si>
  <si>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</si>
  <si>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</si>
  <si>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</si>
  <si>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</si>
  <si>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</si>
  <si>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</si>
  <si>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</si>
  <si>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</si>
  <si>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</si>
  <si>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</si>
  <si>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</si>
  <si>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</si>
  <si>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</si>
  <si>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</si>
  <si>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</si>
  <si>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</si>
  <si>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</si>
  <si>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</si>
  <si>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</si>
  <si>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</si>
  <si>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</si>
  <si>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</si>
  <si>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</si>
  <si>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</si>
  <si>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</si>
  <si>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</si>
  <si>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</si>
  <si>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</si>
  <si>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</si>
  <si>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</si>
  <si>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</si>
  <si>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</si>
  <si>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</si>
  <si>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</si>
  <si>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</si>
  <si>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</si>
  <si>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</si>
  <si>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</si>
  <si>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</si>
  <si>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</si>
  <si>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</si>
  <si>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</si>
  <si>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</si>
  <si>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</si>
  <si>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</si>
  <si>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</si>
  <si>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</si>
  <si>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</si>
  <si>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</si>
  <si>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</si>
  <si>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</si>
  <si>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</si>
  <si>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</si>
  <si>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</si>
  <si>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</si>
  <si>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</si>
  <si>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</si>
  <si>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</si>
  <si>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</si>
  <si>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</si>
  <si>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</si>
  <si>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</si>
  <si>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</si>
  <si>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</si>
  <si>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</si>
  <si>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</si>
  <si>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</si>
  <si>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</si>
  <si>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</si>
  <si>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</si>
  <si>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</si>
  <si>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</si>
  <si>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</si>
  <si>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</si>
  <si>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</si>
  <si>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</si>
  <si>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</si>
  <si>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</si>
  <si>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</si>
  <si>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</si>
  <si>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</si>
  <si>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</si>
  <si>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</si>
  <si>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</si>
  <si>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</si>
  <si>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</si>
  <si>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</si>
  <si>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</si>
  <si>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</si>
  <si>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</si>
  <si>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</si>
  <si>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</si>
  <si>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</si>
  <si>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</si>
  <si>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</si>
  <si>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</si>
  <si>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</si>
  <si>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</si>
  <si>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</si>
  <si>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</si>
  <si>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</si>
  <si>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</si>
  <si>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</si>
  <si>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</si>
  <si>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</si>
  <si>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</si>
  <si>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</si>
  <si>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</si>
  <si>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</si>
  <si>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</si>
  <si>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</si>
  <si>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</si>
  <si>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</si>
  <si>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</si>
  <si>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</si>
  <si>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</si>
  <si>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</si>
  <si>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</si>
  <si>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</si>
  <si>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</si>
  <si>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</si>
  <si>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</si>
  <si>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</si>
  <si>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</si>
  <si>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</si>
  <si>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</si>
  <si>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</si>
  <si>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</si>
  <si>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</si>
  <si>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</si>
  <si>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</si>
  <si>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</si>
  <si>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</si>
  <si>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</si>
  <si>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</si>
  <si>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</si>
  <si>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</si>
  <si>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</si>
  <si>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</si>
  <si>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</si>
  <si>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</si>
  <si>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</si>
  <si>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</si>
  <si>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</si>
  <si>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</si>
  <si>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</si>
  <si>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</si>
  <si>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</si>
  <si>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</si>
  <si>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</si>
  <si>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</si>
  <si>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</si>
  <si>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</si>
  <si>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</si>
  <si>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</si>
  <si>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</si>
  <si>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</si>
  <si>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</si>
  <si>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</si>
  <si>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</si>
  <si>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</si>
  <si>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</si>
  <si>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</si>
  <si>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</si>
  <si>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</si>
  <si>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</si>
  <si>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</si>
  <si>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</si>
  <si>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</si>
  <si>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</si>
  <si>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</si>
  <si>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</si>
  <si>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</si>
  <si>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</si>
  <si>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</si>
  <si>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</si>
  <si>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</si>
  <si>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</si>
  <si>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</si>
  <si>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</si>
  <si>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</si>
  <si>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</si>
  <si>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</si>
  <si>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</si>
  <si>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</si>
  <si>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</si>
  <si>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</si>
  <si>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</si>
  <si>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</si>
  <si>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</si>
  <si>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</si>
  <si>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</si>
  <si>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</si>
  <si>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</si>
  <si>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</si>
  <si>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</si>
  <si>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</si>
  <si>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</si>
  <si>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</si>
  <si>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</si>
  <si>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</si>
  <si>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</si>
  <si>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</si>
  <si>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</si>
  <si>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</si>
  <si>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</si>
  <si>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</si>
  <si>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</si>
  <si>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</si>
  <si>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</si>
  <si>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</si>
  <si>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</si>
  <si>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</si>
  <si>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</si>
  <si>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</si>
  <si>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</si>
  <si>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</si>
  <si>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</si>
  <si>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</si>
  <si>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</si>
  <si>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</si>
  <si>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</si>
  <si>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</si>
  <si>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</si>
  <si>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</si>
  <si>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</si>
  <si>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</si>
  <si>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</si>
  <si>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</si>
  <si>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</si>
  <si>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</si>
  <si>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</si>
  <si>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</si>
  <si>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</si>
  <si>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</si>
  <si>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</si>
  <si>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</si>
  <si>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</si>
  <si>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</si>
  <si>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</si>
  <si>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</si>
  <si>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</si>
  <si>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</si>
  <si>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</si>
  <si>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</si>
  <si>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</si>
  <si>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</si>
  <si>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</si>
  <si>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</si>
  <si>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</si>
  <si>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</si>
  <si>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</si>
  <si>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</si>
  <si>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</si>
  <si>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</si>
  <si>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</si>
  <si>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</si>
  <si>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</si>
  <si>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</si>
  <si>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</si>
  <si>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</si>
  <si>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</si>
  <si>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</si>
  <si>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</si>
  <si>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</si>
  <si>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</si>
  <si>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</si>
  <si>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</si>
  <si>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</si>
  <si>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</si>
  <si>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</si>
  <si>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</si>
  <si>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</si>
  <si>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</si>
  <si>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</si>
  <si>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</si>
  <si>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</si>
  <si>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</si>
  <si>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</si>
  <si>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</si>
  <si>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</si>
  <si>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</si>
  <si>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</si>
  <si>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</si>
  <si>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</si>
  <si>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</si>
  <si>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</si>
  <si>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</si>
  <si>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</si>
  <si>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</si>
  <si>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</si>
  <si>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</si>
  <si>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</si>
  <si>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</si>
  <si>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</si>
  <si>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</si>
  <si>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</si>
  <si>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</si>
  <si>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</si>
  <si>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</si>
  <si>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</si>
  <si>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</si>
  <si>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</si>
  <si>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</si>
  <si>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</si>
  <si>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</si>
  <si>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</si>
  <si>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</si>
  <si>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</si>
  <si>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</si>
  <si>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</si>
  <si>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</si>
  <si>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</si>
  <si>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</si>
  <si>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</si>
  <si>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</si>
  <si>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</si>
  <si>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</si>
  <si>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</si>
  <si>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</si>
  <si>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</si>
  <si>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</si>
  <si>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</si>
  <si>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</si>
  <si>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</si>
  <si>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</si>
  <si>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</si>
  <si>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</si>
  <si>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</si>
  <si>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</si>
  <si>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</si>
  <si>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</si>
  <si>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</si>
  <si>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</si>
  <si>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</si>
  <si>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</si>
  <si>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</si>
  <si>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</si>
  <si>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</si>
  <si>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</si>
  <si>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</si>
  <si>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</si>
  <si>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</si>
  <si>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</si>
  <si>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</si>
  <si>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</si>
  <si>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</si>
  <si>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</si>
  <si>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</si>
  <si>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</si>
  <si>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</si>
  <si>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</si>
  <si>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</si>
  <si>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</si>
  <si>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</si>
  <si>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</si>
  <si>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</si>
  <si>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</si>
  <si>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</si>
  <si>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</si>
  <si>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</si>
  <si>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</si>
  <si>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</si>
  <si>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</si>
  <si>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</si>
  <si>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</si>
  <si>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</si>
  <si>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</si>
  <si>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</si>
  <si>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</si>
  <si>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</si>
  <si>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</si>
  <si>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</si>
  <si>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</si>
  <si>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</si>
  <si>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</si>
  <si>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</si>
  <si>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</si>
  <si>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</si>
  <si>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</si>
  <si>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</si>
  <si>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</si>
  <si>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</si>
  <si>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</si>
  <si>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</si>
  <si>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</si>
  <si>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</si>
  <si>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</si>
  <si>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</si>
  <si>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</si>
  <si>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</si>
  <si>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</si>
  <si>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</si>
  <si>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</si>
  <si>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</si>
  <si>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</si>
  <si>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</si>
  <si>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</si>
  <si>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</si>
  <si>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</si>
  <si>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</si>
  <si>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</si>
  <si>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</si>
  <si>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</si>
  <si>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</si>
  <si>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</si>
  <si>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</si>
  <si>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</si>
  <si>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</si>
  <si>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</si>
  <si>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</si>
  <si>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</si>
  <si>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</si>
  <si>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</si>
  <si>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</si>
  <si>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</si>
  <si>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</si>
  <si>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</si>
  <si>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</si>
  <si>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</si>
  <si>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</si>
  <si>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</si>
  <si>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</si>
  <si>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</si>
  <si>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</si>
  <si>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</si>
  <si>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</si>
  <si>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</si>
  <si>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</si>
  <si>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</si>
  <si>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</si>
  <si>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</si>
  <si>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</si>
  <si>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</si>
  <si>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</si>
  <si>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</si>
  <si>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</si>
  <si>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</si>
  <si>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</si>
  <si>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</si>
  <si>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</si>
  <si>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</si>
  <si>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</si>
  <si>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</si>
  <si>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</si>
  <si>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</si>
  <si>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</si>
  <si>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</si>
  <si>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</si>
  <si>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</si>
  <si>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</si>
  <si>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</si>
  <si>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</si>
  <si>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</si>
  <si>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</si>
  <si>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</si>
  <si>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</si>
  <si>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</si>
  <si>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</si>
  <si>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</si>
  <si>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</si>
  <si>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</si>
  <si>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</si>
  <si>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</si>
  <si>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</si>
  <si>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</si>
  <si>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</si>
  <si>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</si>
  <si>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</si>
  <si>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</si>
  <si>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</si>
  <si>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</si>
  <si>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</si>
  <si>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</si>
  <si>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</si>
  <si>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</si>
  <si>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</si>
  <si>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</si>
  <si>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</si>
  <si>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</si>
  <si>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</si>
  <si>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</si>
  <si>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</si>
  <si>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</si>
  <si>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</si>
  <si>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</si>
  <si>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</si>
  <si>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</si>
  <si>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</si>
  <si>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</si>
  <si>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</si>
  <si>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</si>
  <si>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</si>
  <si>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</si>
  <si>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</si>
  <si>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</si>
  <si>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</si>
  <si>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</si>
  <si>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</si>
  <si>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</si>
  <si>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</si>
  <si>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</si>
  <si>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</si>
  <si>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</si>
  <si>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</si>
  <si>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</si>
  <si>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</si>
  <si>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</si>
  <si>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</si>
  <si>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</si>
  <si>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</si>
  <si>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</si>
  <si>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</si>
  <si>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</si>
  <si>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</si>
  <si>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</si>
  <si>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</si>
  <si>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</si>
  <si>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</si>
  <si>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</si>
  <si>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</si>
  <si>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</si>
  <si>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</si>
  <si>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</si>
  <si>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</si>
  <si>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</si>
  <si>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</si>
  <si>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</si>
  <si>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</si>
  <si>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</si>
  <si>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</si>
  <si>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</si>
  <si>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</si>
  <si>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</si>
  <si>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</si>
  <si>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</si>
  <si>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</si>
  <si>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</si>
  <si>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</si>
  <si>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</si>
  <si>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</si>
  <si>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</si>
  <si>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</si>
  <si>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</si>
  <si>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</si>
  <si>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</si>
  <si>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</si>
  <si>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</si>
  <si>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</si>
  <si>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</si>
  <si>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</si>
  <si>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</si>
  <si>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</si>
  <si>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</si>
  <si>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</si>
  <si>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</si>
  <si>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</si>
  <si>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</si>
  <si>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</si>
  <si>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</si>
  <si>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</si>
  <si>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</si>
  <si>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</si>
  <si>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</si>
  <si>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</si>
  <si>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</si>
  <si>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</si>
  <si>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</si>
  <si>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</si>
  <si>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</si>
  <si>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</si>
  <si>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</si>
  <si>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</si>
  <si>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</si>
  <si>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</si>
  <si>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</si>
  <si>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</si>
  <si>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</si>
  <si>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</si>
  <si>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</si>
  <si>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</si>
  <si>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</si>
  <si>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</si>
  <si>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</si>
  <si>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</si>
  <si>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</si>
  <si>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</si>
  <si>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</si>
  <si>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</si>
  <si>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</si>
  <si>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</si>
  <si>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</si>
  <si>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</si>
  <si>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</si>
  <si>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</si>
  <si>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</si>
  <si>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</si>
  <si>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</si>
  <si>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</si>
  <si>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</si>
  <si>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</si>
  <si>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</si>
  <si>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</si>
  <si>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</si>
  <si>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</si>
  <si>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</si>
  <si>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</si>
  <si>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</si>
  <si>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</si>
  <si>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</si>
  <si>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</si>
  <si>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</si>
  <si>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</si>
  <si>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</si>
  <si>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</si>
  <si>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</si>
  <si>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</si>
  <si>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</si>
  <si>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</si>
  <si>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</si>
  <si>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</si>
  <si>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</si>
  <si>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</si>
  <si>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</si>
  <si>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</si>
  <si>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</si>
  <si>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</si>
  <si>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</si>
  <si>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</si>
  <si>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</si>
  <si>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</si>
  <si>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</si>
  <si>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</si>
  <si>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</si>
  <si>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</si>
  <si>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</si>
  <si>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</si>
  <si>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</si>
  <si>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</si>
  <si>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</si>
  <si>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</si>
  <si>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</si>
  <si>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</si>
  <si>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</si>
  <si>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</si>
  <si>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</si>
  <si>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</si>
  <si>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</si>
  <si>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</si>
  <si>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</si>
  <si>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</si>
  <si>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</si>
  <si>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</si>
  <si>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</si>
  <si>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</si>
  <si>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</si>
  <si>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</si>
  <si>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</si>
  <si>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</si>
  <si>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</si>
  <si>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</si>
  <si>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</si>
  <si>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</si>
  <si>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</si>
  <si>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</si>
  <si>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</si>
  <si>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</si>
  <si>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</si>
  <si>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</si>
  <si>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</si>
  <si>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</si>
  <si>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</si>
  <si>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</si>
  <si>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</si>
  <si>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</si>
  <si>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</si>
  <si>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</si>
  <si>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</si>
  <si>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</si>
  <si>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</si>
  <si>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</si>
  <si>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</si>
  <si>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</si>
  <si>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</si>
  <si>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</si>
  <si>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</si>
  <si>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</si>
  <si>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</si>
  <si>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</si>
  <si>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</si>
  <si>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</si>
  <si>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</si>
  <si>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</si>
  <si>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</si>
  <si>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</si>
  <si>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</si>
  <si>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</si>
  <si>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</si>
  <si>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</si>
  <si>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</si>
  <si>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</si>
  <si>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</si>
  <si>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</si>
  <si>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</si>
  <si>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</si>
  <si>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</si>
  <si>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</si>
  <si>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</si>
  <si>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</si>
  <si>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</si>
  <si>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</si>
  <si>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</si>
  <si>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</si>
  <si>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</si>
  <si>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</si>
  <si>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</si>
  <si>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</si>
  <si>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</si>
  <si>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</si>
  <si>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</si>
  <si>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</si>
  <si>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</si>
  <si>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</si>
  <si>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</si>
  <si>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</si>
  <si>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</si>
  <si>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</si>
  <si>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</si>
  <si>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</si>
  <si>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</si>
  <si>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</si>
  <si>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</si>
  <si>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</si>
  <si>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</si>
  <si>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</si>
  <si>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</si>
  <si>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</si>
  <si>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</si>
  <si>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</si>
  <si>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</si>
  <si>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</si>
  <si>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</si>
  <si>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</si>
  <si>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</si>
  <si>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</si>
  <si>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</si>
  <si>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</si>
  <si>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</si>
  <si>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</si>
  <si>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</si>
  <si>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</si>
  <si>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</si>
  <si>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</si>
  <si>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</si>
  <si>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</si>
  <si>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</si>
  <si>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</si>
  <si>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</si>
  <si>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</si>
  <si>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</si>
  <si>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</si>
  <si>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</si>
  <si>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</si>
  <si>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</si>
  <si>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</si>
  <si>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</si>
  <si>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</si>
  <si>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</si>
  <si>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</si>
  <si>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</si>
  <si>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</si>
  <si>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</si>
  <si>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</si>
  <si>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</si>
  <si>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</si>
  <si>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</si>
  <si>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</si>
  <si>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</si>
  <si>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</si>
  <si>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</si>
  <si>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</si>
  <si>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</si>
  <si>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</si>
  <si>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</si>
  <si>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</si>
  <si>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</si>
  <si>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</si>
  <si>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</si>
  <si>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</si>
  <si>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</si>
  <si>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</si>
  <si>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</si>
  <si>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</si>
  <si>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</si>
  <si>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</si>
  <si>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</si>
  <si>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</si>
  <si>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</si>
  <si>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</si>
  <si>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</si>
  <si>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</si>
  <si>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</si>
  <si>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</si>
  <si>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</si>
  <si>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</si>
  <si>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</si>
  <si>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</si>
  <si>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</si>
  <si>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</si>
  <si>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</si>
  <si>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</si>
  <si>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</si>
  <si>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</si>
  <si>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</si>
  <si>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</si>
  <si>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</si>
  <si>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</si>
  <si>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</si>
  <si>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</si>
  <si>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</si>
  <si>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</si>
  <si>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</si>
  <si>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</si>
  <si>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</si>
  <si>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</si>
  <si>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</si>
  <si>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</si>
  <si>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</si>
  <si>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</si>
  <si>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</si>
  <si>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</si>
  <si>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</si>
  <si>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</si>
  <si>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</si>
  <si>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</si>
  <si>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</si>
  <si>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</si>
  <si>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</si>
  <si>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</si>
  <si>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</si>
  <si>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</si>
  <si>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</si>
  <si>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</si>
  <si>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</si>
  <si>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</si>
  <si>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</si>
  <si>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</si>
  <si>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</si>
  <si>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</si>
  <si>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</si>
  <si>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</si>
  <si>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</si>
  <si>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</si>
  <si>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</si>
  <si>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</si>
  <si>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</si>
  <si>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</si>
  <si>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</si>
  <si>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</si>
  <si>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</si>
  <si>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</si>
  <si>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</si>
  <si>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</si>
  <si>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</si>
  <si>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</si>
  <si>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</si>
  <si>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</si>
  <si>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</si>
  <si>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</si>
  <si>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</si>
  <si>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</si>
  <si>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</si>
  <si>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</si>
  <si>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</si>
  <si>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</si>
  <si>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</si>
  <si>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</si>
  <si>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</si>
  <si>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</si>
  <si>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</si>
  <si>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</si>
  <si>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</si>
  <si>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</si>
  <si>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</si>
  <si>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</si>
  <si>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</si>
  <si>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</si>
  <si>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</si>
  <si>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</si>
  <si>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</si>
  <si>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</si>
  <si>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</si>
  <si>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</si>
  <si>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</si>
  <si>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</si>
  <si>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</si>
  <si>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</si>
  <si>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</si>
  <si>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</si>
  <si>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</si>
  <si>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</si>
  <si>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</si>
  <si>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</si>
  <si>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</si>
  <si>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</si>
  <si>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</si>
  <si>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</si>
  <si>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</si>
  <si>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</si>
  <si>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</si>
  <si>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</si>
  <si>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</si>
  <si>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</si>
  <si>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</si>
  <si>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</si>
  <si>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</si>
  <si>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</si>
  <si>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</si>
  <si>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</si>
  <si>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</si>
  <si>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</si>
  <si>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</si>
  <si>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</si>
  <si>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</si>
  <si>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</si>
  <si>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</si>
  <si>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</si>
  <si>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</si>
  <si>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</si>
  <si>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</si>
  <si>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</si>
  <si>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</si>
  <si>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</si>
  <si>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</si>
  <si>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</si>
  <si>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</si>
  <si>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</si>
  <si>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</si>
  <si>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</si>
  <si>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</si>
  <si>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</si>
  <si>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</si>
  <si>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</si>
  <si>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</si>
  <si>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</si>
  <si>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</si>
  <si>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</si>
  <si>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</si>
  <si>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</si>
  <si>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</si>
  <si>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</si>
  <si>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</si>
  <si>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</si>
  <si>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</si>
  <si>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</si>
  <si>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</si>
  <si>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</si>
  <si>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</si>
  <si>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</si>
  <si>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</si>
  <si>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</si>
  <si>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</si>
  <si>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</si>
  <si>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</si>
  <si>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</si>
  <si>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</si>
  <si>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</si>
  <si>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</si>
  <si>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</si>
  <si>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</si>
  <si>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</si>
  <si>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</si>
  <si>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</si>
  <si>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</si>
  <si>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</si>
  <si>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</si>
  <si>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</si>
  <si>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</si>
  <si>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</si>
  <si>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</si>
  <si>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</si>
  <si>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</si>
  <si>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</si>
  <si>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</si>
  <si>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</si>
  <si>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</si>
  <si>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</si>
  <si>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</si>
  <si>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</si>
  <si>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</si>
  <si>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</si>
  <si>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</si>
  <si>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</si>
  <si>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</si>
  <si>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</si>
  <si>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</si>
  <si>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</si>
  <si>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</si>
  <si>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</si>
  <si>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</si>
  <si>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</si>
  <si>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</si>
  <si>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</si>
  <si>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</si>
  <si>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</si>
  <si>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</si>
  <si>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</si>
  <si>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</si>
  <si>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</si>
  <si>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</si>
  <si>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</si>
  <si>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</si>
  <si>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</si>
  <si>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</si>
  <si>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</si>
  <si>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</si>
  <si>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</si>
  <si>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</si>
  <si>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</si>
  <si>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</si>
  <si>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</si>
  <si>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</si>
  <si>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</si>
  <si>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</si>
  <si>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</si>
  <si>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</si>
  <si>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</si>
  <si>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</si>
  <si>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</si>
  <si>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</si>
  <si>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</si>
  <si>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</si>
  <si>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</si>
  <si>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</si>
  <si>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</si>
  <si>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</si>
  <si>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</si>
  <si>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</si>
  <si>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</si>
  <si>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</si>
  <si>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</si>
  <si>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</si>
  <si>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</si>
  <si>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</si>
  <si>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</si>
  <si>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</si>
  <si>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</si>
  <si>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</si>
  <si>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</si>
  <si>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</si>
  <si>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</si>
  <si>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</si>
  <si>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</si>
  <si>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</si>
  <si>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</si>
  <si>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</si>
  <si>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</si>
  <si>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</si>
  <si>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</si>
  <si>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</si>
  <si>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</si>
  <si>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</si>
  <si>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</si>
  <si>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</si>
  <si>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</si>
  <si>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</si>
  <si>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</si>
  <si>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</si>
  <si>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</si>
  <si>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</si>
  <si>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</si>
  <si>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</si>
  <si>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</si>
  <si>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</si>
  <si>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</si>
  <si>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</si>
  <si>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</si>
  <si>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</si>
  <si>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</si>
  <si>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</si>
  <si>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</si>
  <si>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</si>
  <si>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</si>
  <si>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</si>
  <si>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</si>
  <si>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</si>
  <si>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</si>
  <si>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</si>
  <si>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</si>
  <si>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</si>
  <si>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</si>
  <si>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</si>
  <si>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</si>
  <si>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</si>
  <si>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</si>
  <si>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</si>
  <si>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</si>
  <si>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</si>
  <si>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</si>
  <si>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</si>
  <si>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</si>
  <si>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</si>
  <si>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</si>
  <si>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</si>
  <si>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</si>
  <si>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</si>
  <si>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</si>
  <si>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</si>
  <si>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</si>
  <si>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</si>
  <si>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</si>
  <si>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</si>
  <si>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</si>
  <si>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</si>
  <si>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</si>
  <si>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</si>
  <si>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</si>
  <si>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</si>
  <si>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</si>
  <si>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</si>
  <si>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</si>
  <si>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</si>
  <si>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</si>
  <si>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</si>
  <si>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</si>
  <si>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</si>
  <si>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</si>
  <si>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</si>
  <si>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</si>
  <si>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</si>
  <si>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</si>
  <si>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</si>
  <si>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</si>
  <si>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</si>
  <si>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</si>
  <si>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</si>
  <si>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</si>
  <si>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</si>
  <si>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</si>
  <si>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</si>
  <si>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</si>
  <si>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</si>
  <si>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</si>
  <si>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</si>
  <si>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</si>
  <si>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</si>
  <si>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</si>
  <si>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</si>
  <si>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</si>
  <si>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</si>
  <si>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</si>
  <si>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</si>
  <si>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</si>
  <si>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</si>
  <si>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</si>
  <si>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</si>
  <si>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</si>
  <si>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</si>
  <si>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</si>
  <si>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</si>
  <si>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</si>
  <si>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</si>
  <si>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</si>
  <si>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</si>
  <si>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</si>
  <si>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</si>
  <si>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</si>
  <si>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</si>
  <si>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</si>
  <si>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</si>
  <si>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</si>
  <si>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</si>
  <si>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</si>
  <si>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</si>
  <si>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</si>
  <si>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</si>
  <si>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</si>
  <si>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</si>
  <si>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</si>
  <si>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</si>
  <si>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</si>
  <si>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</si>
  <si>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</si>
  <si>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</si>
  <si>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</si>
  <si>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</si>
  <si>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</si>
  <si>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</si>
  <si>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</si>
  <si>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</si>
  <si>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</si>
  <si>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</si>
  <si>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</si>
  <si>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</si>
  <si>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</si>
  <si>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</si>
  <si>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</si>
  <si>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</si>
  <si>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</si>
  <si>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</si>
  <si>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</si>
  <si>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</si>
  <si>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</si>
  <si>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</si>
  <si>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</si>
  <si>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</si>
  <si>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</si>
  <si>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</si>
  <si>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</si>
  <si>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</si>
  <si>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</si>
  <si>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</si>
  <si>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</si>
  <si>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</si>
  <si>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</si>
  <si>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</si>
  <si>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</si>
  <si>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</si>
  <si>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</si>
  <si>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</si>
  <si>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</si>
  <si>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</si>
  <si>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</si>
  <si>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</si>
  <si>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</si>
  <si>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</si>
  <si>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</si>
  <si>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</si>
  <si>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</si>
  <si>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</si>
  <si>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</si>
  <si>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</si>
  <si>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</si>
  <si>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</si>
  <si>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</si>
  <si>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</si>
  <si>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</si>
  <si>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</si>
  <si>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</si>
  <si>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</si>
  <si>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</si>
  <si>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</si>
  <si>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</si>
  <si>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</si>
  <si>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</si>
  <si>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</si>
  <si>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</si>
  <si>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</si>
  <si>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</si>
  <si>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</si>
  <si>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</si>
  <si>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</si>
  <si>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</si>
  <si>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</si>
  <si>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</si>
  <si>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</si>
  <si>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</si>
  <si>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</si>
  <si>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</si>
  <si>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</si>
  <si>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</si>
  <si>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</si>
  <si>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</si>
  <si>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</si>
  <si>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</si>
  <si>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</si>
  <si>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</si>
  <si>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</si>
  <si>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</si>
  <si>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</si>
  <si>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</si>
  <si>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</si>
  <si>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</si>
  <si>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</si>
  <si>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</si>
  <si>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</si>
  <si>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</si>
  <si>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</si>
  <si>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</si>
  <si>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</si>
  <si>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</si>
  <si>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</si>
  <si>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</si>
  <si>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</si>
  <si>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</si>
  <si>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</si>
  <si>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</si>
  <si>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</si>
  <si>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</si>
  <si>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</si>
  <si>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</si>
  <si>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</si>
  <si>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</si>
  <si>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</si>
  <si>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</si>
  <si>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</si>
  <si>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</si>
  <si>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</si>
  <si>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</si>
  <si>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</si>
  <si>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</si>
  <si>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</si>
  <si>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</si>
  <si>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</si>
  <si>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</si>
  <si>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</si>
  <si>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</si>
  <si>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</si>
  <si>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</si>
  <si>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</si>
  <si>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</si>
  <si>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</si>
  <si>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</si>
  <si>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</si>
  <si>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</si>
  <si>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</si>
  <si>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</si>
  <si>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</si>
  <si>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</si>
  <si>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</si>
  <si>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</si>
  <si>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</si>
  <si>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</si>
  <si>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</si>
  <si>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</si>
  <si>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</si>
  <si>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</si>
  <si>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</si>
  <si>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</si>
  <si>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</si>
  <si>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</si>
  <si>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</si>
  <si>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</si>
  <si>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</si>
  <si>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</si>
  <si>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</si>
  <si>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</si>
  <si>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</si>
  <si>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</si>
  <si>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</si>
  <si>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</si>
  <si>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</si>
  <si>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</si>
  <si>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</si>
  <si>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</si>
  <si>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</si>
  <si>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</si>
  <si>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</si>
  <si>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</si>
  <si>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</si>
  <si>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</si>
  <si>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</si>
  <si>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</si>
  <si>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</si>
  <si>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</si>
  <si>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</si>
  <si>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</si>
  <si>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</si>
  <si>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</si>
  <si>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</si>
  <si>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</si>
  <si>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</si>
  <si>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</si>
  <si>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</si>
  <si>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</si>
  <si>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</si>
  <si>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</si>
  <si>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</si>
  <si>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</si>
  <si>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</si>
  <si>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</si>
  <si>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</si>
  <si>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</si>
  <si>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</si>
  <si>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</si>
  <si>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</si>
  <si>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</si>
  <si>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</si>
  <si>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</si>
  <si>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</si>
  <si>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</si>
  <si>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</si>
  <si>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</si>
  <si>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</si>
  <si>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</si>
  <si>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</si>
  <si>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</si>
  <si>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</si>
  <si>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</si>
  <si>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</si>
  <si>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</si>
  <si>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</si>
  <si>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</si>
  <si>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</si>
  <si>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</si>
  <si>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</si>
  <si>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</si>
  <si>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</si>
  <si>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</si>
  <si>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</si>
  <si>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</si>
  <si>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</si>
  <si>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</si>
  <si>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</si>
  <si>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</si>
  <si>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</si>
  <si>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</si>
  <si>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</si>
  <si>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</si>
  <si>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</si>
  <si>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</si>
  <si>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</si>
  <si>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</si>
  <si>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</si>
  <si>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</si>
  <si>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</si>
  <si>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</si>
  <si>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</si>
  <si>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</si>
  <si>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</si>
  <si>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</si>
  <si>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</si>
  <si>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</si>
  <si>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</si>
  <si>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</si>
  <si>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</si>
  <si>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</si>
  <si>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</si>
  <si>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</si>
  <si>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</si>
  <si>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</si>
  <si>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</si>
  <si>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</si>
  <si>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</si>
  <si>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</si>
  <si>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</si>
  <si>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</si>
  <si>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</si>
  <si>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</si>
  <si>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</si>
  <si>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</si>
  <si>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</si>
  <si>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</si>
  <si>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</si>
  <si>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</si>
  <si>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</si>
  <si>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</si>
  <si>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</si>
  <si>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</si>
  <si>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</si>
  <si>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</si>
  <si>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</si>
  <si>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</si>
  <si>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</si>
  <si>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</si>
  <si>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</si>
  <si>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</si>
  <si>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</si>
  <si>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</si>
  <si>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</si>
  <si>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</si>
  <si>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</si>
  <si>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</si>
  <si>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</si>
  <si>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</si>
  <si>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</si>
  <si>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</si>
  <si>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</si>
  <si>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</si>
  <si>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</si>
  <si>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</si>
  <si>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</si>
  <si>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</si>
  <si>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</si>
  <si>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</si>
  <si>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</si>
  <si>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</si>
  <si>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</si>
  <si>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</si>
  <si>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</si>
  <si>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</si>
  <si>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</si>
  <si>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</si>
  <si>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</si>
  <si>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</si>
  <si>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</si>
  <si>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</si>
  <si>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</si>
  <si>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</si>
  <si>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</si>
  <si>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</si>
  <si>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</si>
  <si>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</si>
  <si>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</si>
  <si>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</si>
  <si>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</si>
  <si>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</si>
  <si>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</si>
  <si>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</si>
  <si>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</si>
  <si>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</si>
  <si>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</si>
  <si>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</si>
  <si>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</si>
  <si>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</si>
  <si>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</si>
  <si>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</si>
  <si>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</si>
  <si>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</si>
  <si>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</si>
  <si>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</si>
  <si>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</si>
  <si>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</si>
  <si>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</si>
  <si>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</si>
  <si>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</si>
  <si>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</si>
  <si>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</si>
  <si>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</si>
  <si>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</si>
  <si>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</si>
  <si>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</si>
  <si>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</si>
  <si>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</si>
  <si>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</si>
  <si>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</si>
  <si>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</si>
  <si>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</si>
  <si>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</si>
  <si>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</si>
  <si>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</si>
  <si>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</si>
  <si>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</si>
  <si>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</si>
  <si>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</si>
  <si>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</si>
  <si>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</si>
  <si>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</si>
  <si>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</si>
  <si>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</si>
  <si>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</si>
  <si>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</si>
  <si>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</si>
  <si>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</si>
  <si>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</si>
  <si>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</si>
  <si>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</si>
  <si>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</si>
  <si>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</si>
  <si>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</si>
  <si>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</si>
  <si>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</si>
  <si>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</si>
  <si>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</si>
  <si>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</si>
  <si>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</si>
  <si>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</si>
  <si>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</si>
  <si>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</si>
  <si>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</si>
  <si>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</si>
  <si>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</si>
  <si>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</si>
  <si>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</si>
  <si>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</si>
  <si>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</si>
  <si>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</si>
  <si>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</si>
  <si>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</si>
  <si>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</si>
  <si>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</si>
  <si>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</si>
  <si>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</si>
  <si>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</si>
  <si>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</si>
  <si>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</si>
  <si>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</si>
  <si>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</si>
  <si>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</si>
  <si>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</si>
  <si>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</si>
  <si>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</si>
  <si>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</si>
  <si>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</si>
  <si>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</si>
  <si>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</si>
  <si>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</si>
  <si>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</si>
  <si>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</si>
  <si>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</si>
  <si>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</si>
  <si>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</si>
  <si>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</si>
  <si>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</si>
  <si>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</si>
  <si>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</si>
  <si>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</si>
  <si>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</si>
  <si>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</si>
  <si>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</si>
  <si>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</si>
  <si>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</si>
  <si>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</si>
  <si>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</si>
  <si>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</si>
  <si>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</si>
  <si>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</si>
  <si>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</si>
  <si>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</si>
  <si>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</si>
  <si>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</si>
  <si>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</si>
  <si>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</si>
  <si>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</si>
  <si>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</si>
  <si>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</si>
  <si>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</si>
  <si>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</si>
  <si>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</si>
  <si>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</si>
  <si>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</si>
  <si>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</si>
  <si>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</si>
  <si>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</si>
  <si>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</si>
  <si>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</si>
  <si>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</si>
  <si>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</si>
  <si>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</si>
  <si>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</si>
  <si>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</si>
  <si>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</si>
  <si>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</si>
  <si>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</si>
  <si>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</si>
  <si>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</si>
  <si>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</si>
  <si>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</si>
  <si>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</si>
  <si>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</si>
  <si>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</si>
  <si>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</si>
  <si>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</si>
  <si>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</si>
  <si>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</si>
  <si>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</si>
  <si>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</si>
  <si>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</si>
  <si>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</si>
  <si>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</si>
  <si>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</si>
  <si>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</si>
  <si>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</si>
  <si>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</si>
  <si>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</si>
  <si>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</si>
  <si>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</si>
  <si>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</si>
  <si>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</si>
  <si>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</si>
  <si>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</si>
  <si>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</si>
  <si>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</si>
  <si>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</si>
  <si>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</si>
  <si>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</si>
  <si>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</si>
  <si>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</si>
  <si>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</si>
  <si>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</si>
  <si>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</si>
  <si>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</si>
  <si>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</si>
  <si>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</si>
  <si>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</si>
  <si>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</si>
  <si>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</si>
  <si>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</si>
  <si>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</si>
  <si>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</si>
  <si>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</si>
  <si>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</si>
  <si>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</si>
  <si>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</si>
  <si>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</si>
  <si>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</si>
  <si>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</si>
  <si>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</si>
  <si>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</si>
  <si>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</si>
  <si>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</si>
  <si>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</si>
  <si>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</si>
  <si>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</si>
  <si>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</si>
  <si>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</si>
  <si>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</si>
  <si>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</si>
  <si>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</si>
  <si>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</si>
  <si>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</si>
  <si>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</si>
  <si>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</si>
  <si>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</si>
  <si>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</si>
  <si>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</si>
  <si>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</si>
  <si>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</si>
  <si>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</si>
  <si>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</si>
  <si>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</si>
  <si>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</si>
  <si>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</si>
  <si>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</si>
  <si>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</si>
  <si>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</si>
  <si>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</si>
  <si>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</si>
  <si>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</si>
  <si>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</si>
  <si>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</si>
  <si>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</si>
  <si>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</si>
  <si>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</si>
  <si>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</si>
  <si>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</si>
  <si>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</si>
  <si>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</si>
  <si>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</si>
  <si>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</si>
  <si>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</si>
  <si>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</si>
  <si>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</si>
  <si>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</si>
  <si>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</si>
  <si>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</si>
  <si>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</si>
  <si>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</si>
  <si>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</si>
  <si>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</si>
  <si>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</si>
  <si>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</si>
  <si>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</si>
  <si>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</si>
  <si>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</si>
  <si>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</si>
  <si>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</si>
  <si>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</si>
  <si>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</si>
  <si>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</si>
  <si>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</si>
  <si>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</si>
  <si>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</si>
  <si>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</si>
  <si>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</si>
  <si>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</si>
  <si>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</si>
  <si>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</si>
  <si>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</si>
  <si>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</si>
  <si>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</si>
  <si>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</si>
  <si>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</si>
  <si>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</si>
  <si>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</si>
  <si>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</si>
  <si>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</si>
  <si>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</si>
  <si>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</si>
  <si>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</si>
  <si>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</si>
  <si>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</si>
  <si>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</si>
  <si>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</si>
  <si>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</si>
  <si>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</si>
  <si>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</si>
  <si>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</si>
  <si>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</si>
  <si>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</si>
  <si>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</si>
  <si>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</si>
  <si>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</si>
  <si>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</si>
  <si>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</si>
  <si>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</si>
  <si>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</si>
  <si>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</si>
  <si>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</si>
  <si>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</si>
  <si>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</si>
  <si>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</si>
  <si>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</si>
  <si>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</si>
  <si>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</si>
  <si>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</si>
  <si>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</si>
  <si>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</si>
  <si>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</si>
  <si>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</si>
  <si>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</si>
  <si>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</si>
  <si>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</si>
  <si>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</si>
  <si>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</si>
  <si>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</si>
  <si>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</si>
  <si>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</si>
  <si>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</si>
  <si>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</si>
  <si>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</si>
  <si>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</si>
  <si>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</si>
  <si>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</si>
  <si>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</si>
  <si>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</si>
  <si>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</si>
  <si>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</si>
  <si>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</si>
  <si>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</si>
  <si>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</si>
  <si>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</si>
  <si>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</si>
  <si>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</si>
  <si>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</si>
  <si>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</si>
  <si>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</si>
  <si>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</si>
  <si>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</si>
  <si>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</si>
  <si>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</si>
  <si>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</si>
  <si>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</si>
  <si>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</si>
  <si>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</si>
  <si>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</si>
  <si>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</si>
  <si>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</si>
  <si>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</si>
  <si>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</si>
  <si>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</si>
  <si>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</si>
  <si>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</si>
  <si>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</si>
  <si>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</si>
  <si>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</si>
  <si>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</si>
  <si>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</si>
  <si>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</si>
  <si>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</si>
  <si>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</si>
  <si>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</si>
  <si>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</si>
  <si>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</si>
  <si>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</si>
  <si>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</si>
  <si>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</si>
  <si>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</si>
  <si>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</si>
  <si>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</si>
  <si>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</si>
  <si>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</si>
  <si>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</si>
  <si>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</si>
  <si>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</si>
  <si>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</si>
  <si>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</si>
  <si>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</si>
  <si>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</si>
  <si>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</si>
  <si>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</si>
  <si>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</si>
  <si>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</si>
  <si>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</si>
  <si>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</si>
  <si>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</si>
  <si>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</si>
  <si>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</si>
  <si>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</si>
  <si>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</si>
  <si>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</si>
  <si>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</si>
  <si>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</si>
  <si>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</si>
  <si>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</si>
  <si>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</si>
  <si>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</si>
  <si>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</si>
  <si>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</si>
  <si>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</si>
  <si>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</si>
  <si>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</si>
  <si>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</si>
  <si>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</si>
  <si>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</si>
  <si>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</si>
  <si>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</si>
  <si>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</si>
  <si>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</si>
  <si>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</si>
  <si>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</si>
  <si>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</si>
  <si>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</si>
  <si>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</si>
  <si>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</si>
  <si>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</si>
  <si>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</si>
  <si>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</si>
  <si>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</si>
  <si>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</si>
  <si>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</si>
  <si>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</si>
  <si>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</si>
  <si>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</si>
  <si>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</si>
  <si>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</si>
  <si>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</si>
  <si>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</si>
  <si>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</si>
  <si>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</si>
  <si>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</si>
  <si>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</si>
  <si>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</si>
  <si>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</si>
  <si>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</si>
  <si>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</si>
  <si>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</si>
  <si>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</si>
  <si>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</si>
  <si>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</si>
  <si>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</si>
  <si>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</si>
  <si>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</si>
  <si>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</si>
  <si>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</si>
  <si>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</si>
  <si>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</si>
  <si>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</si>
  <si>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</si>
  <si>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</si>
  <si>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</si>
  <si>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</si>
  <si>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</si>
  <si>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</si>
  <si>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</si>
  <si>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</si>
  <si>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</si>
  <si>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</si>
  <si>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</si>
  <si>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</si>
  <si>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</si>
  <si>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</si>
  <si>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</si>
  <si>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</si>
  <si>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</si>
  <si>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</si>
  <si>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</si>
  <si>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</si>
  <si>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</si>
  <si>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</si>
  <si>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</si>
  <si>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</si>
  <si>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</si>
  <si>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</si>
  <si>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</si>
  <si>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</si>
  <si>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</si>
  <si>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</si>
  <si>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</si>
  <si>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</si>
  <si>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</si>
  <si>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</si>
  <si>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</si>
  <si>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</si>
  <si>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</si>
  <si>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</si>
  <si>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</si>
  <si>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</si>
  <si>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</si>
  <si>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</si>
  <si>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</si>
  <si>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</si>
  <si>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</si>
  <si>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</si>
  <si>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</si>
  <si>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</si>
  <si>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</si>
  <si>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</si>
  <si>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</si>
  <si>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</si>
  <si>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</si>
  <si>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</si>
  <si>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</si>
  <si>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</si>
  <si>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</si>
  <si>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</si>
  <si>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</si>
  <si>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</si>
  <si>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</si>
  <si>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</si>
  <si>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</si>
  <si>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</si>
  <si>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</si>
  <si>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</si>
  <si>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</si>
  <si>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</si>
  <si>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</si>
  <si>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</si>
  <si>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</si>
  <si>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</si>
  <si>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</si>
  <si>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</si>
  <si>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</si>
  <si>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</si>
  <si>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</si>
  <si>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</si>
  <si>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</si>
  <si>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</si>
  <si>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</si>
  <si>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</si>
  <si>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</si>
  <si>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</si>
  <si>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</si>
  <si>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</si>
  <si>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</si>
  <si>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</si>
  <si>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</si>
  <si>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</si>
  <si>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</si>
  <si>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</si>
  <si>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</si>
  <si>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</si>
  <si>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</si>
  <si>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</si>
  <si>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</si>
  <si>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</si>
  <si>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</si>
  <si>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</si>
  <si>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</si>
  <si>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</si>
  <si>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</si>
  <si>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</si>
  <si>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</si>
  <si>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</si>
  <si>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</si>
  <si>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</si>
  <si>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</si>
  <si>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</si>
  <si>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</si>
  <si>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</si>
  <si>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</si>
  <si>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</si>
  <si>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</si>
  <si>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</si>
  <si>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</si>
  <si>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</si>
  <si>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</si>
  <si>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</si>
  <si>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</si>
  <si>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</si>
  <si>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</si>
  <si>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</si>
  <si>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</si>
  <si>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</si>
  <si>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</si>
  <si>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</si>
  <si>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</si>
  <si>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</si>
  <si>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</si>
  <si>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</si>
  <si>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</si>
  <si>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</si>
  <si>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</si>
  <si>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</si>
  <si>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</si>
  <si>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</si>
  <si>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</si>
  <si>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</si>
  <si>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</si>
  <si>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</si>
  <si>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</si>
  <si>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</si>
  <si>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</si>
  <si>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</si>
  <si>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</si>
  <si>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</si>
  <si>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</si>
  <si>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</si>
  <si>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</si>
  <si>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</si>
  <si>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</si>
  <si>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</si>
  <si>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</si>
  <si>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</si>
  <si>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</si>
  <si>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</si>
  <si>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</si>
  <si>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</si>
  <si>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</si>
  <si>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</si>
  <si>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</si>
  <si>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</si>
  <si>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</si>
  <si>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</si>
  <si>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</si>
  <si>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</si>
  <si>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</si>
  <si>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</si>
  <si>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</si>
  <si>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</si>
  <si>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</si>
  <si>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</si>
  <si>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</si>
  <si>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</si>
  <si>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</si>
  <si>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</si>
  <si>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</si>
  <si>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</si>
  <si>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</si>
  <si>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</si>
  <si>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</si>
  <si>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</si>
  <si>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</si>
  <si>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</si>
  <si>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</si>
  <si>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</si>
  <si>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</si>
  <si>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</si>
  <si>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</si>
  <si>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</si>
  <si>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</si>
  <si>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</si>
  <si>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</si>
  <si>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</si>
  <si>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</si>
  <si>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</si>
  <si>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</si>
  <si>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</si>
  <si>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</si>
  <si>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</si>
  <si>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</si>
  <si>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</si>
  <si>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</si>
  <si>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</si>
  <si>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</si>
  <si>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</si>
  <si>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</si>
  <si>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</si>
  <si>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</si>
  <si>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</si>
  <si>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</si>
  <si>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</si>
  <si>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</si>
  <si>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</si>
  <si>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</si>
  <si>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</si>
  <si>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</si>
  <si>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</si>
  <si>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</si>
  <si>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</si>
  <si>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</si>
  <si>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</si>
  <si>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</si>
  <si>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</si>
  <si>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</si>
  <si>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</si>
  <si>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</si>
  <si>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</si>
  <si>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</si>
  <si>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</si>
  <si>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</si>
  <si>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</si>
  <si>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</si>
  <si>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</si>
  <si>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</si>
  <si>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</si>
  <si>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</si>
  <si>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</si>
  <si>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</si>
  <si>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</si>
  <si>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</si>
  <si>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</si>
  <si>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</si>
  <si>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</si>
  <si>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</si>
  <si>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</si>
  <si>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</si>
  <si>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</si>
  <si>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</si>
  <si>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</si>
  <si>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</si>
  <si>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</si>
  <si>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</si>
  <si>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</si>
  <si>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</si>
  <si>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</si>
  <si>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</si>
  <si>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</si>
  <si>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</si>
  <si>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</si>
  <si>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</si>
  <si>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</si>
  <si>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</si>
  <si>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</si>
  <si>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</si>
  <si>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</si>
  <si>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</si>
  <si>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</si>
  <si>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</si>
  <si>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</si>
  <si>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</si>
  <si>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</si>
  <si>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</si>
  <si>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</si>
  <si>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</si>
  <si>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</si>
  <si>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</si>
  <si>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</si>
  <si>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</si>
  <si>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</si>
  <si>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</si>
  <si>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</si>
  <si>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</si>
  <si>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</si>
  <si>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</si>
  <si>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</si>
  <si>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</si>
  <si>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</si>
  <si>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</si>
  <si>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</si>
  <si>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</si>
  <si>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</si>
  <si>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</si>
  <si>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</si>
  <si>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</si>
  <si>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</si>
  <si>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</si>
  <si>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</si>
  <si>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</si>
  <si>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</si>
  <si>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</si>
  <si>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</si>
  <si>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</si>
  <si>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</si>
  <si>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</si>
  <si>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</si>
  <si>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</si>
  <si>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</si>
  <si>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</si>
  <si>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</si>
  <si>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</si>
  <si>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</si>
  <si>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</si>
  <si>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</si>
  <si>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</si>
  <si>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</si>
  <si>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</si>
  <si>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</si>
  <si>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</si>
  <si>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</si>
  <si>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</si>
  <si>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</si>
  <si>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</si>
  <si>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</si>
  <si>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</si>
  <si>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</si>
  <si>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</si>
  <si>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</si>
  <si>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</si>
  <si>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</si>
  <si>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</si>
  <si>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</si>
  <si>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</si>
  <si>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</si>
  <si>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</si>
  <si>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</si>
  <si>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</si>
  <si>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</si>
  <si>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</si>
  <si>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</si>
  <si>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</si>
  <si>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</si>
  <si>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</si>
  <si>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</si>
  <si>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</si>
  <si>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</si>
  <si>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</si>
  <si>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</si>
  <si>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</si>
  <si>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</si>
  <si>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</si>
  <si>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</si>
  <si>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</si>
  <si>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</si>
  <si>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</si>
  <si>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</si>
  <si>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</si>
  <si>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</si>
  <si>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</si>
  <si>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</si>
  <si>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</si>
  <si>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</si>
  <si>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</si>
  <si>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</si>
  <si>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</si>
  <si>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</si>
  <si>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</si>
  <si>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</si>
  <si>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</si>
  <si>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</si>
  <si>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</si>
  <si>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</si>
  <si>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</si>
  <si>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</si>
  <si>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</si>
  <si>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</si>
  <si>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</si>
  <si>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</si>
  <si>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</si>
  <si>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</si>
  <si>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</si>
  <si>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</si>
  <si>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</si>
  <si>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</si>
  <si>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</si>
  <si>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</si>
  <si>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</si>
  <si>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</si>
  <si>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</si>
  <si>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</si>
  <si>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</si>
  <si>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</si>
  <si>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</si>
  <si>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</si>
  <si>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</si>
  <si>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</si>
  <si>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</si>
  <si>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</si>
  <si>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</si>
  <si>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</si>
  <si>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</si>
  <si>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</si>
  <si>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</si>
  <si>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</si>
  <si>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</si>
  <si>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</si>
  <si>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</si>
  <si>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</si>
  <si>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</si>
  <si>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</si>
  <si>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</si>
  <si>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</si>
  <si>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</si>
  <si>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</si>
  <si>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</si>
  <si>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</si>
  <si>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</si>
  <si>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</si>
  <si>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</si>
  <si>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</si>
  <si>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</si>
  <si>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</si>
  <si>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</si>
  <si>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</si>
  <si>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</si>
  <si>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</si>
  <si>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</si>
  <si>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</si>
  <si>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</si>
  <si>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</si>
  <si>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</si>
  <si>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</si>
  <si>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</si>
  <si>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</si>
  <si>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</si>
  <si>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</si>
  <si>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</si>
  <si>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</si>
  <si>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</si>
  <si>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</si>
  <si>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</si>
  <si>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</si>
  <si>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</si>
  <si>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</si>
  <si>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</si>
  <si>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</si>
  <si>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</si>
  <si>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</si>
  <si>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</si>
  <si>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</si>
  <si>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</si>
  <si>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</si>
  <si>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</si>
  <si>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</si>
  <si>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</si>
  <si>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</si>
  <si>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</si>
  <si>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</si>
  <si>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</si>
  <si>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</si>
  <si>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</si>
  <si>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</si>
  <si>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</si>
  <si>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</si>
  <si>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</si>
  <si>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</si>
  <si>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</si>
  <si>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</si>
  <si>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</si>
  <si>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</si>
  <si>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</si>
  <si>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</si>
  <si>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</si>
  <si>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</si>
  <si>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</si>
  <si>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</si>
  <si>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</si>
  <si>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</si>
  <si>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</si>
  <si>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</si>
  <si>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</si>
  <si>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</si>
  <si>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</si>
  <si>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</si>
  <si>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</si>
  <si>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</si>
  <si>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</si>
  <si>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</si>
  <si>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</si>
  <si>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</si>
  <si>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</si>
  <si>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</si>
  <si>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</si>
  <si>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</si>
  <si>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</si>
  <si>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</si>
  <si>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</si>
  <si>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</si>
  <si>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</si>
  <si>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</si>
  <si>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</si>
  <si>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</si>
  <si>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</si>
  <si>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</si>
  <si>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</si>
  <si>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</si>
  <si>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</si>
  <si>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</si>
  <si>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</si>
  <si>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</si>
  <si>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</si>
  <si>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</si>
  <si>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</si>
  <si>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</si>
  <si>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</si>
  <si>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</si>
  <si>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</si>
  <si>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</si>
  <si>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</si>
  <si>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</si>
  <si>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</si>
  <si>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</si>
  <si>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</si>
  <si>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</si>
  <si>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</si>
  <si>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</si>
  <si>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</si>
  <si>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</si>
  <si>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</si>
  <si>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</si>
  <si>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</si>
  <si>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</si>
  <si>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</si>
  <si>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</si>
  <si>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</si>
  <si>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</si>
  <si>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</si>
  <si>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</si>
  <si>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</si>
  <si>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</si>
  <si>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</si>
  <si>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</si>
  <si>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</si>
  <si>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</si>
  <si>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</si>
  <si>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</si>
  <si>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</si>
  <si>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</si>
  <si>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</si>
  <si>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</si>
  <si>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</si>
  <si>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</si>
  <si>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</si>
  <si>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</si>
  <si>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</si>
  <si>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</si>
  <si>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</si>
  <si>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</si>
  <si>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</si>
  <si>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</si>
  <si>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</si>
  <si>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</si>
  <si>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</si>
  <si>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</si>
  <si>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</si>
  <si>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</si>
  <si>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</si>
  <si>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</si>
  <si>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</si>
  <si>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</si>
  <si>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</si>
  <si>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</si>
  <si>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</si>
  <si>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</si>
  <si>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</si>
  <si>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</si>
  <si>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</si>
  <si>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</si>
  <si>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</si>
  <si>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</si>
  <si>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</si>
  <si>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</si>
  <si>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</si>
  <si>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</si>
  <si>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</si>
  <si>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</si>
  <si>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</si>
  <si>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</si>
  <si>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</si>
  <si>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</si>
  <si>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</si>
  <si>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</si>
  <si>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</si>
  <si>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</si>
  <si>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</si>
  <si>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</si>
  <si>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</si>
  <si>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</si>
  <si>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</si>
  <si>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</si>
  <si>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</si>
  <si>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</si>
  <si>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</si>
  <si>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</si>
  <si>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</si>
  <si>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</si>
  <si>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</si>
  <si>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</si>
  <si>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</si>
  <si>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</si>
  <si>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</si>
  <si>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</si>
  <si>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</si>
  <si>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</si>
  <si>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</si>
  <si>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</si>
  <si>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</si>
  <si>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</si>
  <si>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</si>
  <si>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</si>
  <si>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</si>
  <si>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</si>
  <si>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</si>
  <si>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</si>
  <si>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</si>
  <si>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</si>
  <si>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</si>
  <si>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</si>
  <si>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</si>
  <si>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</si>
  <si>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</si>
  <si>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</si>
  <si>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</si>
  <si>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</si>
  <si>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</si>
  <si>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</si>
  <si>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</si>
  <si>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</si>
  <si>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</si>
  <si>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</si>
  <si>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</si>
  <si>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</si>
  <si>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</si>
  <si>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</si>
  <si>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</si>
  <si>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</si>
  <si>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</si>
  <si>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</si>
  <si>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</si>
  <si>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</si>
  <si>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</si>
  <si>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</si>
  <si>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</si>
  <si>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</si>
  <si>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</si>
  <si>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</si>
  <si>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</si>
  <si>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</si>
  <si>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</si>
  <si>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</si>
  <si>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</si>
  <si>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</si>
  <si>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</si>
  <si>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</si>
  <si>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</si>
  <si>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</si>
  <si>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</si>
  <si>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</si>
  <si>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</si>
  <si>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</si>
  <si>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</si>
  <si>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</si>
  <si>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</si>
  <si>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</si>
  <si>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</si>
  <si>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</si>
  <si>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</si>
  <si>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</si>
  <si>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</si>
  <si>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</si>
  <si>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</si>
  <si>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</si>
  <si>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</si>
  <si>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</si>
  <si>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</si>
  <si>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</si>
  <si>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</si>
  <si>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</si>
  <si>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</si>
  <si>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</si>
  <si>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</si>
  <si>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</si>
  <si>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</si>
  <si>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</si>
  <si>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</si>
  <si>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</si>
  <si>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</si>
  <si>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</si>
  <si>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</si>
  <si>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</si>
  <si>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</si>
  <si>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</si>
  <si>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</si>
  <si>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</si>
  <si>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</si>
  <si>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</si>
  <si>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</si>
  <si>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</si>
  <si>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</si>
  <si>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</si>
  <si>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</si>
  <si>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</si>
  <si>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</si>
  <si>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</si>
  <si>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</si>
  <si>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</si>
  <si>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</si>
  <si>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</si>
  <si>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</si>
  <si>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</si>
  <si>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</si>
  <si>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</si>
  <si>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</si>
  <si>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</si>
  <si>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</si>
  <si>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</si>
  <si>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</si>
  <si>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</si>
  <si>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</si>
  <si>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</si>
  <si>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</si>
  <si>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</si>
  <si>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</si>
  <si>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</si>
  <si>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</si>
  <si>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</si>
  <si>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</si>
  <si>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</si>
  <si>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</si>
  <si>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</si>
  <si>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</si>
  <si>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</si>
  <si>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</si>
  <si>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</si>
  <si>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</si>
  <si>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</si>
  <si>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</si>
  <si>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</si>
  <si>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</si>
  <si>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</si>
  <si>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</si>
  <si>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</si>
  <si>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</si>
  <si>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</si>
  <si>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</si>
  <si>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</si>
  <si>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</si>
  <si>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</si>
  <si>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</si>
  <si>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</si>
  <si>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</si>
  <si>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</si>
  <si>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</si>
  <si>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</si>
  <si>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</si>
  <si>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</si>
  <si>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</si>
  <si>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</si>
  <si>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</si>
  <si>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</si>
  <si>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</si>
  <si>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</si>
  <si>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</si>
  <si>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</si>
  <si>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</si>
  <si>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</si>
  <si>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</si>
  <si>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</si>
  <si>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</si>
  <si>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</si>
  <si>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</si>
  <si>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</si>
  <si>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</si>
  <si>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</si>
  <si>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</si>
  <si>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</si>
  <si>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</si>
  <si>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</si>
  <si>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</si>
  <si>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</si>
  <si>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</si>
  <si>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</si>
  <si>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</si>
  <si>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</si>
  <si>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</si>
  <si>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</si>
  <si>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</si>
  <si>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</si>
  <si>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</si>
  <si>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</si>
  <si>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</si>
  <si>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</si>
  <si>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</si>
  <si>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</si>
  <si>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</si>
  <si>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</si>
  <si>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</si>
  <si>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</si>
  <si>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</si>
  <si>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</si>
  <si>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</si>
  <si>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</si>
  <si>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</si>
  <si>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</si>
  <si>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</si>
  <si>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</si>
  <si>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</si>
  <si>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</si>
  <si>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</si>
  <si>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</si>
  <si>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</si>
  <si>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</si>
  <si>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</si>
  <si>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</si>
  <si>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</si>
  <si>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</si>
  <si>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</si>
  <si>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</si>
  <si>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</si>
  <si>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</si>
  <si>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</si>
  <si>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</si>
  <si>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</si>
  <si>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</si>
  <si>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</si>
  <si>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</si>
  <si>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</si>
  <si>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</si>
  <si>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</si>
  <si>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</si>
  <si>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</si>
  <si>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</si>
  <si>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</si>
  <si>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</si>
  <si>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</si>
  <si>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</si>
  <si>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</si>
  <si>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</si>
  <si>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</si>
  <si>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</si>
  <si>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</si>
  <si>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</si>
  <si>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</si>
  <si>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</si>
  <si>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</si>
  <si>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</si>
  <si>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</si>
  <si>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</si>
  <si>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</si>
  <si>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</si>
  <si>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</si>
  <si>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</si>
  <si>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</si>
  <si>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</si>
  <si>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</si>
  <si>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</si>
  <si>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</si>
  <si>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</si>
  <si>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</si>
  <si>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</si>
  <si>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</si>
  <si>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</si>
  <si>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</si>
  <si>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</si>
  <si>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</si>
  <si>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</si>
  <si>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</si>
  <si>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</si>
  <si>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</si>
  <si>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</si>
  <si>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</si>
  <si>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</si>
  <si>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</si>
  <si>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</si>
  <si>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</si>
  <si>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</si>
  <si>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</si>
  <si>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</si>
  <si>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</si>
  <si>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</si>
  <si>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</si>
  <si>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</si>
  <si>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</si>
  <si>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</si>
  <si>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</si>
  <si>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</si>
  <si>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</si>
  <si>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</si>
  <si>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</si>
  <si>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</si>
  <si>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</si>
  <si>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</si>
  <si>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</si>
  <si>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</si>
  <si>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</si>
  <si>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</si>
  <si>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</si>
  <si>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</si>
  <si>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</si>
  <si>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</si>
  <si>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</si>
  <si>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</si>
  <si>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</si>
  <si>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</si>
  <si>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</si>
  <si>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</si>
  <si>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</si>
  <si>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</si>
  <si>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</si>
  <si>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</si>
  <si>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</si>
  <si>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</si>
  <si>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</si>
  <si>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</si>
  <si>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</si>
  <si>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</si>
  <si>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</si>
  <si>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</si>
  <si>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</si>
  <si>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</si>
  <si>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</si>
  <si>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</si>
  <si>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</si>
  <si>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</si>
  <si>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</si>
  <si>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</si>
  <si>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</si>
  <si>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</si>
  <si>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</si>
  <si>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</si>
  <si>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</si>
  <si>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</si>
  <si>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</si>
  <si>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</si>
  <si>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</si>
  <si>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</si>
  <si>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</si>
  <si>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</si>
  <si>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</si>
  <si>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</si>
  <si>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</si>
  <si>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</si>
  <si>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</si>
  <si>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</si>
  <si>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</si>
  <si>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</si>
  <si>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</si>
  <si>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</si>
  <si>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</si>
  <si>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</si>
  <si>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</si>
  <si>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</si>
  <si>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</si>
  <si>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</si>
  <si>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</si>
  <si>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</si>
  <si>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</si>
  <si>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</si>
  <si>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</si>
  <si>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</si>
  <si>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</si>
  <si>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</si>
  <si>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</si>
  <si>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</si>
  <si>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</si>
  <si>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</si>
  <si>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</si>
  <si>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</si>
  <si>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</si>
  <si>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</si>
  <si>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</si>
  <si>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</si>
  <si>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</si>
  <si>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</si>
  <si>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</si>
  <si>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</si>
  <si>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</si>
  <si>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</si>
  <si>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</si>
  <si>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</si>
  <si>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</si>
  <si>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</si>
  <si>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</si>
  <si>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</si>
  <si>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</si>
  <si>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</si>
  <si>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</si>
  <si>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</si>
  <si>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</si>
  <si>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</si>
  <si>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</si>
  <si>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</si>
  <si>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</si>
  <si>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</si>
  <si>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</si>
  <si>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</si>
  <si>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</si>
  <si>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</si>
  <si>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</si>
  <si>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</si>
  <si>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</si>
  <si>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</si>
  <si>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</si>
  <si>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</si>
  <si>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</si>
  <si>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</si>
  <si>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</si>
  <si>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</si>
  <si>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</si>
  <si>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</si>
  <si>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</si>
  <si>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</si>
  <si>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</si>
  <si>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</si>
  <si>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</si>
  <si>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</si>
  <si>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</si>
  <si>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</si>
  <si>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</si>
  <si>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</si>
  <si>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</si>
  <si>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</si>
  <si>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</si>
  <si>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</si>
  <si>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</si>
  <si>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</si>
  <si>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</si>
  <si>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</si>
  <si>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</si>
  <si>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</si>
  <si>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</si>
  <si>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</si>
  <si>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</si>
  <si>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</si>
  <si>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</si>
  <si>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</si>
  <si>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</si>
  <si>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</si>
  <si>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</si>
  <si>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</si>
  <si>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</si>
  <si>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</si>
  <si>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</si>
  <si>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</si>
  <si>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</si>
  <si>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</si>
  <si>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</si>
  <si>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</si>
  <si>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</si>
  <si>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</si>
  <si>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</si>
  <si>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</si>
  <si>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</si>
  <si>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</si>
  <si>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</si>
  <si>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</si>
  <si>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</si>
  <si>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</si>
  <si>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</si>
  <si>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</si>
  <si>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</si>
  <si>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</si>
  <si>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</si>
  <si>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</si>
  <si>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</si>
  <si>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</si>
  <si>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</si>
  <si>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</si>
  <si>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</si>
  <si>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</si>
  <si>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</si>
  <si>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</si>
  <si>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</si>
  <si>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</si>
  <si>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</si>
  <si>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</si>
  <si>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</si>
  <si>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</si>
  <si>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</si>
  <si>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</si>
  <si>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</si>
  <si>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</si>
  <si>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</si>
  <si>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</si>
  <si>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</si>
  <si>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</si>
  <si>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</si>
  <si>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</si>
  <si>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</si>
  <si>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</si>
  <si>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</si>
  <si>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</si>
  <si>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</si>
  <si>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</si>
  <si>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</si>
  <si>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</si>
  <si>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</si>
  <si>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</si>
  <si>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</si>
  <si>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</si>
  <si>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</si>
  <si>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</si>
  <si>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</si>
  <si>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</si>
  <si>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</si>
  <si>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</si>
  <si>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</si>
  <si>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</si>
  <si>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</si>
  <si>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</si>
  <si>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</si>
  <si>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</si>
  <si>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</si>
  <si>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</si>
  <si>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</si>
  <si>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</si>
  <si>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</si>
  <si>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</si>
  <si>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</si>
  <si>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</si>
  <si>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</si>
  <si>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</si>
  <si>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</si>
  <si>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</si>
  <si>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</si>
  <si>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</si>
  <si>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</si>
  <si>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</si>
  <si>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</si>
  <si>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</si>
  <si>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</si>
  <si>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</si>
  <si>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</si>
  <si>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</si>
  <si>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</si>
  <si>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</si>
  <si>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</si>
  <si>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</si>
  <si>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</si>
  <si>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</si>
  <si>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</si>
  <si>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</si>
  <si>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</si>
  <si>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</si>
  <si>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</si>
  <si>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</si>
  <si>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</si>
  <si>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</si>
  <si>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</si>
  <si>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</si>
  <si>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</si>
  <si>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</si>
  <si>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</si>
  <si>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</si>
  <si>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</si>
  <si>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</si>
  <si>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</si>
  <si>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</si>
  <si>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</si>
  <si>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</si>
  <si>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</si>
  <si>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</si>
  <si>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</si>
  <si>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</si>
  <si>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</si>
  <si>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</si>
  <si>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</si>
  <si>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</si>
  <si>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</si>
  <si>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</si>
  <si>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</si>
  <si>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</si>
  <si>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</si>
  <si>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</si>
  <si>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</si>
  <si>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</si>
  <si>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</si>
  <si>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</si>
  <si>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</si>
  <si>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</si>
  <si>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</si>
  <si>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</si>
  <si>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</si>
  <si>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</si>
  <si>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</si>
  <si>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</si>
  <si>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</si>
  <si>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</si>
  <si>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</si>
  <si>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</si>
  <si>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</si>
  <si>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</si>
  <si>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</si>
  <si>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</si>
  <si>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</si>
  <si>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</si>
  <si>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</si>
  <si>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</si>
  <si>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</si>
  <si>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</si>
  <si>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</si>
  <si>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</si>
  <si>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</si>
  <si>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</si>
  <si>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</si>
  <si>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</si>
  <si>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</si>
  <si>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</si>
  <si>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</si>
  <si>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</si>
  <si>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浦发银行</t>
    <phoneticPr fontId="6" type="noConversion"/>
  </si>
  <si>
    <t>北京源</t>
    <phoneticPr fontId="6" type="noConversion"/>
  </si>
  <si>
    <t>北京市</t>
  </si>
  <si>
    <t>企业</t>
  </si>
  <si>
    <t>是</t>
  </si>
  <si>
    <t>否</t>
  </si>
  <si>
    <t>地上</t>
  </si>
  <si>
    <t>工业用房</t>
  </si>
  <si>
    <t>工业用房</t>
    <phoneticPr fontId="3" type="noConversion"/>
  </si>
  <si>
    <t>通路</t>
  </si>
  <si>
    <t>通电</t>
  </si>
  <si>
    <t>通讯</t>
  </si>
  <si>
    <t>通上水</t>
  </si>
  <si>
    <t>通下水</t>
  </si>
  <si>
    <t>现房</t>
  </si>
  <si>
    <t>工业项目</t>
  </si>
  <si>
    <t>工业用房</t>
    <phoneticPr fontId="7" type="noConversion"/>
  </si>
  <si>
    <t>成新度</t>
  </si>
  <si>
    <t>收益法</t>
  </si>
  <si>
    <t>押一</t>
  </si>
  <si>
    <t>钢混</t>
  </si>
  <si>
    <t>非生产用房</t>
  </si>
  <si>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幢工业用房</t>
    </r>
    <phoneticPr fontId="6" type="noConversion"/>
  </si>
  <si>
    <t>项目局部</t>
  </si>
  <si>
    <t>项目模式</t>
  </si>
  <si>
    <t>售价</t>
  </si>
  <si>
    <t>汇龙森科技园</t>
    <phoneticPr fontId="3" type="noConversion"/>
  </si>
  <si>
    <t>嘉捷科技园</t>
    <phoneticPr fontId="3" type="noConversion"/>
  </si>
  <si>
    <t>正常</t>
  </si>
  <si>
    <t>工业</t>
    <phoneticPr fontId="31" type="noConversion"/>
  </si>
  <si>
    <t>报价</t>
  </si>
  <si>
    <t>报价</t>
    <phoneticPr fontId="134" type="noConversion"/>
  </si>
  <si>
    <t>企业独栋</t>
  </si>
  <si>
    <t>企业独栋</t>
    <phoneticPr fontId="31" type="noConversion"/>
  </si>
  <si>
    <t>钢混</t>
    <phoneticPr fontId="134" type="noConversion"/>
  </si>
  <si>
    <t>普通装修</t>
    <phoneticPr fontId="134" type="noConversion"/>
  </si>
  <si>
    <t>普通装修</t>
    <phoneticPr fontId="134" type="noConversion"/>
  </si>
  <si>
    <t>专业</t>
  </si>
  <si>
    <t>专业</t>
    <phoneticPr fontId="31" type="noConversion"/>
  </si>
  <si>
    <t>普通装修</t>
  </si>
  <si>
    <t>较好</t>
  </si>
  <si>
    <t>五通</t>
  </si>
  <si>
    <t>一般</t>
  </si>
  <si>
    <t>七通</t>
  </si>
  <si>
    <t>比较法-工业</t>
  </si>
  <si>
    <t>总价</t>
  </si>
  <si>
    <t>Ⅵ-BDA核心</t>
  </si>
  <si>
    <t>嘉BDA</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</si>
</sst>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北京市北京经济技术开发区西环南路26号院20幢工业用房房地产抵押价值预评估</v>
      </c>
    </row>
    <row r="3" spans="1:2" s="1203" customFormat="1">
      <c r="A3" s="1201" t="s">
        <v>523</v>
      </c>
      <c r="B3" s="1202" t="str">
        <f>'预评函-封皮'!B40</f>
        <v>浦发银行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受贵公司委托，我公司对北京市北京经济技术开发区西环南路26号院20幢工业用房房地产抵押价值进行了预评估。</v>
      </c>
    </row>
    <row r="7" spans="1:2" s="1203" customFormat="1">
      <c r="A7" s="1201" t="s">
        <v>566</v>
      </c>
      <c r="B7" s="1202" t="str">
        <f>'预评函-1'!A7</f>
        <v>估价对象为北京市北京经济技术开发区西环南路26号院20幢工业用房房地产，为所有。根据《国有土地使用证》[]，估价对象（分摊）出让国有建设用地使用权面积为0平方米，建筑面积为1726.61平方米。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西环南路26号院20幢工业用房房地产,属开发建设的工业项目，该项目尚在开发建设中。根据《国有土地使用证》[]，估价对象（分摊）出让国有建设用地使用权面积为0平方米，规划建筑面积为1726.61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2023年9月21日（评估专业人员实地查勘之日）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2573</v>
      </c>
    </row>
    <row r="21" spans="1:2" s="1203" customFormat="1">
      <c r="A21" s="1201" t="s">
        <v>537</v>
      </c>
      <c r="B21" s="1202">
        <f ca="1">'预评函-2'!D7</f>
        <v>14902</v>
      </c>
    </row>
    <row r="22" spans="1:2" s="1203" customFormat="1">
      <c r="A22" s="1201" t="s">
        <v>538</v>
      </c>
      <c r="B22" s="1202" t="str">
        <f ca="1">'预评函-2'!D6</f>
        <v>贰仟伍佰柒拾叁万元整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2573</v>
      </c>
    </row>
    <row r="31" spans="1:2" s="1203" customFormat="1">
      <c r="A31" s="1201" t="s">
        <v>576</v>
      </c>
      <c r="B31" s="1202">
        <f ca="1">'预评函-2'!D15</f>
        <v>14902</v>
      </c>
    </row>
    <row r="32" spans="1:2" s="1203" customFormat="1">
      <c r="A32" s="1201" t="s">
        <v>543</v>
      </c>
      <c r="B32" s="1202" t="str">
        <f ca="1">'预评函-2'!D14</f>
        <v>贰仟伍佰柒拾叁万元整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北京市北京经济技术开发区西环南路26号院20幢工业用房房地产</v>
      </c>
    </row>
    <row r="42" spans="1:2" s="1203" customFormat="1">
      <c r="A42" s="1201" t="s">
        <v>590</v>
      </c>
      <c r="B42" s="1202" t="str">
        <f>'预评函-3'!B2</f>
        <v>建筑面积</v>
      </c>
    </row>
    <row r="43" spans="1:2" s="1203" customFormat="1">
      <c r="A43" s="1201" t="s">
        <v>591</v>
      </c>
      <c r="B43" s="1202">
        <f>'预评函-3'!B4</f>
        <v>1726.61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2504</v>
      </c>
      <c r="B1" s="3011"/>
      <c r="C1" s="3011"/>
      <c r="D1" s="3011"/>
      <c r="E1" s="3011"/>
      <c r="F1" s="3012"/>
      <c r="I1" s="3434" t="s">
        <v>2597</v>
      </c>
      <c r="J1" s="3223"/>
      <c r="K1" s="3223"/>
      <c r="L1" s="3223"/>
      <c r="M1" s="3223"/>
      <c r="N1" s="3435"/>
      <c r="O1" s="3435"/>
      <c r="P1" s="3435"/>
      <c r="Q1" s="3435"/>
      <c r="R1" s="3435"/>
    </row>
    <row r="2" spans="1:18">
      <c r="A2" s="3014"/>
      <c r="B2" s="3015"/>
      <c r="C2" s="3015"/>
      <c r="D2" s="3015"/>
      <c r="E2" s="3015"/>
      <c r="F2" s="3016"/>
      <c r="I2" s="3498" t="s">
        <v>2584</v>
      </c>
      <c r="J2" s="3498"/>
      <c r="K2" s="3498"/>
      <c r="L2" s="3498"/>
      <c r="M2" s="3498"/>
      <c r="N2" s="3498"/>
      <c r="O2" s="3498"/>
      <c r="P2" s="3498"/>
      <c r="Q2" s="3498"/>
      <c r="R2" s="3498"/>
    </row>
    <row r="3" spans="1:18">
      <c r="A3" s="3017" t="s">
        <v>2505</v>
      </c>
      <c r="B3" s="3018">
        <f>项目基本情况!D3</f>
        <v>45190</v>
      </c>
      <c r="C3" s="3020"/>
      <c r="D3" s="3020"/>
      <c r="E3" s="3020"/>
      <c r="F3" s="3016"/>
      <c r="I3" s="3436"/>
      <c r="J3" s="3436" t="s">
        <v>2588</v>
      </c>
      <c r="K3" s="3436" t="s">
        <v>2589</v>
      </c>
      <c r="L3" s="3436" t="s">
        <v>2590</v>
      </c>
      <c r="M3" s="3436" t="s">
        <v>2591</v>
      </c>
      <c r="N3" s="3437" t="s">
        <v>2592</v>
      </c>
      <c r="O3" s="3437" t="s">
        <v>2593</v>
      </c>
      <c r="P3" s="3437" t="s">
        <v>2594</v>
      </c>
      <c r="Q3" s="3437" t="s">
        <v>2595</v>
      </c>
      <c r="R3" s="3437" t="s">
        <v>2596</v>
      </c>
    </row>
    <row r="4" spans="1:18">
      <c r="A4" s="3017" t="s">
        <v>2506</v>
      </c>
      <c r="B4" s="3020" t="s">
        <v>2507</v>
      </c>
      <c r="C4" s="3020" t="s">
        <v>2508</v>
      </c>
      <c r="D4" s="3020" t="s">
        <v>2509</v>
      </c>
      <c r="E4" s="3020" t="s">
        <v>2510</v>
      </c>
      <c r="F4" s="3016"/>
      <c r="I4" s="3436" t="s">
        <v>2585</v>
      </c>
      <c r="J4" s="3436">
        <v>80</v>
      </c>
      <c r="K4" s="3436">
        <v>70</v>
      </c>
      <c r="L4" s="3436">
        <v>20</v>
      </c>
      <c r="M4" s="3436">
        <v>30</v>
      </c>
      <c r="N4" s="3020">
        <v>45</v>
      </c>
      <c r="O4" s="3020">
        <v>60</v>
      </c>
      <c r="P4" s="3020">
        <v>50</v>
      </c>
      <c r="Q4" s="3020">
        <v>20</v>
      </c>
      <c r="R4" s="3020">
        <v>375</v>
      </c>
    </row>
    <row r="5" spans="1:18">
      <c r="A5" s="3021">
        <v>40</v>
      </c>
      <c r="B5" s="3018">
        <v>46375</v>
      </c>
      <c r="C5" s="3020">
        <f>ROUNDDOWN(MIN((B5-B3)/365,A5),2)</f>
        <v>3.24</v>
      </c>
      <c r="D5" s="3022">
        <f>IF(ISERROR(ROUND(POWER(1+E5,A5-C5)*(POWER(1+E5,C5)-1)/(POWER(1+E5,A5)-1),3)),0,ROUND(POWER(1+E5,A5-C5)*(POWER(1+E5,C5)-1)/(POWER(1+E5,A5)-1),4))</f>
        <v>0.1507</v>
      </c>
      <c r="E5" s="3023">
        <v>0.04</v>
      </c>
      <c r="F5" s="3016"/>
      <c r="I5" s="3436" t="s">
        <v>2586</v>
      </c>
      <c r="J5" s="3436">
        <v>70</v>
      </c>
      <c r="K5" s="3436">
        <v>60</v>
      </c>
      <c r="L5" s="3436">
        <v>15</v>
      </c>
      <c r="M5" s="3436">
        <v>25</v>
      </c>
      <c r="N5" s="3020">
        <v>40</v>
      </c>
      <c r="O5" s="3020">
        <v>50</v>
      </c>
      <c r="P5" s="3020">
        <v>40</v>
      </c>
      <c r="Q5" s="3020">
        <v>15</v>
      </c>
      <c r="R5" s="3020">
        <v>315</v>
      </c>
    </row>
    <row r="6" spans="1:18">
      <c r="A6" s="3021">
        <v>50</v>
      </c>
      <c r="B6" s="3018">
        <v>50028</v>
      </c>
      <c r="C6" s="3020">
        <f>ROUNDDOWN(MIN((B6-B3)/365,A6),2)</f>
        <v>13.25</v>
      </c>
      <c r="D6" s="3022">
        <f>IF(ISERROR(ROUND(POWER(1+E6,A6-C6)*(POWER(1+E6,C6)-1)/(POWER(1+E6,A6)-1),3)),0,ROUND(POWER(1+E6,A6-C6)*(POWER(1+E6,C6)-1)/(POWER(1+E6,A6)-1),4))</f>
        <v>0.47170000000000001</v>
      </c>
      <c r="E6" s="3023">
        <v>0.04</v>
      </c>
      <c r="F6" s="3016"/>
      <c r="I6" s="3436" t="s">
        <v>2587</v>
      </c>
      <c r="J6" s="3436">
        <v>60</v>
      </c>
      <c r="K6" s="3436">
        <v>50</v>
      </c>
      <c r="L6" s="3436">
        <v>10</v>
      </c>
      <c r="M6" s="3436">
        <v>20</v>
      </c>
      <c r="N6" s="3020">
        <v>35</v>
      </c>
      <c r="O6" s="3020">
        <v>40</v>
      </c>
      <c r="P6" s="3020">
        <v>30</v>
      </c>
      <c r="Q6" s="3020">
        <v>10</v>
      </c>
      <c r="R6" s="3020">
        <v>255</v>
      </c>
    </row>
    <row r="7" spans="1:18">
      <c r="A7" s="3021">
        <v>70</v>
      </c>
      <c r="B7" s="3018">
        <v>57333</v>
      </c>
      <c r="C7" s="3020">
        <f>ROUNDDOWN(MIN((B7-B3)/365,A7),2)</f>
        <v>33.26</v>
      </c>
      <c r="D7" s="3022">
        <f>IF(ISERROR(ROUND(POWER(1+E7,A7-C7)*(POWER(1+E7,C7)-1)/(POWER(1+E7,A7)-1),3)),0,ROUND(POWER(1+E7,A7-C7)*(POWER(1+E7,C7)-1)/(POWER(1+E7,A7)-1),4))</f>
        <v>0.77869999999999995</v>
      </c>
      <c r="E7" s="3023">
        <v>0.04</v>
      </c>
      <c r="F7" s="3016"/>
    </row>
    <row r="8" spans="1:18">
      <c r="A8" s="3014"/>
      <c r="B8" s="3015"/>
      <c r="C8" s="3015"/>
      <c r="D8" s="3015"/>
      <c r="E8" s="3015"/>
      <c r="F8" s="3016"/>
    </row>
    <row r="9" spans="1:18">
      <c r="A9" s="3017" t="s">
        <v>2511</v>
      </c>
      <c r="B9" s="3020"/>
      <c r="C9" s="3020"/>
      <c r="D9" s="3020"/>
      <c r="E9" s="3020"/>
      <c r="F9" s="3024"/>
    </row>
    <row r="10" spans="1:18">
      <c r="A10" s="3017" t="s">
        <v>2512</v>
      </c>
      <c r="B10" s="3020"/>
      <c r="C10" s="3020"/>
      <c r="D10" s="3020" t="s">
        <v>2510</v>
      </c>
      <c r="E10" s="3020"/>
      <c r="F10" s="3024" t="s">
        <v>2509</v>
      </c>
    </row>
    <row r="11" spans="1:18">
      <c r="A11" s="3017" t="s">
        <v>2513</v>
      </c>
      <c r="B11" s="3025">
        <v>70</v>
      </c>
      <c r="C11" s="3020" t="s">
        <v>2514</v>
      </c>
      <c r="D11" s="3026">
        <v>4.4999999999999998E-2</v>
      </c>
      <c r="E11" s="3020" t="s">
        <v>2515</v>
      </c>
      <c r="F11" s="3027">
        <f>ROUND(1-(1/(POWER(1+D11,B11))),4)</f>
        <v>0.95409999999999995</v>
      </c>
    </row>
    <row r="12" spans="1:18">
      <c r="A12" s="3017" t="s">
        <v>2516</v>
      </c>
      <c r="B12" s="3025">
        <v>40</v>
      </c>
      <c r="C12" s="3020" t="s">
        <v>2517</v>
      </c>
      <c r="D12" s="3026">
        <v>4.4999999999999998E-2</v>
      </c>
      <c r="E12" s="3020" t="s">
        <v>2518</v>
      </c>
      <c r="F12" s="3027">
        <f>ROUND(1-(1/(POWER(1+D12,B12))),4)</f>
        <v>0.82809999999999995</v>
      </c>
    </row>
    <row r="13" spans="1:18">
      <c r="A13" s="3017" t="s">
        <v>2519</v>
      </c>
      <c r="B13" s="3020"/>
      <c r="C13" s="3020"/>
      <c r="D13" s="3015"/>
      <c r="E13" s="3015"/>
      <c r="F13" s="3016"/>
    </row>
    <row r="14" spans="1:18">
      <c r="A14" s="3017" t="s">
        <v>2520</v>
      </c>
      <c r="B14" s="3025">
        <v>5000</v>
      </c>
      <c r="C14" s="3019"/>
      <c r="D14" s="3015"/>
      <c r="E14" s="3015"/>
      <c r="F14" s="3016"/>
    </row>
    <row r="15" spans="1:18">
      <c r="A15" s="3017" t="s">
        <v>2521</v>
      </c>
      <c r="B15" s="3020">
        <f>ROUND(B14*F12/F11,2)</f>
        <v>4339.6899999999996</v>
      </c>
      <c r="C15" s="3020">
        <f>ROUND(F12/F11,4)</f>
        <v>0.8679</v>
      </c>
      <c r="D15" s="3015"/>
      <c r="E15" s="3015"/>
      <c r="F15" s="3016"/>
    </row>
    <row r="16" spans="1:18">
      <c r="A16" s="3017" t="s">
        <v>2522</v>
      </c>
      <c r="B16" s="3020"/>
      <c r="C16" s="3020"/>
      <c r="D16" s="3015"/>
      <c r="E16" s="3015"/>
      <c r="F16" s="3016"/>
    </row>
    <row r="17" spans="1:13">
      <c r="A17" s="3017" t="s">
        <v>2521</v>
      </c>
      <c r="B17" s="3026">
        <v>4810</v>
      </c>
      <c r="C17" s="3019"/>
      <c r="D17" s="3015"/>
      <c r="E17" s="3015"/>
      <c r="F17" s="3016"/>
    </row>
    <row r="18" spans="1:13" ht="14.25" thickBot="1">
      <c r="A18" s="3028" t="s">
        <v>2520</v>
      </c>
      <c r="B18" s="3029">
        <f>ROUND(B17*F11/F12,2)</f>
        <v>5541.87</v>
      </c>
      <c r="C18" s="3029">
        <f>ROUND(F11/F12,4)</f>
        <v>1.1521999999999999</v>
      </c>
      <c r="D18" s="3030"/>
      <c r="E18" s="3030"/>
      <c r="F18" s="3031"/>
    </row>
    <row r="19" spans="1:13" ht="14.25" thickBot="1"/>
    <row r="20" spans="1:13" s="3066" customFormat="1" ht="14.25" thickTop="1">
      <c r="A20" s="3063" t="s">
        <v>2523</v>
      </c>
      <c r="B20" s="3064"/>
      <c r="C20" s="3064"/>
      <c r="D20" s="3064"/>
      <c r="E20" s="3064"/>
      <c r="F20" s="3064"/>
      <c r="G20" s="3065"/>
      <c r="I20" s="3067" t="s">
        <v>2568</v>
      </c>
      <c r="J20" s="3067" t="s">
        <v>2573</v>
      </c>
      <c r="K20" s="3067"/>
      <c r="L20" s="3067"/>
      <c r="M20" s="3067"/>
    </row>
    <row r="21" spans="1:13">
      <c r="A21" s="3032"/>
      <c r="B21" s="3033" t="s">
        <v>2524</v>
      </c>
      <c r="C21" s="3033" t="s">
        <v>2525</v>
      </c>
      <c r="D21" s="3033" t="s">
        <v>2526</v>
      </c>
      <c r="E21" s="3033" t="s">
        <v>2527</v>
      </c>
      <c r="F21" s="3033" t="s">
        <v>2528</v>
      </c>
      <c r="G21" s="3034" t="s">
        <v>2529</v>
      </c>
      <c r="I21" s="3055">
        <v>5</v>
      </c>
      <c r="J21" s="3055">
        <v>54.2</v>
      </c>
    </row>
    <row r="22" spans="1:13">
      <c r="A22" s="3032" t="s">
        <v>2530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2571</v>
      </c>
      <c r="M23" s="3055" t="s">
        <v>2572</v>
      </c>
    </row>
    <row r="24" spans="1:13">
      <c r="A24" s="3032" t="s">
        <v>2532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2570</v>
      </c>
      <c r="M24" s="3055">
        <v>10</v>
      </c>
    </row>
    <row r="25" spans="1:13">
      <c r="A25" s="3032" t="s">
        <v>2533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2574</v>
      </c>
      <c r="M25" s="3055">
        <v>8</v>
      </c>
    </row>
    <row r="26" spans="1:13">
      <c r="A26" s="3037"/>
      <c r="B26" s="3038"/>
      <c r="C26" s="3038"/>
      <c r="D26" s="3038"/>
      <c r="E26" s="3038"/>
      <c r="F26" s="3038"/>
      <c r="G26" s="3039"/>
      <c r="I26" s="3055">
        <v>30</v>
      </c>
      <c r="J26" s="3055">
        <v>90.5</v>
      </c>
      <c r="K26" s="3055">
        <f t="shared" si="2"/>
        <v>4.2000000000000028</v>
      </c>
      <c r="L26" s="3055" t="s">
        <v>2575</v>
      </c>
      <c r="M26" s="3055">
        <v>5</v>
      </c>
    </row>
    <row r="27" spans="1:13">
      <c r="A27" s="3037" t="s">
        <v>2534</v>
      </c>
      <c r="B27" s="3038"/>
      <c r="C27" s="3038"/>
      <c r="D27" s="3038"/>
      <c r="E27" s="3038"/>
      <c r="F27" s="3038"/>
      <c r="G27" s="3039"/>
      <c r="I27" s="3055">
        <v>35</v>
      </c>
      <c r="J27" s="3055">
        <v>93.8</v>
      </c>
      <c r="K27" s="3055">
        <f t="shared" si="2"/>
        <v>3.2999999999999972</v>
      </c>
      <c r="L27" s="3055" t="s">
        <v>2576</v>
      </c>
      <c r="M27" s="3055">
        <v>3</v>
      </c>
    </row>
    <row r="28" spans="1:13">
      <c r="A28" s="3037" t="s">
        <v>2535</v>
      </c>
      <c r="B28" s="3038"/>
      <c r="C28" s="3038"/>
      <c r="D28" s="3038"/>
      <c r="E28" s="3038"/>
      <c r="F28" s="3038"/>
      <c r="G28" s="3039"/>
      <c r="I28" s="3055">
        <v>40</v>
      </c>
      <c r="J28" s="3055">
        <v>96.4</v>
      </c>
      <c r="K28" s="3055">
        <f t="shared" si="2"/>
        <v>2.6000000000000085</v>
      </c>
      <c r="L28" s="3055" t="s">
        <v>2577</v>
      </c>
      <c r="M28" s="3055">
        <v>2</v>
      </c>
    </row>
    <row r="29" spans="1:13">
      <c r="A29" s="3037" t="s">
        <v>2536</v>
      </c>
      <c r="B29" s="3038"/>
      <c r="C29" s="3038"/>
      <c r="D29" s="3038"/>
      <c r="E29" s="3038"/>
      <c r="F29" s="3038"/>
      <c r="G29" s="3039"/>
      <c r="I29" s="3055">
        <v>45</v>
      </c>
      <c r="J29" s="3055">
        <v>98.4</v>
      </c>
      <c r="K29" s="3055">
        <f t="shared" si="2"/>
        <v>2</v>
      </c>
    </row>
    <row r="30" spans="1:13">
      <c r="A30" s="3037" t="s">
        <v>2537</v>
      </c>
      <c r="B30" s="3038"/>
      <c r="C30" s="3038"/>
      <c r="D30" s="3038"/>
      <c r="E30" s="3038"/>
      <c r="F30" s="3038"/>
      <c r="G30" s="3039"/>
      <c r="I30" s="3055">
        <v>50</v>
      </c>
      <c r="J30" s="3055">
        <v>100</v>
      </c>
      <c r="K30" s="3055">
        <f t="shared" si="2"/>
        <v>1.5999999999999943</v>
      </c>
    </row>
    <row r="31" spans="1:13">
      <c r="A31" s="3037" t="s">
        <v>2538</v>
      </c>
      <c r="B31" s="3038"/>
      <c r="C31" s="3038"/>
      <c r="D31" s="3038"/>
      <c r="E31" s="3038"/>
      <c r="F31" s="3038"/>
      <c r="G31" s="3039"/>
      <c r="I31" s="3055" t="s">
        <v>2569</v>
      </c>
    </row>
    <row r="32" spans="1:13">
      <c r="A32" s="3037" t="s">
        <v>2539</v>
      </c>
      <c r="B32" s="3038"/>
      <c r="C32" s="3038"/>
      <c r="D32" s="3038"/>
      <c r="E32" s="3038"/>
      <c r="F32" s="3038"/>
      <c r="G32" s="3039"/>
    </row>
    <row r="33" spans="1:13">
      <c r="A33" s="3037" t="s">
        <v>2540</v>
      </c>
      <c r="B33" s="3038"/>
      <c r="C33" s="3038"/>
      <c r="D33" s="3038"/>
      <c r="E33" s="3038"/>
      <c r="F33" s="3038"/>
      <c r="G33" s="3039"/>
      <c r="I33" s="3055" t="s">
        <v>2568</v>
      </c>
      <c r="J33" s="3055" t="s">
        <v>2578</v>
      </c>
    </row>
    <row r="34" spans="1:13">
      <c r="A34" s="3037" t="s">
        <v>2541</v>
      </c>
      <c r="B34" s="3038"/>
      <c r="C34" s="3038"/>
      <c r="D34" s="3038"/>
      <c r="E34" s="3038"/>
      <c r="F34" s="3038"/>
      <c r="G34" s="3039"/>
      <c r="I34" s="3055">
        <v>5</v>
      </c>
      <c r="J34" s="3055">
        <v>55.1</v>
      </c>
    </row>
    <row r="35" spans="1:13">
      <c r="A35" s="3037" t="s">
        <v>2542</v>
      </c>
      <c r="B35" s="3038"/>
      <c r="C35" s="3038"/>
      <c r="D35" s="3038"/>
      <c r="E35" s="3038"/>
      <c r="F35" s="3038"/>
      <c r="G35" s="3039"/>
      <c r="I35" s="3055">
        <v>10</v>
      </c>
      <c r="J35" s="3055">
        <v>67</v>
      </c>
      <c r="K35" s="3055">
        <f>J35-J34</f>
        <v>11.899999999999999</v>
      </c>
    </row>
    <row r="36" spans="1:13">
      <c r="A36" s="3037" t="s">
        <v>2543</v>
      </c>
      <c r="B36" s="3038"/>
      <c r="C36" s="3038"/>
      <c r="D36" s="3038"/>
      <c r="E36" s="3038"/>
      <c r="F36" s="3038"/>
      <c r="G36" s="3039"/>
      <c r="I36" s="3055">
        <v>15</v>
      </c>
      <c r="J36" s="3055">
        <v>76.3</v>
      </c>
      <c r="K36" s="3055">
        <f t="shared" ref="K36:K41" si="3">J36-J35</f>
        <v>9.2999999999999972</v>
      </c>
      <c r="L36" s="3055" t="s">
        <v>2571</v>
      </c>
      <c r="M36" s="3055" t="s">
        <v>2572</v>
      </c>
    </row>
    <row r="37" spans="1:13">
      <c r="A37" s="3037" t="s">
        <v>2544</v>
      </c>
      <c r="B37" s="3038"/>
      <c r="C37" s="3038"/>
      <c r="D37" s="3038"/>
      <c r="E37" s="3038"/>
      <c r="F37" s="3038"/>
      <c r="G37" s="3039"/>
      <c r="I37" s="3055">
        <v>20</v>
      </c>
      <c r="J37" s="3055">
        <v>83.6</v>
      </c>
      <c r="K37" s="3055">
        <f t="shared" si="3"/>
        <v>7.2999999999999972</v>
      </c>
      <c r="L37" s="3055" t="s">
        <v>2570</v>
      </c>
      <c r="M37" s="3055">
        <v>10</v>
      </c>
    </row>
    <row r="38" spans="1:13">
      <c r="A38" s="3037" t="s">
        <v>2545</v>
      </c>
      <c r="B38" s="3038"/>
      <c r="C38" s="3038"/>
      <c r="D38" s="3038"/>
      <c r="E38" s="3038"/>
      <c r="F38" s="3038"/>
      <c r="G38" s="3039"/>
      <c r="I38" s="3055">
        <v>25</v>
      </c>
      <c r="J38" s="3055">
        <v>89.3</v>
      </c>
      <c r="K38" s="3055">
        <f t="shared" si="3"/>
        <v>5.7000000000000028</v>
      </c>
      <c r="L38" s="3055" t="s">
        <v>2574</v>
      </c>
      <c r="M38" s="3055">
        <v>8</v>
      </c>
    </row>
    <row r="39" spans="1:13">
      <c r="A39" s="3037"/>
      <c r="B39" s="3038"/>
      <c r="C39" s="3038"/>
      <c r="D39" s="3038"/>
      <c r="E39" s="3038"/>
      <c r="F39" s="3038"/>
      <c r="G39" s="3039"/>
      <c r="I39" s="3055">
        <v>30</v>
      </c>
      <c r="J39" s="3055">
        <v>93.8</v>
      </c>
      <c r="K39" s="3055">
        <f t="shared" si="3"/>
        <v>4.5</v>
      </c>
      <c r="L39" s="3055" t="s">
        <v>2575</v>
      </c>
      <c r="M39" s="3055">
        <v>6</v>
      </c>
    </row>
    <row r="40" spans="1:13">
      <c r="A40" s="3040" t="s">
        <v>2546</v>
      </c>
      <c r="B40" s="3041"/>
      <c r="C40" s="3041"/>
      <c r="D40" s="3041"/>
      <c r="E40" s="3041"/>
      <c r="F40" s="3041"/>
      <c r="G40" s="3042"/>
      <c r="I40" s="3055">
        <v>35</v>
      </c>
      <c r="J40" s="3055">
        <v>97.2</v>
      </c>
      <c r="K40" s="3055">
        <f t="shared" si="3"/>
        <v>3.4000000000000057</v>
      </c>
      <c r="L40" s="3055" t="s">
        <v>2576</v>
      </c>
      <c r="M40" s="3055">
        <v>3</v>
      </c>
    </row>
    <row r="41" spans="1:13">
      <c r="A41" s="3043" t="s">
        <v>2547</v>
      </c>
      <c r="B41" s="3044" t="s">
        <v>2548</v>
      </c>
      <c r="C41" s="3045" t="s">
        <v>2549</v>
      </c>
      <c r="D41" s="3045" t="s">
        <v>2550</v>
      </c>
      <c r="E41" s="3046"/>
      <c r="F41" s="3047"/>
      <c r="G41" s="3048"/>
      <c r="I41" s="3055">
        <v>40</v>
      </c>
      <c r="J41" s="3055">
        <v>100</v>
      </c>
      <c r="K41" s="3055">
        <f t="shared" si="3"/>
        <v>2.7999999999999972</v>
      </c>
    </row>
    <row r="42" spans="1:13">
      <c r="A42" s="3043" t="s">
        <v>2551</v>
      </c>
      <c r="B42" s="3044" t="s">
        <v>2552</v>
      </c>
      <c r="C42" s="3045" t="s">
        <v>2553</v>
      </c>
      <c r="D42" s="3049" t="s">
        <v>2554</v>
      </c>
      <c r="E42" s="3041" t="s">
        <v>2555</v>
      </c>
      <c r="F42" s="3041"/>
      <c r="G42" s="3042"/>
    </row>
    <row r="43" spans="1:13">
      <c r="A43" s="3043" t="s">
        <v>2556</v>
      </c>
      <c r="B43" s="3044" t="s">
        <v>2557</v>
      </c>
      <c r="C43" s="3045" t="s">
        <v>2558</v>
      </c>
      <c r="D43" s="3045" t="s">
        <v>2559</v>
      </c>
      <c r="E43" s="3046" t="s">
        <v>2560</v>
      </c>
      <c r="F43" s="3047"/>
      <c r="G43" s="3048"/>
      <c r="I43" s="3055" t="s">
        <v>2568</v>
      </c>
      <c r="J43" s="3055" t="s">
        <v>2579</v>
      </c>
    </row>
    <row r="44" spans="1:13">
      <c r="A44" s="3043" t="s">
        <v>2561</v>
      </c>
      <c r="B44" s="3044" t="s">
        <v>2562</v>
      </c>
      <c r="C44" s="3045" t="s">
        <v>2563</v>
      </c>
      <c r="D44" s="3049">
        <v>0.5</v>
      </c>
      <c r="E44" s="3046" t="s">
        <v>2564</v>
      </c>
      <c r="F44" s="3047"/>
      <c r="G44" s="3048"/>
      <c r="I44" s="3055">
        <v>30</v>
      </c>
      <c r="J44" s="3055">
        <v>81.7</v>
      </c>
    </row>
    <row r="45" spans="1:13" ht="14.25" thickBot="1">
      <c r="A45" s="3050" t="s">
        <v>2565</v>
      </c>
      <c r="B45" s="3051" t="s">
        <v>2552</v>
      </c>
      <c r="C45" s="3052" t="s">
        <v>2552</v>
      </c>
      <c r="D45" s="3052" t="s">
        <v>2566</v>
      </c>
      <c r="E45" s="3053" t="s">
        <v>2567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22" zoomScaleNormal="100" zoomScaleSheetLayoutView="10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北京市北京经济技术开发区西环南路26号院20幢工业用房房地产抵押价值预评估</v>
      </c>
      <c r="C1" s="3508"/>
      <c r="D1" s="3508"/>
      <c r="E1" s="3508"/>
      <c r="F1" s="3508"/>
      <c r="G1" s="3508"/>
      <c r="H1" s="3508"/>
      <c r="I1" s="350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北京市北京经济技术开发区西环南路26号院20幢工业用房房地产抵押价值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北京市北京经济技术开发区西环南路26号院20幢工业用房房地产</v>
      </c>
      <c r="T2" s="1745"/>
      <c r="U2" s="1745"/>
      <c r="V2" s="1745"/>
      <c r="W2" s="1745"/>
      <c r="X2" s="1745"/>
      <c r="Y2" s="1745"/>
      <c r="Z2" s="1745"/>
      <c r="AA2" s="1745"/>
      <c r="AB2" s="1745"/>
    </row>
    <row r="3" spans="1:30">
      <c r="A3" s="302" t="s">
        <v>2170</v>
      </c>
      <c r="B3" s="2373">
        <v>45190</v>
      </c>
      <c r="C3" s="2374" t="s">
        <v>2171</v>
      </c>
      <c r="D3" s="2373">
        <f>B3</f>
        <v>45190</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4.25" thickTop="1" thickBot="1">
      <c r="A5" s="2379" t="s">
        <v>2173</v>
      </c>
      <c r="B5" s="3447" t="s">
        <v>3384</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2174</v>
      </c>
      <c r="B6" s="3447" t="s">
        <v>3384</v>
      </c>
      <c r="C6" s="2383"/>
      <c r="D6" s="2384"/>
      <c r="E6" s="2659"/>
      <c r="F6" s="2661"/>
      <c r="G6" s="2661"/>
      <c r="H6" s="2661"/>
      <c r="I6" s="2661"/>
      <c r="J6" s="2436"/>
      <c r="K6" s="2612" t="str">
        <f>IF(COUNTIF(B6,"*上海银行*"),"上海银行","")</f>
        <v/>
      </c>
      <c r="L6" s="2610"/>
      <c r="M6" s="2610"/>
      <c r="N6" s="2436"/>
      <c r="O6" s="2447"/>
      <c r="P6" s="2436"/>
      <c r="Q6" s="2436"/>
      <c r="R6" s="2436"/>
    </row>
    <row r="7" spans="1:30">
      <c r="A7" s="2382" t="s">
        <v>2175</v>
      </c>
      <c r="B7" s="3448" t="s">
        <v>3385</v>
      </c>
      <c r="C7" s="2383"/>
      <c r="D7" s="2384"/>
      <c r="E7" s="2659"/>
      <c r="F7" s="2661"/>
      <c r="G7" s="2661"/>
      <c r="H7" s="2661"/>
      <c r="I7" s="2661"/>
      <c r="J7" s="2436"/>
      <c r="K7" s="2613"/>
      <c r="L7" s="2610"/>
      <c r="M7" s="2610"/>
      <c r="N7" s="2436"/>
      <c r="O7" s="2447"/>
      <c r="P7" s="2436"/>
      <c r="Q7" s="2436"/>
      <c r="R7" s="2436"/>
    </row>
    <row r="8" spans="1:30">
      <c r="A8" s="2385" t="s">
        <v>2176</v>
      </c>
      <c r="B8" s="2386" t="s">
        <v>3382</v>
      </c>
      <c r="C8" s="2387"/>
      <c r="D8" s="3510" t="s">
        <v>2177</v>
      </c>
      <c r="E8" s="2388" t="s">
        <v>3383</v>
      </c>
      <c r="F8" s="2389"/>
      <c r="G8" s="2660"/>
      <c r="H8" s="2660"/>
      <c r="I8" s="2660"/>
      <c r="J8" s="2436"/>
      <c r="K8" s="2611"/>
      <c r="L8" s="2610"/>
      <c r="M8" s="2610"/>
      <c r="N8" s="2436"/>
      <c r="O8" s="2447"/>
      <c r="P8" s="2436"/>
      <c r="Q8" s="2436"/>
      <c r="R8" s="2436"/>
    </row>
    <row r="9" spans="1:30" ht="13.5" thickBot="1">
      <c r="A9" s="2390" t="s">
        <v>2178</v>
      </c>
      <c r="B9" s="2391" t="s">
        <v>3383</v>
      </c>
      <c r="C9" s="2392"/>
      <c r="D9" s="3511"/>
      <c r="E9" s="2391"/>
      <c r="F9" s="2393"/>
      <c r="G9" s="2662"/>
      <c r="H9" s="2662"/>
      <c r="I9" s="2662"/>
      <c r="J9" s="2436"/>
      <c r="K9" s="2613"/>
      <c r="L9" s="2610"/>
      <c r="M9" s="2610"/>
      <c r="N9" s="2436"/>
      <c r="O9" s="2447"/>
      <c r="P9" s="2436"/>
      <c r="Q9" s="2436"/>
      <c r="R9" s="2436"/>
    </row>
    <row r="10" spans="1:30" ht="13.5" thickTop="1">
      <c r="A10" s="2394" t="s">
        <v>2179</v>
      </c>
      <c r="B10" s="2395" t="s">
        <v>3386</v>
      </c>
      <c r="C10" s="2396"/>
      <c r="D10" s="2381"/>
      <c r="E10" s="2397" t="s">
        <v>2180</v>
      </c>
      <c r="F10" s="2663" t="s">
        <v>3406</v>
      </c>
      <c r="G10" s="2664"/>
      <c r="H10" s="2665"/>
      <c r="I10" s="2666"/>
      <c r="J10" s="2436"/>
      <c r="K10" s="2613"/>
      <c r="L10" s="2610"/>
      <c r="M10" s="2610"/>
      <c r="N10" s="2436"/>
      <c r="O10" s="2447"/>
      <c r="P10" s="2436"/>
      <c r="Q10" s="2436"/>
      <c r="R10" s="2436"/>
    </row>
    <row r="11" spans="1:30">
      <c r="A11" s="2398" t="s">
        <v>2181</v>
      </c>
      <c r="B11" s="2399" t="s">
        <v>3387</v>
      </c>
      <c r="C11" s="2400"/>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2580</v>
      </c>
      <c r="J12" s="3059"/>
      <c r="K12" s="2610"/>
      <c r="L12" s="2610"/>
      <c r="M12" s="2436"/>
      <c r="N12" s="2447"/>
      <c r="O12" s="2436"/>
      <c r="P12" s="2436"/>
      <c r="Q12" s="2436"/>
      <c r="AD12" s="1745"/>
    </row>
    <row r="13" spans="1:30">
      <c r="A13" s="3420" t="s">
        <v>3338</v>
      </c>
      <c r="B13" s="2404" t="s">
        <v>2190</v>
      </c>
      <c r="C13" s="856"/>
      <c r="D13" s="856"/>
      <c r="E13" s="856"/>
      <c r="F13" s="856"/>
      <c r="G13" s="856"/>
      <c r="H13" s="856">
        <v>56872</v>
      </c>
      <c r="I13" s="856"/>
      <c r="J13" s="3059"/>
      <c r="K13" s="2610"/>
      <c r="L13" s="2610"/>
      <c r="M13" s="2436"/>
      <c r="N13" s="2447"/>
      <c r="O13" s="2436"/>
      <c r="P13" s="2436"/>
      <c r="Q13" s="2436"/>
      <c r="AD13" s="1745"/>
    </row>
    <row r="14" spans="1:30">
      <c r="A14" s="1081"/>
      <c r="B14" s="2404" t="s">
        <v>2191</v>
      </c>
      <c r="C14" s="2405"/>
      <c r="D14" s="2405"/>
      <c r="E14" s="2405"/>
      <c r="F14" s="2405"/>
      <c r="G14" s="2405"/>
      <c r="H14" s="2405">
        <v>50</v>
      </c>
      <c r="I14" s="2405"/>
      <c r="J14" s="3060"/>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v>
      </c>
      <c r="I15" s="2407" t="str">
        <f>IF(A13="出让",IF(I13="","",ROUNDDOWN(MIN((I13-$D$3)/365,I14),2)),I14)</f>
        <v/>
      </c>
      <c r="J15" s="3061"/>
      <c r="K15" s="2448"/>
      <c r="L15" s="2448"/>
      <c r="M15" s="2506"/>
      <c r="N15" s="2448"/>
      <c r="O15" s="2506"/>
      <c r="P15" s="2436"/>
      <c r="Q15" s="2436"/>
      <c r="AD15" s="1745"/>
    </row>
    <row r="16" spans="1:30">
      <c r="A16" s="2397" t="s">
        <v>2193</v>
      </c>
      <c r="B16" s="3517"/>
      <c r="C16" s="3518"/>
      <c r="D16" s="3519"/>
      <c r="E16" s="2410" t="s">
        <v>2194</v>
      </c>
      <c r="F16" s="3520"/>
      <c r="G16" s="3521"/>
      <c r="H16" s="3521"/>
      <c r="I16" s="3522"/>
      <c r="J16" s="2436"/>
      <c r="K16" s="2614"/>
      <c r="L16" s="2448"/>
      <c r="M16" s="2448"/>
      <c r="N16" s="2506"/>
      <c r="O16" s="2448"/>
      <c r="P16" s="2506"/>
      <c r="Q16" s="2436"/>
      <c r="R16" s="2436"/>
    </row>
    <row r="17" spans="1:28">
      <c r="A17" s="313" t="s">
        <v>2195</v>
      </c>
      <c r="B17" s="302" t="s">
        <v>2196</v>
      </c>
      <c r="C17" s="8">
        <f>'数据-汇总表'!E3</f>
        <v>1726.61</v>
      </c>
      <c r="D17" s="2322" t="s">
        <v>2197</v>
      </c>
      <c r="E17" s="3523" t="s">
        <v>2198</v>
      </c>
      <c r="F17" s="3524"/>
      <c r="G17" s="3524"/>
      <c r="H17" s="3524"/>
      <c r="I17" s="3525"/>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26" t="s">
        <v>2202</v>
      </c>
      <c r="F18" s="3527"/>
      <c r="G18" s="3527"/>
      <c r="H18" s="3527"/>
      <c r="I18" s="3528"/>
      <c r="J18" s="2436"/>
      <c r="K18" s="2615"/>
      <c r="L18" s="2448"/>
      <c r="M18" s="2448"/>
      <c r="N18" s="2506"/>
      <c r="O18" s="2448"/>
      <c r="P18" s="2506"/>
      <c r="Q18" s="2436"/>
      <c r="R18" s="2436"/>
      <c r="S18" s="2436"/>
      <c r="T18" s="2436"/>
      <c r="U18" s="2436"/>
      <c r="V18" s="2436"/>
    </row>
    <row r="19" spans="1:28" ht="39.75" thickTop="1" thickBot="1">
      <c r="A19" s="327" t="s">
        <v>1055</v>
      </c>
      <c r="B19" s="307" t="s">
        <v>2203</v>
      </c>
      <c r="C19" s="1563" t="s">
        <v>3388</v>
      </c>
      <c r="D19" s="1564" t="s">
        <v>2204</v>
      </c>
      <c r="E19" s="1565" t="s">
        <v>3389</v>
      </c>
      <c r="F19" s="1566" t="str">
        <f>IF(AND(C19="是",E19="否"),"是否提供他项权证或相关说明","")</f>
        <v>是否提供他项权证或相关说明</v>
      </c>
      <c r="G19" s="1567" t="s">
        <v>3389</v>
      </c>
      <c r="H19" s="2661"/>
      <c r="I19" s="2661"/>
      <c r="J19" s="2436"/>
      <c r="K19" s="2613"/>
      <c r="L19" s="2610"/>
      <c r="M19" s="2610"/>
      <c r="N19" s="2506"/>
      <c r="O19" s="2448"/>
      <c r="P19" s="2506"/>
      <c r="Q19" s="2436"/>
      <c r="R19" s="2436"/>
      <c r="S19" s="2436"/>
      <c r="T19" s="2436"/>
      <c r="U19" s="2436"/>
      <c r="V19" s="2436"/>
    </row>
    <row r="20" spans="1:28">
      <c r="A20" s="2629" t="s">
        <v>2205</v>
      </c>
      <c r="B20" s="3513" t="s">
        <v>2206</v>
      </c>
      <c r="C20" s="3514"/>
      <c r="D20" s="3515" t="s">
        <v>2207</v>
      </c>
      <c r="E20" s="3516"/>
      <c r="F20" s="2644" t="s">
        <v>1056</v>
      </c>
      <c r="G20" s="2661"/>
      <c r="H20" s="2661"/>
      <c r="I20" s="2661"/>
      <c r="J20" s="2436"/>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0" t="s">
        <v>2214</v>
      </c>
      <c r="B27" s="320" t="s">
        <v>2215</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0"/>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0"/>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1"/>
      <c r="B30" s="302" t="s">
        <v>2218</v>
      </c>
      <c r="C30" s="3502"/>
      <c r="D30" s="3503"/>
      <c r="E30" s="2661"/>
      <c r="F30" s="2661"/>
      <c r="G30" s="2661"/>
      <c r="H30" s="2661"/>
      <c r="I30" s="2661"/>
      <c r="J30" s="2436"/>
      <c r="K30" s="2613"/>
      <c r="L30" s="2610"/>
      <c r="M30" s="2610"/>
      <c r="N30" s="2436"/>
      <c r="O30" s="2447"/>
      <c r="P30" s="2436"/>
      <c r="Q30" s="2436"/>
      <c r="R30" s="2436"/>
      <c r="S30" s="2436"/>
      <c r="T30" s="2436"/>
      <c r="U30" s="2436"/>
      <c r="V30" s="2436"/>
    </row>
    <row r="31" spans="1:28">
      <c r="A31" s="3504" t="s">
        <v>2219</v>
      </c>
      <c r="B31" s="2419" t="s">
        <v>3398</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5"/>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3393</v>
      </c>
      <c r="C34" s="2026" t="s">
        <v>3394</v>
      </c>
      <c r="D34" s="2026" t="s">
        <v>3395</v>
      </c>
      <c r="E34" s="2026" t="s">
        <v>3396</v>
      </c>
      <c r="F34" s="2026" t="s">
        <v>3397</v>
      </c>
      <c r="G34" s="2026"/>
      <c r="H34" s="2026"/>
      <c r="I34" s="2661"/>
      <c r="J34" s="2436"/>
      <c r="K34" s="2424">
        <f>COUNTIF(B34:H34,"——")</f>
        <v>0</v>
      </c>
      <c r="L34" s="323" t="s">
        <v>2221</v>
      </c>
      <c r="M34" s="323" t="s">
        <v>2222</v>
      </c>
      <c r="N34" s="323" t="s">
        <v>2223</v>
      </c>
      <c r="O34" s="323" t="s">
        <v>2224</v>
      </c>
      <c r="P34" s="323" t="s">
        <v>2225</v>
      </c>
      <c r="Q34" s="323" t="s">
        <v>2226</v>
      </c>
      <c r="R34" s="323" t="s">
        <v>2227</v>
      </c>
      <c r="S34" s="3499" t="s">
        <v>2228</v>
      </c>
      <c r="T34" s="2425" t="str">
        <f>NUMBERSTRING(7-K34,1)&amp;"通"</f>
        <v>七通</v>
      </c>
      <c r="U34" s="2436"/>
      <c r="V34" s="2436"/>
    </row>
    <row r="35" spans="1:30">
      <c r="A35" s="2426"/>
      <c r="B35" s="3506" t="s">
        <v>2229</v>
      </c>
      <c r="C35" s="3506"/>
      <c r="D35" s="3506"/>
      <c r="E35" s="3506"/>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9"/>
      <c r="T35" s="329" t="str">
        <f>IF(T34="一通",L35,IF(T34="二通",M35,IF(T34="三通",N35,IF(T34="四通",O35,IF(T34="五通",P35,IF(T34="六通",Q35,R35))))))</f>
        <v>通路、通电、通讯、通上水、通下水、、</v>
      </c>
      <c r="U35" s="2436"/>
      <c r="V35" s="2436"/>
    </row>
    <row r="36" spans="1:30">
      <c r="A36" s="2427"/>
      <c r="B36" s="664" t="s">
        <v>2185</v>
      </c>
      <c r="C36" s="664" t="s">
        <v>2186</v>
      </c>
      <c r="D36" s="664" t="s">
        <v>2184</v>
      </c>
      <c r="E36" s="664" t="s">
        <v>2189</v>
      </c>
      <c r="F36" s="3062"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3430</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1726.61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1726.61</v>
      </c>
      <c r="H5" s="13">
        <f t="shared" ref="H5:AT5" si="0">SUM(H13:H656)</f>
        <v>1726.61</v>
      </c>
      <c r="I5" s="13">
        <f t="shared" si="0"/>
        <v>1726.61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1726.61</v>
      </c>
      <c r="BA5" s="15">
        <f t="shared" si="1"/>
        <v>1726.61</v>
      </c>
      <c r="BB5" s="15">
        <f t="shared" si="1"/>
        <v>1726.61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3392</v>
      </c>
      <c r="D13" s="1625" t="s">
        <v>3388</v>
      </c>
      <c r="E13" s="13">
        <f>IF($C$3="是",ROUND($A$3*G13/$B$3,2),ROUND($A$3*(G13-AT13)/$B$3,2))</f>
        <v>0</v>
      </c>
      <c r="F13" s="29"/>
      <c r="G13" s="30">
        <f>H13+AC13+AT13</f>
        <v>1726.61</v>
      </c>
      <c r="H13" s="17">
        <f>SUMIF(I$12:AB$12,"总值",I13:AB13)</f>
        <v>1726.61</v>
      </c>
      <c r="I13" s="1626">
        <v>1726.61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工业用房</v>
      </c>
      <c r="AY13" s="1349">
        <f>ROUND($AY$6*AZ13/$AZ$5,2)</f>
        <v>0</v>
      </c>
      <c r="AZ13" s="13">
        <f>BA13+BL13</f>
        <v>1726.61</v>
      </c>
      <c r="BA13" s="13">
        <f>SUM(BB13:BK13)</f>
        <v>1726.61</v>
      </c>
      <c r="BB13" s="13">
        <f>IF($D13="是",I13-J13,0)</f>
        <v>1726.61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1726.61</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1726.61</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1726.61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1726.61</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3400</v>
      </c>
      <c r="D19" s="45">
        <f>ROUND($D$3*E19/$E$3,2)</f>
        <v>0</v>
      </c>
      <c r="E19" s="53">
        <f t="shared" ref="E19:E26" si="1">SUM(F19:G19)</f>
        <v>1726.61</v>
      </c>
      <c r="F19" s="2792">
        <f>'数据-基础表'!I13</f>
        <v>1726.61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1726.61</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1726.61</v>
      </c>
      <c r="F27" s="1140">
        <f>IF(SUM(F19:F26)=E8,SUM(F19:F26),"地上面积有误")</f>
        <v>1726.61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1726.61</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1726.61</v>
      </c>
      <c r="F31" s="677">
        <f>F27+F30</f>
        <v>1726.61</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56872</v>
      </c>
      <c r="F6" s="64">
        <f>SUMIF(项目基本情况!C$12:I$12,C6,项目基本情况!C$15:I$15)</f>
        <v>32</v>
      </c>
      <c r="G6" s="65">
        <f>IF(ISERROR(ROUND(POWER(1+H6,D6-F6)*(POWER(1+H6,F6)-1)/(POWER(1+H6,D6)-1),3)),0,ROUND(POWER(1+H6,D6-F6)*(POWER(1+H6,F6)-1)/(POWER(1+H6,D6)-1),3))</f>
        <v>0.86599999999999999</v>
      </c>
      <c r="H6" s="732">
        <v>0.05</v>
      </c>
      <c r="I6" s="732">
        <v>5.5E-2</v>
      </c>
      <c r="J6" s="66">
        <v>7.0000000000000007E-2</v>
      </c>
      <c r="K6" s="1030">
        <f>SUMIF('数据-汇总表'!C$19:C$33,A6,'数据-汇总表'!E$19:E$33)</f>
        <v>1726.61</v>
      </c>
      <c r="L6" s="733">
        <v>3500</v>
      </c>
      <c r="M6" s="67">
        <f t="shared" ref="M6:M14" si="0">ROUND(K6*L6/10000,0)</f>
        <v>604</v>
      </c>
      <c r="N6" s="731">
        <f>N18</f>
        <v>0.72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5">
        <v>2.5</v>
      </c>
      <c r="V6" s="70">
        <v>0.02</v>
      </c>
      <c r="W6" s="70">
        <v>0.1</v>
      </c>
      <c r="X6" s="1040"/>
      <c r="Y6" s="71">
        <f>N6</f>
        <v>0.72</v>
      </c>
      <c r="Z6" s="72"/>
      <c r="AA6" s="66"/>
      <c r="AB6" s="66"/>
      <c r="AC6" s="1040"/>
      <c r="AD6" s="73"/>
      <c r="AE6" s="1041">
        <f ca="1">IF(AN6="",0,SUMIF(INDIRECT("'"&amp;AN6&amp;"'"&amp;"!E:E"),$AE$5,INDIRECT("'"&amp;AN6&amp;"'"&amp;"!F:F")))</f>
        <v>32</v>
      </c>
      <c r="AF6" s="1348"/>
      <c r="AG6" s="138">
        <f>IF(AF6="",0,AE6-AF6)</f>
        <v>0</v>
      </c>
      <c r="AH6" s="74"/>
      <c r="AI6" s="76">
        <v>365</v>
      </c>
      <c r="AJ6" s="77"/>
      <c r="AK6" s="78">
        <v>5.0000000000000001E-3</v>
      </c>
      <c r="AL6" s="79">
        <v>1E-3</v>
      </c>
      <c r="AM6" s="80">
        <v>0.01</v>
      </c>
      <c r="AN6" s="1715" t="s">
        <v>3402</v>
      </c>
      <c r="AO6" s="52">
        <f ca="1">SUMIF(INDIRECT("'"&amp;AN6&amp;"'"&amp;"!A:A"),"总价",INDIRECT("'"&amp;AN6&amp;"'"&amp;"!B:B"))</f>
        <v>2146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1726.61</v>
      </c>
      <c r="L16" s="93">
        <f>ROUND(M16*10000/SUM(K6:K14),0)</f>
        <v>3498</v>
      </c>
      <c r="M16" s="93">
        <f>SUM(M6:M14)</f>
        <v>604</v>
      </c>
      <c r="N16" s="94">
        <f>ROUND(SUMPRODUCT(M6:M14,N6:N14)/M16,3)</f>
        <v>0.72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ROUND(1-(2023-2006)/60,2)</f>
        <v>0.72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0</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0</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1</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173</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2314</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5" sqref="K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1726.61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45190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2573</v>
      </c>
      <c r="C5" s="2509">
        <f ca="1">IF(B5=D14,结果表!H102,ROUND(B5*10000/$B$1,0))</f>
        <v>14902</v>
      </c>
      <c r="D5" s="2509" t="e">
        <f ca="1">ROUND(B5*10000/$B$2,0)</f>
        <v>#DIV/0!</v>
      </c>
      <c r="E5" s="2683"/>
      <c r="F5" s="2684"/>
      <c r="G5" s="2684"/>
      <c r="H5" s="2685"/>
      <c r="I5" s="2685"/>
      <c r="J5" s="2685"/>
      <c r="K5" s="2685"/>
    </row>
    <row r="6" spans="1:11" ht="16.5">
      <c r="A6" s="2509" t="s">
        <v>656</v>
      </c>
      <c r="B6" s="2509">
        <f ca="1">SUM(G14:G23)</f>
        <v>2573</v>
      </c>
      <c r="C6" s="2509">
        <f ca="1">IF(B6=G14,结果表!H108,ROUND(B6*10000/$B$1,0))</f>
        <v>14902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3362</v>
      </c>
      <c r="D10" s="2509" t="s">
        <v>3363</v>
      </c>
      <c r="E10" s="3438"/>
      <c r="F10" s="3442" t="s">
        <v>3364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1726.61</v>
      </c>
      <c r="C14" s="2515"/>
      <c r="D14" s="2515">
        <f ca="1">结果表!H118</f>
        <v>2573</v>
      </c>
      <c r="E14" s="2515">
        <f ca="1">ROUND(D14*10000/B14,0)</f>
        <v>14902</v>
      </c>
      <c r="F14" s="2515" t="e">
        <f ca="1">ROUND(D14*10000/C14,0)</f>
        <v>#DIV/0!</v>
      </c>
      <c r="G14" s="2515">
        <f ca="1">D14</f>
        <v>2573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8" sqref="K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3391</v>
      </c>
      <c r="D1" s="1747"/>
      <c r="E1" s="1747"/>
      <c r="F1" s="1749" t="s">
        <v>1263</v>
      </c>
      <c r="G1" s="1561" t="s">
        <v>3398</v>
      </c>
      <c r="H1" s="1750" t="str">
        <f>IF(G1="现房","——","估价对象范围")</f>
        <v>——</v>
      </c>
      <c r="I1" s="1751" t="s">
        <v>3407</v>
      </c>
    </row>
    <row r="2" spans="1:12" ht="21.75" customHeight="1" thickBot="1">
      <c r="A2" s="3580" t="str">
        <f>项目基本情况!S2</f>
        <v>北京市北京经济技术开发区西环南路26号院20幢工业用房房地产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3428</v>
      </c>
      <c r="D4" s="1756" t="s">
        <v>3402</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6</v>
      </c>
      <c r="D14" s="3583">
        <v>4</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1726.61</v>
      </c>
      <c r="M18" s="302">
        <f>IF(C1="",'数据-汇总表'!E3,SUMIF(项目类型,C1,'数据-汇总表'!E17:E26))</f>
        <v>1726.61</v>
      </c>
    </row>
    <row r="19" spans="1:36" ht="15">
      <c r="A19" s="1761" t="s">
        <v>1290</v>
      </c>
      <c r="B19" s="1762" t="s">
        <v>1291</v>
      </c>
      <c r="C19" s="134">
        <f ca="1">SUMIF(INDIRECT("'"&amp;C4&amp;"'"&amp;"!A:A"),结果表!B19,INDIRECT("'"&amp;C4&amp;"'"&amp;"!B:B"))</f>
        <v>2858</v>
      </c>
      <c r="D19" s="135">
        <f ca="1">SUMIF(INDIRECT("'"&amp;D4&amp;"'"&amp;"!A:A"),结果表!B19,INDIRECT("'"&amp;D4&amp;"'"&amp;"!B:B"))</f>
        <v>2146</v>
      </c>
      <c r="E19" s="1761" t="s">
        <v>1292</v>
      </c>
      <c r="F19" s="1762" t="s">
        <v>1291</v>
      </c>
      <c r="G19" s="136">
        <f ca="1">ROUND(C19*$C$18+D19*$D$18,0)</f>
        <v>2573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16553</v>
      </c>
      <c r="D20" s="138">
        <f ca="1">SUMIF(INDIRECT("'"&amp;D4&amp;"'"&amp;"!A:A"),结果表!B20,INDIRECT("'"&amp;D4&amp;"'"&amp;"!B:B"))</f>
        <v>12429</v>
      </c>
      <c r="E20" s="1764"/>
      <c r="F20" s="1026" t="s">
        <v>1295</v>
      </c>
      <c r="G20" s="139">
        <f ca="1">ROUND(C20*$C$18+D20*$D$18,0)</f>
        <v>14903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0.33178005591798687</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c r="K24" s="725">
        <v>1729.61</v>
      </c>
      <c r="L24" s="725">
        <v>14000</v>
      </c>
      <c r="M24" s="725">
        <f>K24*L24</f>
        <v>24214540</v>
      </c>
    </row>
    <row r="25" spans="1:36" ht="14.25">
      <c r="A25" s="3555"/>
      <c r="B25" s="1026" t="s">
        <v>1295</v>
      </c>
      <c r="C25" s="141">
        <f>IF(B30=0,0,C30)</f>
        <v>0</v>
      </c>
      <c r="D25" s="1770"/>
      <c r="E25" s="129"/>
      <c r="F25" s="129"/>
      <c r="G25" s="129"/>
      <c r="H25" s="129"/>
      <c r="I25" s="129"/>
      <c r="K25" s="725">
        <v>1729.61</v>
      </c>
      <c r="L25" s="725">
        <v>15000</v>
      </c>
      <c r="M25" s="725">
        <f>K25*L25</f>
        <v>25944150</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2573</v>
      </c>
      <c r="D32" s="1775" t="s">
        <v>3429</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2573</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0">
        <v>1</v>
      </c>
      <c r="K46" s="3610" t="s">
        <v>1331</v>
      </c>
      <c r="L46" s="3610"/>
      <c r="M46" s="3630"/>
      <c r="N46" s="3630"/>
      <c r="O46" s="3630"/>
    </row>
    <row r="47" spans="1:15" ht="12" customHeight="1">
      <c r="A47" s="160" t="s">
        <v>1332</v>
      </c>
      <c r="B47" s="161"/>
      <c r="C47" s="162"/>
      <c r="D47" s="1087" t="s">
        <v>1333</v>
      </c>
      <c r="E47" s="302" t="s">
        <v>1334</v>
      </c>
      <c r="F47" s="163" t="s">
        <v>1335</v>
      </c>
      <c r="G47" s="2543" t="s">
        <v>1336</v>
      </c>
      <c r="H47" s="2544"/>
      <c r="I47" s="159"/>
      <c r="J47" s="2520">
        <v>2</v>
      </c>
      <c r="K47" s="3610" t="s">
        <v>1337</v>
      </c>
      <c r="L47" s="3610"/>
      <c r="M47" s="3631">
        <f>'数据-取费表'!B2</f>
        <v>45190</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0" t="s">
        <v>1340</v>
      </c>
      <c r="L48" s="3610"/>
      <c r="M48" s="3632">
        <f ca="1">H101</f>
        <v>2573</v>
      </c>
      <c r="N48" s="3632"/>
      <c r="O48" s="3632"/>
    </row>
    <row r="49" spans="1:35" ht="25.5" customHeight="1">
      <c r="A49" s="2333" t="s">
        <v>1341</v>
      </c>
      <c r="B49" s="3546" t="s">
        <v>1342</v>
      </c>
      <c r="C49" s="3546"/>
      <c r="D49" s="1590">
        <v>0</v>
      </c>
      <c r="E49" s="324" t="s">
        <v>1343</v>
      </c>
      <c r="F49" s="2421" t="s">
        <v>28</v>
      </c>
      <c r="G49" s="3616"/>
      <c r="H49" s="2310" t="s">
        <v>2134</v>
      </c>
      <c r="I49" s="2311"/>
      <c r="J49" s="2520">
        <v>4</v>
      </c>
      <c r="K49" s="3610" t="str">
        <f>IF(项目基本情况!E8="房地产抵押价值","房地产抵押价值","抵押担保权已注销时的房地产抵押价值")</f>
        <v>房地产抵押价值</v>
      </c>
      <c r="L49" s="3610"/>
      <c r="M49" s="3632">
        <f ca="1">IF(项目基本情况!E8="房地产抵押价值",H107,H109)</f>
        <v>2573</v>
      </c>
      <c r="N49" s="3632"/>
      <c r="O49" s="3632"/>
    </row>
    <row r="50" spans="1:35" ht="25.5" customHeight="1">
      <c r="A50" s="2548"/>
      <c r="B50" s="3546" t="s">
        <v>1344</v>
      </c>
      <c r="C50" s="3546"/>
      <c r="D50" s="2549"/>
      <c r="E50" s="332"/>
      <c r="F50" s="2421"/>
      <c r="G50" s="3617"/>
      <c r="H50" s="2312" t="s">
        <v>2135</v>
      </c>
      <c r="I50" s="2311"/>
      <c r="J50" s="3629" t="s">
        <v>1345</v>
      </c>
      <c r="K50" s="3629"/>
      <c r="L50" s="3629"/>
      <c r="M50" s="3629"/>
      <c r="N50" s="3629"/>
      <c r="O50" s="3629"/>
    </row>
    <row r="51" spans="1:35" ht="20.45" customHeight="1">
      <c r="A51" s="2550"/>
      <c r="B51" s="3546" t="s">
        <v>1346</v>
      </c>
      <c r="C51" s="3546"/>
      <c r="D51" s="1087"/>
      <c r="E51" s="327"/>
      <c r="F51" s="2421"/>
      <c r="G51" s="3618"/>
      <c r="H51" s="2312" t="s">
        <v>2136</v>
      </c>
      <c r="I51" s="2311"/>
      <c r="J51" s="2521" t="s">
        <v>1347</v>
      </c>
      <c r="K51" s="3610" t="s">
        <v>1348</v>
      </c>
      <c r="L51" s="3610"/>
      <c r="M51" s="2521" t="s">
        <v>1349</v>
      </c>
      <c r="N51" s="2521" t="s">
        <v>1350</v>
      </c>
      <c r="O51" s="2521" t="s">
        <v>1351</v>
      </c>
    </row>
    <row r="52" spans="1:35" ht="24" customHeight="1">
      <c r="A52" s="2335" t="s">
        <v>1352</v>
      </c>
      <c r="B52" s="3546" t="s">
        <v>1353</v>
      </c>
      <c r="C52" s="3546"/>
      <c r="D52" s="1087">
        <f ca="1">ROUND(D45*'数据-取费表'!B41/(1+'数据-取费表'!C42),0)</f>
        <v>137</v>
      </c>
      <c r="E52" s="2334" t="s">
        <v>1354</v>
      </c>
      <c r="F52" s="2551">
        <f>'数据-取费表'!B41</f>
        <v>5.6000000000000001E-2</v>
      </c>
      <c r="G52" s="2552"/>
      <c r="H52" s="2541"/>
      <c r="I52" s="1807"/>
      <c r="J52" s="2520">
        <v>1</v>
      </c>
      <c r="K52" s="3611" t="s">
        <v>1355</v>
      </c>
      <c r="L52" s="3611"/>
      <c r="M52" s="2522" t="b">
        <f>D48</f>
        <v>0</v>
      </c>
      <c r="N52" s="2520" t="str">
        <f>E48</f>
        <v>销售额×税（费）率</v>
      </c>
      <c r="O52" s="2523">
        <f>F48</f>
        <v>5.6000000000000001E-2</v>
      </c>
    </row>
    <row r="53" spans="1:35" ht="12" customHeight="1">
      <c r="A53" s="2335" t="s">
        <v>1356</v>
      </c>
      <c r="B53" s="3572" t="s">
        <v>2291</v>
      </c>
      <c r="C53" s="3573"/>
      <c r="D53" s="1087">
        <f ca="1">ROUND(D45*'数据-取费表'!B41/(1+'数据-取费表'!C42),0)</f>
        <v>137</v>
      </c>
      <c r="E53" s="2334" t="s">
        <v>1354</v>
      </c>
      <c r="F53" s="2551">
        <f>'数据-取费表'!B41</f>
        <v>5.6000000000000001E-2</v>
      </c>
      <c r="G53" s="2552"/>
      <c r="H53" s="2541"/>
      <c r="I53" s="1807"/>
      <c r="J53" s="2520">
        <v>2</v>
      </c>
      <c r="K53" s="3611" t="s">
        <v>1357</v>
      </c>
      <c r="L53" s="3611"/>
      <c r="M53" s="2522">
        <f t="shared" ref="M53:O54" ca="1" si="0">D55</f>
        <v>1</v>
      </c>
      <c r="N53" s="2520" t="str">
        <f t="shared" si="0"/>
        <v>销售额×税（费）率</v>
      </c>
      <c r="O53" s="2523" t="str">
        <f t="shared" si="0"/>
        <v>免征</v>
      </c>
    </row>
    <row r="54" spans="1:35" ht="12" customHeight="1">
      <c r="A54" s="2335" t="s">
        <v>1358</v>
      </c>
      <c r="B54" s="3572" t="s">
        <v>2292</v>
      </c>
      <c r="C54" s="3573"/>
      <c r="D54" s="1087">
        <f ca="1">C68</f>
        <v>137</v>
      </c>
      <c r="E54" s="327" t="s">
        <v>1359</v>
      </c>
      <c r="F54" s="2551">
        <f>'数据-取费表'!B41</f>
        <v>5.6000000000000001E-2</v>
      </c>
      <c r="G54" s="2552"/>
      <c r="H54" s="2553"/>
      <c r="I54" s="1807"/>
      <c r="J54" s="2520">
        <v>3</v>
      </c>
      <c r="K54" s="3611" t="s">
        <v>1360</v>
      </c>
      <c r="L54" s="3611"/>
      <c r="M54" s="2522">
        <f t="shared" ca="1" si="0"/>
        <v>1456</v>
      </c>
      <c r="N54" s="2520" t="str">
        <f t="shared" si="0"/>
        <v>增值额×税（费）率</v>
      </c>
      <c r="O54" s="2524" t="str">
        <f t="shared" si="0"/>
        <v>免征</v>
      </c>
    </row>
    <row r="55" spans="1:35" ht="24" customHeight="1">
      <c r="A55" s="3561" t="s">
        <v>1361</v>
      </c>
      <c r="B55" s="3562"/>
      <c r="C55" s="3562"/>
      <c r="D55" s="2324">
        <f ca="1">IF(H55="个人住宅",0,ROUND(D45*I55,0))</f>
        <v>1</v>
      </c>
      <c r="E55" s="2334" t="s">
        <v>1362</v>
      </c>
      <c r="F55" s="2551" t="str">
        <f>IF(H55="正常",I55,"免征")</f>
        <v>免征</v>
      </c>
      <c r="G55" s="2552"/>
      <c r="H55" s="2547"/>
      <c r="I55" s="165">
        <f>'数据-取费表'!B49</f>
        <v>5.0000000000000001E-4</v>
      </c>
      <c r="J55" s="2520">
        <f>IF(H59="非个人房产","",4)</f>
        <v>4</v>
      </c>
      <c r="K55" s="3611" t="str">
        <f>IF(H59="非个人房产","——","个人所得税")</f>
        <v>个人所得税</v>
      </c>
      <c r="L55" s="3611"/>
      <c r="M55" s="2525">
        <f ca="1">D59</f>
        <v>25</v>
      </c>
      <c r="N55" s="2040" t="str">
        <f>E59</f>
        <v>差额计税</v>
      </c>
      <c r="O55" s="2526">
        <f>F59</f>
        <v>0.01</v>
      </c>
    </row>
    <row r="56" spans="1:35" ht="24.75">
      <c r="A56" s="3561" t="s">
        <v>1363</v>
      </c>
      <c r="B56" s="3562"/>
      <c r="C56" s="3562"/>
      <c r="D56" s="2324">
        <f ca="1">IF(H56="个人住宅",D57,D58)</f>
        <v>1456</v>
      </c>
      <c r="E56" s="2334" t="s">
        <v>1364</v>
      </c>
      <c r="F56" s="2551" t="str">
        <f>IF(H56="正常",F58,"免征")</f>
        <v>免征</v>
      </c>
      <c r="G56" s="2554" t="s">
        <v>1365</v>
      </c>
      <c r="H56" s="2555"/>
      <c r="I56" s="1808"/>
      <c r="J56" s="2520" t="str">
        <f>IF(项目基本情况!K6="上海银行",IF(J55="",4,J55+1),"")</f>
        <v/>
      </c>
      <c r="K56" s="3634" t="str">
        <f>IF(项目基本情况!K6="上海银行","其他处置费用","")</f>
        <v/>
      </c>
      <c r="L56" s="3635"/>
      <c r="M56" s="2522"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2"/>
      <c r="H57" s="2556"/>
      <c r="I57" s="1808"/>
      <c r="J57" s="3611">
        <f>IF(AND(J55="",J56=""),4,IF(项目基本情况!K6="上海银行",结果表!J56+1,结果表!J55+1))</f>
        <v>5</v>
      </c>
      <c r="K57" s="3611" t="s">
        <v>1367</v>
      </c>
      <c r="L57" s="2527" t="s">
        <v>1368</v>
      </c>
      <c r="M57" s="2528"/>
      <c r="N57" s="2529">
        <f ca="1">SUMIF(M52:M56,"&lt;9e307")</f>
        <v>1482</v>
      </c>
      <c r="O57" s="2530"/>
      <c r="P57" s="2687">
        <f ca="1">N57/M49</f>
        <v>0.57598134473377383</v>
      </c>
    </row>
    <row r="58" spans="1:35" ht="24.75">
      <c r="A58" s="2335" t="s">
        <v>1352</v>
      </c>
      <c r="B58" s="3572" t="s">
        <v>1369</v>
      </c>
      <c r="C58" s="3546"/>
      <c r="D58" s="2324">
        <f ca="1">IF(H58="转让取得",C81,C97)</f>
        <v>1456</v>
      </c>
      <c r="E58" s="2334" t="s">
        <v>1364</v>
      </c>
      <c r="F58" s="302" t="s">
        <v>28</v>
      </c>
      <c r="G58" s="2552"/>
      <c r="H58" s="2555"/>
      <c r="I58" s="1808"/>
      <c r="J58" s="3611"/>
      <c r="K58" s="3611"/>
      <c r="L58" s="2527" t="s">
        <v>1370</v>
      </c>
      <c r="M58" s="2531"/>
      <c r="N58" s="2532" t="str">
        <f ca="1">NUMBERSTRING(INT(N57*10000),2)&amp;"元整"</f>
        <v>壹仟肆佰捌拾贰万元整</v>
      </c>
      <c r="O58" s="2533"/>
    </row>
    <row r="59" spans="1:35" ht="24.75" thickBot="1">
      <c r="A59" s="3614" t="s">
        <v>1371</v>
      </c>
      <c r="B59" s="3615"/>
      <c r="C59" s="3615"/>
      <c r="D59" s="2557">
        <f ca="1">IF(H59="非个人房产","——",IF(H59="个人住宅（满五唯一有凭证）",0,IF(H59="个人其他（无凭证）",ROUND(D45*F59,0),ROUND(C67*F59,0))))</f>
        <v>25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2">
        <f>J57+1</f>
        <v>6</v>
      </c>
      <c r="K59" s="3611" t="s">
        <v>1372</v>
      </c>
      <c r="L59" s="2520" t="s">
        <v>1368</v>
      </c>
      <c r="M59" s="2534"/>
      <c r="N59" s="2535">
        <f ca="1">M49-N57</f>
        <v>1091</v>
      </c>
      <c r="O59" s="2536"/>
    </row>
    <row r="60" spans="1:35" ht="12" customHeight="1">
      <c r="A60" s="1809"/>
      <c r="B60" s="1747"/>
      <c r="C60" s="1747"/>
      <c r="D60" s="1747"/>
      <c r="E60" s="1578"/>
      <c r="F60" s="1808"/>
      <c r="G60" s="1808"/>
      <c r="H60" s="1810"/>
      <c r="I60" s="129"/>
      <c r="J60" s="3613"/>
      <c r="K60" s="3611"/>
      <c r="L60" s="2527" t="s">
        <v>1370</v>
      </c>
      <c r="M60" s="2531"/>
      <c r="N60" s="2532" t="str">
        <f ca="1">NUMBERSTRING(INT(N59*10000),2)&amp;"元整"</f>
        <v>壹仟零玖拾壹万元整</v>
      </c>
      <c r="O60" s="2533"/>
    </row>
    <row r="61" spans="1:35" ht="13.5" thickBot="1">
      <c r="A61" s="3559" t="s">
        <v>1373</v>
      </c>
      <c r="B61" s="3559"/>
      <c r="C61" s="3559"/>
      <c r="D61" s="3559"/>
      <c r="E61" s="3559"/>
      <c r="F61" s="1808"/>
      <c r="G61" s="1808"/>
      <c r="H61" s="1810"/>
      <c r="I61" s="129"/>
      <c r="J61" s="2520">
        <f>J59+1</f>
        <v>7</v>
      </c>
      <c r="K61" s="3611" t="s">
        <v>1374</v>
      </c>
      <c r="L61" s="3611"/>
      <c r="M61" s="2537"/>
      <c r="N61" s="2538">
        <f ca="1">ROUND(N59*10000/'数据-汇总表'!E3,0)</f>
        <v>6319</v>
      </c>
      <c r="O61" s="2539"/>
    </row>
    <row r="62" spans="1:35" ht="12.75">
      <c r="A62" s="3577" t="s">
        <v>1375</v>
      </c>
      <c r="B62" s="3578"/>
      <c r="C62" s="2021"/>
      <c r="D62" s="2021" t="s">
        <v>1376</v>
      </c>
      <c r="E62" s="166" t="s">
        <v>1377</v>
      </c>
      <c r="F62" s="1808"/>
      <c r="G62" s="1808"/>
      <c r="H62" s="1810"/>
      <c r="I62" s="129"/>
    </row>
    <row r="63" spans="1:35" ht="12.75">
      <c r="A63" s="173" t="s">
        <v>330</v>
      </c>
      <c r="B63" s="167" t="s">
        <v>1378</v>
      </c>
      <c r="C63" s="2561">
        <f ca="1">ROUND((C64+C65)/(1+'数据-取费表'!C42),0)</f>
        <v>2450</v>
      </c>
      <c r="D63" s="167"/>
      <c r="E63" s="168"/>
      <c r="F63" s="1808"/>
      <c r="G63" s="1808"/>
      <c r="H63" s="1810"/>
      <c r="I63" s="129"/>
      <c r="J63" s="3636" t="s">
        <v>1379</v>
      </c>
      <c r="K63" s="1332" t="s">
        <v>1380</v>
      </c>
      <c r="L63" s="1332">
        <f ca="1">IF(M49&gt;10000,M49*0.5%,IF(AND(M49&gt;1000,M49&lt;=10000),M49*1%,IF(AND(M49&gt;100,M49&lt;=1000),M49*3%,IF(AND(M49&gt;10,M49&lt;=100),M49*5%,M49*8%))))</f>
        <v>25.73</v>
      </c>
      <c r="M63" s="302">
        <f ca="1">ROUND(L63,1)</f>
        <v>25.7</v>
      </c>
      <c r="N63" s="2540"/>
      <c r="Z63" s="1752"/>
      <c r="AI63" s="1753"/>
    </row>
    <row r="64" spans="1:35" ht="14.25" customHeight="1">
      <c r="A64" s="169" t="s">
        <v>325</v>
      </c>
      <c r="B64" s="170" t="s">
        <v>1381</v>
      </c>
      <c r="C64" s="2562">
        <f ca="1">D45</f>
        <v>2573</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12.865</v>
      </c>
      <c r="M64" s="302">
        <f t="shared" ref="M64:M65" ca="1" si="1">ROUND(L64,1)</f>
        <v>12.9</v>
      </c>
      <c r="N64" s="2541" t="s">
        <v>1383</v>
      </c>
      <c r="Z64" s="1752"/>
      <c r="AI64" s="1753"/>
    </row>
    <row r="65" spans="1:35" ht="14.25" customHeight="1">
      <c r="A65" s="169" t="s">
        <v>326</v>
      </c>
      <c r="B65" s="170" t="s">
        <v>1384</v>
      </c>
      <c r="C65" s="2563"/>
      <c r="D65" s="170"/>
      <c r="E65" s="172"/>
      <c r="F65" s="1808"/>
      <c r="G65" s="1808"/>
      <c r="H65" s="1810"/>
      <c r="I65" s="129"/>
      <c r="J65" s="3636"/>
      <c r="K65" s="1332" t="s">
        <v>1385</v>
      </c>
      <c r="L65" s="1332">
        <f ca="1">IF(M49&gt;1000,M49*0.1%,IF(AND(M49&gt;500,M49&lt;=1000),M49*0.5%,IF(AND(M49&gt;50,M49&lt;=500),M49*1%,IF(AND(M49&gt;1,M49&lt;=50),M49*1.5%))))</f>
        <v>2.573</v>
      </c>
      <c r="M65" s="302">
        <f t="shared" ca="1" si="1"/>
        <v>2.6</v>
      </c>
      <c r="N65" s="2541" t="s">
        <v>1383</v>
      </c>
      <c r="Z65" s="1752"/>
      <c r="AI65" s="1753"/>
    </row>
    <row r="66" spans="1:35" ht="14.25" customHeight="1">
      <c r="A66" s="173" t="s">
        <v>327</v>
      </c>
      <c r="B66" s="174" t="s">
        <v>1386</v>
      </c>
      <c r="C66" s="2564"/>
      <c r="D66" s="174" t="s">
        <v>26</v>
      </c>
      <c r="E66" s="1338" t="s">
        <v>671</v>
      </c>
      <c r="F66" s="1808"/>
      <c r="G66" s="1808"/>
      <c r="H66" s="1810"/>
      <c r="I66" s="129"/>
      <c r="J66" s="3636"/>
      <c r="K66" s="1332" t="s">
        <v>1387</v>
      </c>
      <c r="L66" s="1332">
        <f ca="1">M49*0.5%</f>
        <v>12.865</v>
      </c>
      <c r="M66" s="302">
        <f ca="1">IF(L66&gt;0.5,0.5,ROUND(L66,0))</f>
        <v>0.5</v>
      </c>
      <c r="N66" s="2541" t="s">
        <v>1388</v>
      </c>
      <c r="Z66" s="1752"/>
      <c r="AI66" s="1753"/>
    </row>
    <row r="67" spans="1:35" ht="14.25" customHeight="1">
      <c r="A67" s="173" t="s">
        <v>328</v>
      </c>
      <c r="B67" s="174" t="s">
        <v>1389</v>
      </c>
      <c r="C67" s="2565">
        <f ca="1">C63-C66</f>
        <v>2450</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137</v>
      </c>
      <c r="D68" s="2567">
        <f>'数据-取费表'!B41</f>
        <v>5.6000000000000001E-2</v>
      </c>
      <c r="E68" s="178"/>
      <c r="F68" s="1808"/>
      <c r="G68" s="1808"/>
      <c r="H68" s="1810"/>
      <c r="I68" s="129"/>
      <c r="J68" s="3636"/>
      <c r="K68" s="1332" t="s">
        <v>1392</v>
      </c>
      <c r="L68" s="1332">
        <f ca="1">IF(M49&gt;10000,M49*0.5%,IF(AND(M49&gt;5000,M49&lt;=10000),M49*1%,IF(AND(M49&gt;1000,M49&lt;=5000),M49*2%,IF(AND(M49&gt;200,M49&lt;=1000),M49*3%,M49*5%))))</f>
        <v>51.46</v>
      </c>
      <c r="M68" s="302">
        <f ca="1">ROUND(L68,1)</f>
        <v>51.5</v>
      </c>
      <c r="N68" s="2540"/>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96</v>
      </c>
      <c r="N69" s="2542">
        <f ca="1">M69/M49</f>
        <v>3.7310532452390209E-2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2450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15</v>
      </c>
      <c r="D78" s="2574">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2435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162.33333333333334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1456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2450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8" t="s">
        <v>2129</v>
      </c>
      <c r="H90" s="363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6" t="s">
        <v>1422</v>
      </c>
      <c r="F92" s="3557"/>
      <c r="G92" s="3557"/>
      <c r="H92" s="3566"/>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15</v>
      </c>
      <c r="D93" s="2574">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2435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162.33333333333334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1456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2" t="str">
        <f>C4</f>
        <v>比较法-工业</v>
      </c>
      <c r="D101" s="2583" t="str">
        <f>D4</f>
        <v>收益法</v>
      </c>
      <c r="E101" s="3633" t="s">
        <v>1431</v>
      </c>
      <c r="F101" s="3590"/>
      <c r="G101" s="1827" t="s">
        <v>1432</v>
      </c>
      <c r="H101" s="2592">
        <f ca="1">H118</f>
        <v>2573</v>
      </c>
      <c r="I101" s="129"/>
    </row>
    <row r="102" spans="1:35" ht="18.75" customHeight="1">
      <c r="A102" s="3592" t="s">
        <v>1433</v>
      </c>
      <c r="B102" s="2581" t="s">
        <v>1432</v>
      </c>
      <c r="C102" s="2582">
        <f ca="1">IF(D32="楼面单价",ROUND(C19,0),C19)</f>
        <v>2858</v>
      </c>
      <c r="D102" s="2583">
        <f ca="1">IF(D32="楼面单价",ROUND(D19,0),D19)</f>
        <v>2146</v>
      </c>
      <c r="E102" s="3633"/>
      <c r="F102" s="3590"/>
      <c r="G102" s="1827" t="s">
        <v>1434</v>
      </c>
      <c r="H102" s="2552">
        <f ca="1">I118</f>
        <v>14902</v>
      </c>
      <c r="I102" s="129"/>
    </row>
    <row r="103" spans="1:35" ht="42.75" customHeight="1">
      <c r="A103" s="3592"/>
      <c r="B103" s="2581" t="s">
        <v>1434</v>
      </c>
      <c r="C103" s="2584">
        <f ca="1">C20</f>
        <v>16553</v>
      </c>
      <c r="D103" s="2585">
        <f ca="1">D20</f>
        <v>12429</v>
      </c>
      <c r="E103" s="3627" t="s">
        <v>1435</v>
      </c>
      <c r="F103" s="3628"/>
      <c r="G103" s="1828" t="s">
        <v>1436</v>
      </c>
      <c r="H103" s="2592">
        <f>IF(D36="正常操作",H104+H105+H106,H105+H106)</f>
        <v>0</v>
      </c>
      <c r="I103" s="129"/>
    </row>
    <row r="104" spans="1:35" ht="18.75" customHeight="1">
      <c r="A104" s="3592" t="s">
        <v>1437</v>
      </c>
      <c r="B104" s="2586" t="s">
        <v>1432</v>
      </c>
      <c r="C104" s="2587">
        <f ca="1">H118</f>
        <v>2573</v>
      </c>
      <c r="D104" s="2588"/>
      <c r="E104" s="1674" t="s">
        <v>1438</v>
      </c>
      <c r="F104" s="1666"/>
      <c r="G104" s="1828" t="s">
        <v>1436</v>
      </c>
      <c r="H104" s="2593">
        <f>IF(D36="同一抵押权人同一抵押物续贷",C36&amp;"（续贷，未扣减，详见特别提示）",C36)</f>
        <v>0</v>
      </c>
      <c r="I104" s="129"/>
    </row>
    <row r="105" spans="1:35" ht="18.75" customHeight="1" thickBot="1">
      <c r="A105" s="3593"/>
      <c r="B105" s="2589" t="s">
        <v>1434</v>
      </c>
      <c r="C105" s="2590">
        <f ca="1">I118</f>
        <v>14902</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9" t="str">
        <f>IF(项目基本情况!E8="已注销","——","3.房地产抵押价值")</f>
        <v>3.房地产抵押价值</v>
      </c>
      <c r="F107" s="3590"/>
      <c r="G107" s="1827" t="s">
        <v>1432</v>
      </c>
      <c r="H107" s="2592">
        <f ca="1">IF(E107="——","——",H101-H103)</f>
        <v>2573</v>
      </c>
      <c r="I107" s="129"/>
    </row>
    <row r="108" spans="1:35" ht="18.75" customHeight="1">
      <c r="A108" s="129"/>
      <c r="B108" s="129"/>
      <c r="C108" s="129"/>
      <c r="D108" s="129"/>
      <c r="E108" s="3589"/>
      <c r="F108" s="3590"/>
      <c r="G108" s="1827" t="s">
        <v>1434</v>
      </c>
      <c r="H108" s="2552">
        <f ca="1">IF(H107=H101,H102,ROUND(H107*10000/'数据-汇总表'!E3,0))</f>
        <v>14902</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5" t="str">
        <f>IF(E109="——","——",H101-H105-H106)</f>
        <v>——</v>
      </c>
      <c r="I109" s="129"/>
    </row>
    <row r="110" spans="1:35" ht="18.75" customHeight="1">
      <c r="A110" s="129"/>
      <c r="B110" s="129"/>
      <c r="C110" s="129"/>
      <c r="D110" s="129"/>
      <c r="E110" s="3589"/>
      <c r="F110" s="3590"/>
      <c r="G110" s="1827" t="s">
        <v>1434</v>
      </c>
      <c r="H110" s="2552"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2" t="str">
        <f>IF(E111="——","——",N59)</f>
        <v>——</v>
      </c>
      <c r="I111" s="129"/>
    </row>
    <row r="112" spans="1:35" ht="18.75" customHeight="1" thickBot="1">
      <c r="A112" s="129"/>
      <c r="B112" s="129"/>
      <c r="C112" s="129"/>
      <c r="D112" s="129"/>
      <c r="E112" s="3622"/>
      <c r="F112" s="3623"/>
      <c r="G112" s="1830" t="s">
        <v>1434</v>
      </c>
      <c r="H112" s="2596"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597" t="str">
        <f>项目基本情况!S2</f>
        <v>北京市北京经济技术开发区西环南路26号院20幢工业用房房地产</v>
      </c>
      <c r="B118" s="2329">
        <f>M18</f>
        <v>1726.61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2573</v>
      </c>
      <c r="I118" s="2329">
        <f ca="1">ROUND(IF(D32="楼面单价",C32,H118*10000/B118),0)</f>
        <v>14902</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贰仟伍佰柒拾叁万元整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2573</v>
      </c>
      <c r="E122" s="3625"/>
      <c r="F122" s="3625"/>
      <c r="G122" s="3625"/>
      <c r="H122" s="3625"/>
      <c r="I122" s="3626"/>
      <c r="AA122" s="725"/>
    </row>
    <row r="123" spans="1:27" ht="18.75" customHeight="1">
      <c r="A123" s="3560" t="s">
        <v>1452</v>
      </c>
      <c r="B123" s="3560"/>
      <c r="C123" s="3560"/>
      <c r="D123" s="3600" t="str">
        <f ca="1">NUMBERSTRING(INT(D122*10000),2)&amp;"元整"</f>
        <v>贰仟伍佰柒拾叁万元整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35</v>
      </c>
      <c r="D10" s="845">
        <f ca="1">IF(B1="",'数据-汇总表'!E6,IF(INDIRECT("'数据-取费表'!c"&amp;$G$1)="住宅",INDIRECT("'数据-取费表'!s"&amp;$G$1),INDIRECT("'数据-取费表'!k"&amp;$G$1)+INDIRECT("'数据-取费表'!s"&amp;$G$1)))</f>
        <v>1726.61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35</v>
      </c>
      <c r="D19" s="849">
        <f ca="1">D9+D10</f>
        <v>1726.61</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0</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0</v>
      </c>
      <c r="D27" s="235">
        <f ca="1">C29</f>
        <v>0</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0.72</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1726.61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0</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0</v>
      </c>
      <c r="D44" s="238"/>
      <c r="E44" s="238"/>
      <c r="F44" s="239"/>
      <c r="G44" s="3642"/>
    </row>
    <row r="45" spans="1:7" s="214" customFormat="1" ht="13.5" customHeight="1">
      <c r="A45" s="255" t="s">
        <v>1547</v>
      </c>
      <c r="B45" s="244" t="s">
        <v>1513</v>
      </c>
      <c r="C45" s="245">
        <f ca="1">C46</f>
        <v>3</v>
      </c>
      <c r="D45" s="235">
        <f ca="1">C47</f>
        <v>2E-3</v>
      </c>
      <c r="E45" s="236" t="s">
        <v>1539</v>
      </c>
      <c r="F45" s="246">
        <f ca="1">F27</f>
        <v>0.1</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260</v>
      </c>
      <c r="D52" s="266"/>
      <c r="E52" s="266"/>
      <c r="F52" s="266"/>
      <c r="G52" s="268"/>
    </row>
    <row r="55" spans="1:7" ht="15">
      <c r="B55" s="270" t="s">
        <v>1562</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北京市北京经济技术开发区西环南路26号院20幢工业用房房地产抵押价值预评估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浦发银行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922.42110000000002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345322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345322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345322</v>
      </c>
      <c r="D10" s="845">
        <f ca="1">IF(B1="",'数据-汇总表'!E6,IF(INDIRECT("'数据-取费表'!c"&amp;$G$1)="住宅",INDIRECT("'数据-取费表'!s"&amp;$G$1),INDIRECT("'数据-取费表'!k"&amp;$G$1)+INDIRECT("'数据-取费表'!s"&amp;$G$1)))</f>
        <v>1726.61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345322</v>
      </c>
      <c r="D19" s="849">
        <f ca="1">D9+D10</f>
        <v>1726.61</v>
      </c>
      <c r="E19" s="211">
        <f>'数据-取费表'!B31</f>
        <v>200</v>
      </c>
      <c r="F19" s="231"/>
      <c r="G19" s="1856"/>
    </row>
    <row r="20" spans="1:7" s="214" customFormat="1" ht="13.5" customHeight="1">
      <c r="A20" s="255" t="s">
        <v>1574</v>
      </c>
      <c r="B20" s="210" t="s">
        <v>1575</v>
      </c>
      <c r="C20" s="232">
        <f ca="1">ROUND((C5+C19)*F20,0)</f>
        <v>13813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24066</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11914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11914</v>
      </c>
      <c r="D24" s="238"/>
      <c r="E24" s="238"/>
      <c r="F24" s="239"/>
      <c r="G24" s="240" t="s">
        <v>1586</v>
      </c>
    </row>
    <row r="25" spans="1:7" s="214" customFormat="1" ht="24">
      <c r="A25" s="780" t="s">
        <v>1476</v>
      </c>
      <c r="B25" s="215" t="s">
        <v>1587</v>
      </c>
      <c r="C25" s="1128">
        <f ca="1">ROUND(IF('数据-取费表'!B22&lt;=1,C20*F22*'数据-取费表'!B22/2,C20*(POWER((1+F22),'数据-取费表'!B22/2)-1)),0)</f>
        <v>238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70446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70446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864311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6781261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6043135</v>
      </c>
      <c r="D34" s="217"/>
      <c r="E34" s="220"/>
      <c r="F34" s="257"/>
      <c r="G34" s="219"/>
    </row>
    <row r="35" spans="1:7" ht="13.5" customHeight="1">
      <c r="A35" s="780" t="s">
        <v>351</v>
      </c>
      <c r="B35" s="215" t="s">
        <v>1527</v>
      </c>
      <c r="C35" s="220">
        <f ca="1">ROUND(C34*F35,0)</f>
        <v>302157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345322</v>
      </c>
      <c r="D37" s="217">
        <f ca="1">D19</f>
        <v>1726.61</v>
      </c>
      <c r="E37" s="249">
        <f>'数据-取费表'!B35</f>
        <v>200</v>
      </c>
      <c r="F37" s="259"/>
      <c r="G37" s="261"/>
    </row>
    <row r="38" spans="1:7" ht="13.5" customHeight="1">
      <c r="A38" s="780" t="s">
        <v>354</v>
      </c>
      <c r="B38" s="215" t="s">
        <v>1533</v>
      </c>
      <c r="C38" s="220">
        <f ca="1">ROUND(C34*F38,0)</f>
        <v>90647</v>
      </c>
      <c r="D38" s="220"/>
      <c r="E38" s="220"/>
      <c r="F38" s="259">
        <f>'数据-取费表'!B36</f>
        <v>1.4999999999999999E-2</v>
      </c>
      <c r="G38" s="219" t="s">
        <v>1528</v>
      </c>
    </row>
    <row r="39" spans="1:7" s="214" customFormat="1" ht="13.5" customHeight="1">
      <c r="A39" s="255" t="s">
        <v>1534</v>
      </c>
      <c r="B39" s="210" t="s">
        <v>1535</v>
      </c>
      <c r="C39" s="232">
        <f ca="1">ROUND(C33*F20,0)</f>
        <v>135625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119317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116977</v>
      </c>
      <c r="D42" s="238"/>
      <c r="E42" s="238"/>
      <c r="F42" s="239"/>
      <c r="G42" s="3640" t="s">
        <v>1591</v>
      </c>
    </row>
    <row r="43" spans="1:7" ht="13.5" customHeight="1">
      <c r="A43" s="780" t="s">
        <v>347</v>
      </c>
      <c r="B43" s="215" t="s">
        <v>1545</v>
      </c>
      <c r="C43" s="238">
        <f ca="1">ROUND(IF('数据-取费表'!B22&lt;=1,C39*F22*'数据-取费表'!B20/2,C39*(POWER((1+F22),'数据-取费表'!B20/2)-1)),0)</f>
        <v>2340</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691689</v>
      </c>
      <c r="D45" s="235">
        <f ca="1">C47</f>
        <v>2E-3</v>
      </c>
      <c r="E45" s="236" t="s">
        <v>1539</v>
      </c>
      <c r="F45" s="246">
        <f ca="1">F27</f>
        <v>0.1</v>
      </c>
      <c r="G45" s="247" t="s">
        <v>1548</v>
      </c>
    </row>
    <row r="46" spans="1:7" s="214" customFormat="1" ht="13.5" customHeight="1">
      <c r="A46" s="780" t="s">
        <v>346</v>
      </c>
      <c r="B46" s="248" t="s">
        <v>1549</v>
      </c>
      <c r="C46" s="249">
        <f ca="1">ROUND((C33+C39)*F27,0)</f>
        <v>691689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8359900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8359900</v>
      </c>
      <c r="D51" s="232"/>
      <c r="E51" s="232"/>
      <c r="F51" s="264"/>
      <c r="G51" s="234" t="s">
        <v>1560</v>
      </c>
    </row>
    <row r="52" spans="1:7" s="208" customFormat="1" ht="16.5" thickBot="1">
      <c r="A52" s="265" t="s">
        <v>1561</v>
      </c>
      <c r="B52" s="266"/>
      <c r="C52" s="267">
        <f ca="1">C31+C51</f>
        <v>9224211</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125</v>
      </c>
      <c r="C2" s="276" t="s">
        <v>1595</v>
      </c>
      <c r="D2" s="276"/>
      <c r="E2" s="2803"/>
      <c r="F2" s="2803"/>
      <c r="G2" s="2803"/>
      <c r="H2" s="2803"/>
      <c r="I2" s="2803"/>
      <c r="J2" s="2803"/>
      <c r="K2" s="2803"/>
    </row>
    <row r="3" spans="1:33" ht="18" customHeight="1" thickBot="1">
      <c r="A3" s="203" t="s">
        <v>1464</v>
      </c>
      <c r="B3" s="204">
        <f ca="1">ROUND(B2*10000/IF(C1="",'数据-汇总表'!E3,INDIRECT("'数据-取费表'!K"&amp;$K$1)),0)</f>
        <v>724</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0.28000000000000003</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10</v>
      </c>
      <c r="D14" s="846">
        <f ca="1">IF(C1="",'数据-汇总表'!E3,INDIRECT("'数据-取费表'!K"&amp;$K$1)+INDIRECT("'数据-取费表'!S"&amp;$K$1))</f>
        <v>1726.61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1726.61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-138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35</v>
      </c>
      <c r="D20" s="846">
        <f ca="1">IF(C1="",'数据-汇总表'!E6,IF(INDIRECT("'数据-取费表'!c"&amp;$K$1)="住宅",INDIRECT("'数据-取费表'!s"&amp;$K$1),INDIRECT("'数据-取费表'!k"&amp;$K$1)+INDIRECT("'数据-取费表'!s"&amp;$K$1)))</f>
        <v>1726.61</v>
      </c>
      <c r="E20" s="21">
        <f>'数据-取费表'!B28</f>
        <v>200</v>
      </c>
      <c r="F20" s="804"/>
      <c r="G20" s="12"/>
      <c r="H20" s="809"/>
      <c r="I20" s="809"/>
      <c r="J20" s="809"/>
      <c r="K20" s="810"/>
    </row>
    <row r="21" spans="1:33" s="803" customFormat="1" ht="13.5" customHeight="1">
      <c r="A21" s="790" t="s">
        <v>357</v>
      </c>
      <c r="B21" s="813" t="s">
        <v>1628</v>
      </c>
      <c r="C21" s="814">
        <f ca="1">C16+C17+C18</f>
        <v>-128</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3.5499999999999997E-2</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-2</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-13</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0.10290000000000001</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M43" sqref="M4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3391</v>
      </c>
      <c r="E1" s="3430"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2858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16553</v>
      </c>
      <c r="C3" s="354" t="s">
        <v>1768</v>
      </c>
      <c r="D3" s="353">
        <f>IF(D1="",'数据-汇总表'!E3,SUMIF('数据-汇总表'!$C19:$C33,D1,'数据-汇总表'!$E19:$E33))</f>
        <v>1726.61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913"/>
      <c r="M4" s="914"/>
      <c r="N4" s="914"/>
      <c r="O4" s="9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675" t="s">
        <v>3431</v>
      </c>
      <c r="F5" s="3676"/>
      <c r="G5" s="3675" t="s">
        <v>3411</v>
      </c>
      <c r="H5" s="3676"/>
      <c r="I5" s="3682" t="s">
        <v>3410</v>
      </c>
      <c r="J5" s="3681"/>
      <c r="K5" s="559"/>
      <c r="L5" s="913"/>
      <c r="M5" s="914"/>
      <c r="N5" s="914"/>
      <c r="O5" s="914"/>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913"/>
      <c r="M6" s="914"/>
      <c r="N6" s="914"/>
      <c r="O6" s="9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45190</v>
      </c>
      <c r="D7" s="365">
        <v>100</v>
      </c>
      <c r="E7" s="366">
        <v>45170</v>
      </c>
      <c r="F7" s="367">
        <f>SUMIF(52:52,YEAR(E7)&amp;"-"&amp;MONTH(E7),53:53)</f>
        <v>100</v>
      </c>
      <c r="G7" s="366">
        <v>45170</v>
      </c>
      <c r="H7" s="365">
        <f>SUMIF(52:52,YEAR(G7)&amp;"-"&amp;MONTH(G7),53:53)</f>
        <v>100</v>
      </c>
      <c r="I7" s="366">
        <v>45170</v>
      </c>
      <c r="J7" s="365">
        <f>SUMIF(52:52,YEAR(I7)&amp;"-"&amp;MONTH(I7),53:53)</f>
        <v>100</v>
      </c>
      <c r="K7" s="560"/>
      <c r="L7" s="915"/>
      <c r="M7" s="916"/>
      <c r="N7" s="916"/>
      <c r="O7" s="916"/>
      <c r="P7" s="3677" t="s">
        <v>1680</v>
      </c>
      <c r="Q7" s="3679"/>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704">
        <f>D7/J7</f>
        <v>1</v>
      </c>
    </row>
    <row r="8" spans="1:29" s="108" customFormat="1" ht="15.75" thickBot="1">
      <c r="A8" s="362" t="s">
        <v>1681</v>
      </c>
      <c r="B8" s="363"/>
      <c r="C8" s="368" t="s">
        <v>3412</v>
      </c>
      <c r="D8" s="365">
        <v>100</v>
      </c>
      <c r="E8" s="368" t="s">
        <v>3414</v>
      </c>
      <c r="F8" s="367">
        <f>SUMIF(55:55,E8,56:56)-SUMIF(55:55,C8,56:56)+100</f>
        <v>102</v>
      </c>
      <c r="G8" s="368" t="s">
        <v>3414</v>
      </c>
      <c r="H8" s="365">
        <f>SUMIF(55:55,G8,56:56)-SUMIF(55:55,C8,56:56)+100</f>
        <v>102</v>
      </c>
      <c r="I8" s="368" t="s">
        <v>3414</v>
      </c>
      <c r="J8" s="365">
        <f>SUMIF(55:55,I8,56:56)-SUMIF(55:55,C8,56:56)+100</f>
        <v>102</v>
      </c>
      <c r="K8" s="560"/>
      <c r="L8" s="915"/>
      <c r="M8" s="916"/>
      <c r="N8" s="916"/>
      <c r="O8" s="916"/>
      <c r="P8" s="3677" t="s">
        <v>1683</v>
      </c>
      <c r="Q8" s="3678"/>
      <c r="R8" s="701" t="s">
        <v>14</v>
      </c>
      <c r="S8" s="702">
        <f t="shared" si="0"/>
        <v>102</v>
      </c>
      <c r="T8" s="701" t="s">
        <v>14</v>
      </c>
      <c r="U8" s="702">
        <f t="shared" si="1"/>
        <v>102</v>
      </c>
      <c r="V8" s="701" t="s">
        <v>14</v>
      </c>
      <c r="W8" s="702">
        <f t="shared" si="2"/>
        <v>102</v>
      </c>
      <c r="X8" s="703"/>
      <c r="Y8" s="3677" t="s">
        <v>1683</v>
      </c>
      <c r="Z8" s="3678"/>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50" t="s">
        <v>3413</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t="s">
        <v>3424</v>
      </c>
      <c r="D16" s="399"/>
      <c r="E16" s="398" t="s">
        <v>3424</v>
      </c>
      <c r="F16" s="400"/>
      <c r="G16" s="398" t="s">
        <v>3424</v>
      </c>
      <c r="H16" s="401"/>
      <c r="I16" s="398" t="s">
        <v>3424</v>
      </c>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t="s">
        <v>3426</v>
      </c>
      <c r="D18" s="401"/>
      <c r="E18" s="1901" t="s">
        <v>3426</v>
      </c>
      <c r="F18" s="404"/>
      <c r="G18" s="1901" t="s">
        <v>3426</v>
      </c>
      <c r="H18" s="399"/>
      <c r="I18" s="1901" t="s">
        <v>3426</v>
      </c>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t="s">
        <v>3426</v>
      </c>
      <c r="D20" s="399"/>
      <c r="E20" s="398" t="s">
        <v>3426</v>
      </c>
      <c r="F20" s="400"/>
      <c r="G20" s="398" t="s">
        <v>3426</v>
      </c>
      <c r="H20" s="399"/>
      <c r="I20" s="398" t="s">
        <v>3426</v>
      </c>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t="s">
        <v>3426</v>
      </c>
      <c r="D24" s="399"/>
      <c r="E24" s="398" t="s">
        <v>3426</v>
      </c>
      <c r="F24" s="400"/>
      <c r="G24" s="398" t="s">
        <v>3426</v>
      </c>
      <c r="H24" s="399"/>
      <c r="I24" s="398" t="s">
        <v>3426</v>
      </c>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t="s">
        <v>3416</v>
      </c>
      <c r="D29" s="418">
        <v>100</v>
      </c>
      <c r="E29" s="1967" t="s">
        <v>3416</v>
      </c>
      <c r="F29" s="412">
        <f>SUMIF(88:88,E29,89:89)-SUMIF(88:88,C29,89:89)+100</f>
        <v>100</v>
      </c>
      <c r="G29" s="1967" t="s">
        <v>3416</v>
      </c>
      <c r="H29" s="386">
        <f>SUMIF(88:88,G29,89:89)-SUMIF(88:88,C29,89:89)+100</f>
        <v>100</v>
      </c>
      <c r="I29" s="1967" t="s">
        <v>3416</v>
      </c>
      <c r="J29" s="418">
        <f>SUMIF(88:88,I29,89:89)-SUMIF(88:88,C29,89:89)+100</f>
        <v>100</v>
      </c>
      <c r="K29" s="561">
        <v>3</v>
      </c>
      <c r="L29" s="923"/>
      <c r="M29" s="914"/>
      <c r="N29" s="914"/>
      <c r="O29" s="922"/>
      <c r="P29" s="3650" t="s">
        <v>1696</v>
      </c>
      <c r="Q29" s="1352" t="str">
        <f t="shared" si="11"/>
        <v>建筑类型</v>
      </c>
      <c r="R29" s="705" t="s">
        <v>14</v>
      </c>
      <c r="S29" s="706">
        <f t="shared" si="12"/>
        <v>100</v>
      </c>
      <c r="T29" s="705" t="s">
        <v>14</v>
      </c>
      <c r="U29" s="706">
        <f t="shared" si="13"/>
        <v>100</v>
      </c>
      <c r="V29" s="705" t="s">
        <v>14</v>
      </c>
      <c r="W29" s="706">
        <f t="shared" si="14"/>
        <v>100</v>
      </c>
      <c r="X29" s="1355"/>
      <c r="Y29" s="3651" t="s">
        <v>1696</v>
      </c>
      <c r="Z29" s="1356" t="str">
        <f t="shared" si="15"/>
        <v>建筑类型</v>
      </c>
      <c r="AA29" s="1353">
        <f t="shared" si="3"/>
        <v>1</v>
      </c>
      <c r="AB29" s="1353">
        <f t="shared" si="4"/>
        <v>1</v>
      </c>
      <c r="AC29" s="1353">
        <f t="shared" si="5"/>
        <v>1</v>
      </c>
    </row>
    <row r="30" spans="1:29" s="422" customFormat="1" ht="15">
      <c r="A30" s="419"/>
      <c r="B30" s="375" t="s">
        <v>1697</v>
      </c>
      <c r="C30" s="420">
        <v>1779</v>
      </c>
      <c r="D30" s="127">
        <v>100</v>
      </c>
      <c r="E30" s="381">
        <v>3130</v>
      </c>
      <c r="F30" s="376">
        <f>LOOKUP(E30,91:91,92:92)-LOOKUP(C30,91:91,92:92)+100</f>
        <v>98</v>
      </c>
      <c r="G30" s="380">
        <v>1779</v>
      </c>
      <c r="H30" s="127">
        <f>LOOKUP(G30,91:91,92:92)-LOOKUP(C30,91:91,92:92)+100</f>
        <v>100</v>
      </c>
      <c r="I30" s="380">
        <v>3403</v>
      </c>
      <c r="J30" s="127">
        <f>LOOKUP(I30,91:91,92:92)-LOOKUP(C30,91:91,92:92)+100</f>
        <v>98</v>
      </c>
      <c r="K30" s="562"/>
      <c r="L30" s="921"/>
      <c r="M30" s="924"/>
      <c r="N30" s="924"/>
      <c r="O30" s="925"/>
      <c r="P30" s="3651"/>
      <c r="Q30" s="707" t="str">
        <f t="shared" si="11"/>
        <v>项目建筑规模</v>
      </c>
      <c r="R30" s="708" t="s">
        <v>14</v>
      </c>
      <c r="S30" s="709">
        <f t="shared" si="12"/>
        <v>98</v>
      </c>
      <c r="T30" s="708" t="s">
        <v>14</v>
      </c>
      <c r="U30" s="709">
        <f t="shared" si="13"/>
        <v>100</v>
      </c>
      <c r="V30" s="708" t="s">
        <v>14</v>
      </c>
      <c r="W30" s="709">
        <f t="shared" si="14"/>
        <v>98</v>
      </c>
      <c r="X30" s="710"/>
      <c r="Y30" s="3651"/>
      <c r="Z30" s="711" t="str">
        <f t="shared" si="15"/>
        <v>项目建筑规模</v>
      </c>
      <c r="AA30" s="1353">
        <f t="shared" si="3"/>
        <v>1.0204081632653061</v>
      </c>
      <c r="AB30" s="1353">
        <f t="shared" si="4"/>
        <v>1</v>
      </c>
      <c r="AC30" s="1353">
        <f t="shared" si="5"/>
        <v>1.0204081632653061</v>
      </c>
    </row>
    <row r="31" spans="1:29" ht="15">
      <c r="A31" s="423"/>
      <c r="B31" s="375" t="s">
        <v>1698</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v>2</v>
      </c>
      <c r="L31" s="923"/>
      <c r="M31" s="914"/>
      <c r="N31" s="914"/>
      <c r="O31" s="922"/>
      <c r="P31" s="3651"/>
      <c r="Q31" s="1352" t="str">
        <f t="shared" si="11"/>
        <v>建筑结构</v>
      </c>
      <c r="R31" s="705" t="s">
        <v>14</v>
      </c>
      <c r="S31" s="706">
        <f t="shared" si="12"/>
        <v>100</v>
      </c>
      <c r="T31" s="705" t="s">
        <v>14</v>
      </c>
      <c r="U31" s="706">
        <f t="shared" si="13"/>
        <v>100</v>
      </c>
      <c r="V31" s="705" t="s">
        <v>14</v>
      </c>
      <c r="W31" s="706">
        <f t="shared" si="14"/>
        <v>100</v>
      </c>
      <c r="X31" s="1355"/>
      <c r="Y31" s="3651"/>
      <c r="Z31" s="1356" t="str">
        <f t="shared" si="15"/>
        <v>建筑结构</v>
      </c>
      <c r="AA31" s="1353">
        <f t="shared" si="3"/>
        <v>1</v>
      </c>
      <c r="AB31" s="1353">
        <f t="shared" si="4"/>
        <v>1</v>
      </c>
      <c r="AC31" s="1353">
        <f t="shared" si="5"/>
        <v>1</v>
      </c>
    </row>
    <row r="32" spans="1:29" ht="15">
      <c r="A32" s="423"/>
      <c r="B32" s="375" t="s">
        <v>1785</v>
      </c>
      <c r="C32" s="411" t="s">
        <v>3423</v>
      </c>
      <c r="D32" s="386">
        <v>100</v>
      </c>
      <c r="E32" s="411" t="s">
        <v>3423</v>
      </c>
      <c r="F32" s="412">
        <f>SUMIF(95:95,E32,96:96)-SUMIF(95:95,C32,96:96)+100</f>
        <v>100</v>
      </c>
      <c r="G32" s="411" t="s">
        <v>3423</v>
      </c>
      <c r="H32" s="386">
        <f>SUMIF(95:95,G32,96:96)-SUMIF(95:95,C32,96:96)+100</f>
        <v>100</v>
      </c>
      <c r="I32" s="411" t="s">
        <v>3423</v>
      </c>
      <c r="J32" s="386">
        <f>SUMIF(95:95,I32,96:96)-SUMIF(95:95,C32,96:96)+100</f>
        <v>100</v>
      </c>
      <c r="K32" s="561">
        <v>2</v>
      </c>
      <c r="L32" s="923"/>
      <c r="M32" s="914"/>
      <c r="N32" s="914"/>
      <c r="O32" s="922"/>
      <c r="P32" s="3651"/>
      <c r="Q32" s="1352" t="str">
        <f t="shared" si="11"/>
        <v>公共部分装修</v>
      </c>
      <c r="R32" s="705" t="s">
        <v>14</v>
      </c>
      <c r="S32" s="706">
        <f t="shared" si="12"/>
        <v>100</v>
      </c>
      <c r="T32" s="705" t="s">
        <v>14</v>
      </c>
      <c r="U32" s="706">
        <f t="shared" si="13"/>
        <v>100</v>
      </c>
      <c r="V32" s="705" t="s">
        <v>14</v>
      </c>
      <c r="W32" s="706">
        <f t="shared" si="14"/>
        <v>100</v>
      </c>
      <c r="X32" s="1355"/>
      <c r="Y32" s="3651"/>
      <c r="Z32" s="1356" t="str">
        <f t="shared" si="15"/>
        <v>公共部分装修</v>
      </c>
      <c r="AA32" s="1353">
        <f t="shared" si="3"/>
        <v>1</v>
      </c>
      <c r="AB32" s="1353">
        <f t="shared" si="4"/>
        <v>1</v>
      </c>
      <c r="AC32" s="1353">
        <f t="shared" si="5"/>
        <v>1</v>
      </c>
    </row>
    <row r="33" spans="1:29" ht="15">
      <c r="A33" s="423"/>
      <c r="B33" s="375" t="s">
        <v>1786</v>
      </c>
      <c r="C33" s="425">
        <v>0.72</v>
      </c>
      <c r="D33" s="386">
        <v>100</v>
      </c>
      <c r="E33" s="425">
        <v>0.72</v>
      </c>
      <c r="F33" s="412">
        <f>LOOKUP(E33,98:98,99:99)-LOOKUP(C33,98:98,99:99)+100</f>
        <v>100</v>
      </c>
      <c r="G33" s="425">
        <v>0.72</v>
      </c>
      <c r="H33" s="412">
        <f>LOOKUP(G33,98:98,99:99)-LOOKUP(C33,98:98,99:99)+100</f>
        <v>100</v>
      </c>
      <c r="I33" s="3454">
        <f>ROUND(1-(2023-2005)/60,2)</f>
        <v>0.7</v>
      </c>
      <c r="J33" s="386">
        <f>LOOKUP(I33,98:98,99:99)-LOOKUP(C33,98:98,99:99)+100</f>
        <v>100</v>
      </c>
      <c r="K33" s="561">
        <v>1</v>
      </c>
      <c r="L33" s="923"/>
      <c r="M33" s="914"/>
      <c r="N33" s="914"/>
      <c r="O33" s="922"/>
      <c r="P33" s="3651"/>
      <c r="Q33" s="1352" t="str">
        <f t="shared" si="11"/>
        <v>成新度</v>
      </c>
      <c r="R33" s="705" t="s">
        <v>14</v>
      </c>
      <c r="S33" s="706">
        <f t="shared" si="12"/>
        <v>100</v>
      </c>
      <c r="T33" s="705" t="s">
        <v>14</v>
      </c>
      <c r="U33" s="706">
        <f t="shared" si="13"/>
        <v>100</v>
      </c>
      <c r="V33" s="705" t="s">
        <v>14</v>
      </c>
      <c r="W33" s="706">
        <f t="shared" si="14"/>
        <v>100</v>
      </c>
      <c r="X33" s="1355"/>
      <c r="Y33" s="3651"/>
      <c r="Z33" s="1356" t="str">
        <f t="shared" si="15"/>
        <v>成新度</v>
      </c>
      <c r="AA33" s="1353">
        <f t="shared" si="3"/>
        <v>1</v>
      </c>
      <c r="AB33" s="1353">
        <f t="shared" si="4"/>
        <v>1</v>
      </c>
      <c r="AC33" s="1353">
        <f t="shared" si="5"/>
        <v>1</v>
      </c>
    </row>
    <row r="34" spans="1:29" s="108" customFormat="1" ht="15">
      <c r="A34" s="424"/>
      <c r="B34" s="375" t="s">
        <v>1819</v>
      </c>
      <c r="C34" s="411" t="s">
        <v>3421</v>
      </c>
      <c r="D34" s="127">
        <v>100</v>
      </c>
      <c r="E34" s="411" t="s">
        <v>3421</v>
      </c>
      <c r="F34" s="412">
        <f>SUMIF(100:100,E34,101:101)-SUMIF(100:100,C34,101:101)+100</f>
        <v>100</v>
      </c>
      <c r="G34" s="411" t="s">
        <v>3421</v>
      </c>
      <c r="H34" s="386">
        <f>SUMIF(100:100,G34,101:101)-SUMIF(100:100,C34,101:101)+100</f>
        <v>100</v>
      </c>
      <c r="I34" s="411" t="s">
        <v>3421</v>
      </c>
      <c r="J34" s="386">
        <f>SUMIF(100:100,I34,101:101)-SUMIF(100:100,C34,101:101)+100</f>
        <v>100</v>
      </c>
      <c r="K34" s="561">
        <v>2</v>
      </c>
      <c r="L34" s="915"/>
      <c r="M34" s="916"/>
      <c r="N34" s="916"/>
      <c r="O34" s="917"/>
      <c r="P34" s="3651"/>
      <c r="Q34" s="1343" t="str">
        <f t="shared" si="11"/>
        <v>物业管理</v>
      </c>
      <c r="R34" s="701" t="s">
        <v>14</v>
      </c>
      <c r="S34" s="702">
        <f t="shared" si="12"/>
        <v>100</v>
      </c>
      <c r="T34" s="701" t="s">
        <v>14</v>
      </c>
      <c r="U34" s="702">
        <f t="shared" si="13"/>
        <v>100</v>
      </c>
      <c r="V34" s="701" t="s">
        <v>14</v>
      </c>
      <c r="W34" s="702">
        <f t="shared" si="14"/>
        <v>100</v>
      </c>
      <c r="X34" s="703"/>
      <c r="Y34" s="3651"/>
      <c r="Z34" s="52" t="str">
        <f t="shared" si="15"/>
        <v>物业管理</v>
      </c>
      <c r="AA34" s="704">
        <f t="shared" si="3"/>
        <v>1</v>
      </c>
      <c r="AB34" s="704">
        <f t="shared" si="4"/>
        <v>1</v>
      </c>
      <c r="AC34" s="704">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v>1</v>
      </c>
      <c r="L35" s="923"/>
      <c r="M35" s="914"/>
      <c r="N35" s="914"/>
      <c r="O35" s="922"/>
      <c r="P35" s="3651" t="s">
        <v>1696</v>
      </c>
      <c r="Q35" s="1352" t="str">
        <f t="shared" si="11"/>
        <v>市政基础设施</v>
      </c>
      <c r="R35" s="705" t="s">
        <v>14</v>
      </c>
      <c r="S35" s="706">
        <f t="shared" si="12"/>
        <v>100</v>
      </c>
      <c r="T35" s="705" t="s">
        <v>14</v>
      </c>
      <c r="U35" s="706">
        <f t="shared" si="13"/>
        <v>100</v>
      </c>
      <c r="V35" s="705" t="s">
        <v>14</v>
      </c>
      <c r="W35" s="706">
        <f t="shared" si="14"/>
        <v>100</v>
      </c>
      <c r="X35" s="1355"/>
      <c r="Y35" s="3651" t="s">
        <v>1696</v>
      </c>
      <c r="Z35" s="1356" t="str">
        <f t="shared" si="15"/>
        <v>市政基础设施</v>
      </c>
      <c r="AA35" s="1353">
        <f t="shared" si="3"/>
        <v>1</v>
      </c>
      <c r="AB35" s="1353">
        <f t="shared" si="4"/>
        <v>1</v>
      </c>
      <c r="AC35" s="1353">
        <f t="shared" si="5"/>
        <v>1</v>
      </c>
    </row>
    <row r="36" spans="1:29" ht="15">
      <c r="A36" s="423"/>
      <c r="B36" s="375" t="s">
        <v>1792</v>
      </c>
      <c r="C36" s="411" t="s">
        <v>3423</v>
      </c>
      <c r="D36" s="386">
        <v>100</v>
      </c>
      <c r="E36" s="411" t="s">
        <v>3423</v>
      </c>
      <c r="F36" s="412">
        <f>SUMIF(104:104,E36,105:105)-SUMIF(104:104,C36,105:105)+100</f>
        <v>100</v>
      </c>
      <c r="G36" s="411" t="s">
        <v>3423</v>
      </c>
      <c r="H36" s="386">
        <f>SUMIF(104:104,G36,105:105)-SUMIF(104:104,C36,105:105)+100</f>
        <v>100</v>
      </c>
      <c r="I36" s="411" t="s">
        <v>3423</v>
      </c>
      <c r="J36" s="386">
        <f>SUMIF(104:104,I36,105:105)-SUMIF(104:104,C36,105:105)+100</f>
        <v>100</v>
      </c>
      <c r="K36" s="561">
        <v>2</v>
      </c>
      <c r="L36" s="923"/>
      <c r="M36" s="914"/>
      <c r="N36" s="914"/>
      <c r="O36" s="922"/>
      <c r="P36" s="3651"/>
      <c r="Q36" s="1352" t="str">
        <f t="shared" si="11"/>
        <v>内部装修</v>
      </c>
      <c r="R36" s="705" t="s">
        <v>14</v>
      </c>
      <c r="S36" s="706">
        <f t="shared" si="12"/>
        <v>100</v>
      </c>
      <c r="T36" s="705" t="s">
        <v>14</v>
      </c>
      <c r="U36" s="706">
        <f t="shared" si="13"/>
        <v>100</v>
      </c>
      <c r="V36" s="705" t="s">
        <v>14</v>
      </c>
      <c r="W36" s="706">
        <f t="shared" si="14"/>
        <v>100</v>
      </c>
      <c r="X36" s="1355"/>
      <c r="Y36" s="3651"/>
      <c r="Z36" s="1356" t="str">
        <f t="shared" si="15"/>
        <v>内部装修</v>
      </c>
      <c r="AA36" s="1353">
        <f t="shared" si="3"/>
        <v>1</v>
      </c>
      <c r="AB36" s="1353">
        <f t="shared" si="4"/>
        <v>1</v>
      </c>
      <c r="AC36" s="1353">
        <f t="shared" si="5"/>
        <v>1</v>
      </c>
    </row>
    <row r="37" spans="1:29" ht="15">
      <c r="A37" s="423"/>
      <c r="B37" s="375" t="s">
        <v>1828</v>
      </c>
      <c r="C37" s="565" t="s">
        <v>3424</v>
      </c>
      <c r="D37" s="386">
        <v>100</v>
      </c>
      <c r="E37" s="565" t="s">
        <v>3424</v>
      </c>
      <c r="F37" s="412">
        <f>SUMIF(106:106,E37,107:107)-SUMIF(106:106,C37,107:107)+100</f>
        <v>100</v>
      </c>
      <c r="G37" s="565" t="s">
        <v>3424</v>
      </c>
      <c r="H37" s="386">
        <f>SUMIF(106:106,G37,107:107)-SUMIF(106:106,C37,107:107)+100</f>
        <v>100</v>
      </c>
      <c r="I37" s="565" t="s">
        <v>3424</v>
      </c>
      <c r="J37" s="386">
        <f>SUMIF(106:106,I37,107:107)-SUMIF(106:106,C37,107:107)+100</f>
        <v>100</v>
      </c>
      <c r="K37" s="561">
        <v>2</v>
      </c>
      <c r="L37" s="923"/>
      <c r="M37" s="914"/>
      <c r="N37" s="914"/>
      <c r="O37" s="922"/>
      <c r="P37" s="3651"/>
      <c r="Q37" s="1352" t="str">
        <f t="shared" si="11"/>
        <v>内部装修状况</v>
      </c>
      <c r="R37" s="705" t="s">
        <v>14</v>
      </c>
      <c r="S37" s="706">
        <f t="shared" si="12"/>
        <v>100</v>
      </c>
      <c r="T37" s="705" t="s">
        <v>14</v>
      </c>
      <c r="U37" s="706">
        <f t="shared" si="13"/>
        <v>100</v>
      </c>
      <c r="V37" s="705" t="s">
        <v>14</v>
      </c>
      <c r="W37" s="706">
        <f t="shared" si="14"/>
        <v>100</v>
      </c>
      <c r="X37" s="1355"/>
      <c r="Y37" s="365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1"/>
      <c r="Q38" s="707">
        <f t="shared" si="11"/>
        <v>111</v>
      </c>
      <c r="R38" s="708" t="s">
        <v>14</v>
      </c>
      <c r="S38" s="709">
        <f t="shared" si="12"/>
        <v>100</v>
      </c>
      <c r="T38" s="708" t="s">
        <v>14</v>
      </c>
      <c r="U38" s="709">
        <f t="shared" si="13"/>
        <v>100</v>
      </c>
      <c r="V38" s="708" t="s">
        <v>14</v>
      </c>
      <c r="W38" s="709">
        <f t="shared" si="14"/>
        <v>100</v>
      </c>
      <c r="X38" s="710"/>
      <c r="Y38" s="36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1"/>
      <c r="Q39" s="1352">
        <f t="shared" si="11"/>
        <v>111</v>
      </c>
      <c r="R39" s="705" t="s">
        <v>14</v>
      </c>
      <c r="S39" s="706">
        <f t="shared" si="12"/>
        <v>100</v>
      </c>
      <c r="T39" s="705" t="s">
        <v>14</v>
      </c>
      <c r="U39" s="706">
        <f t="shared" si="13"/>
        <v>100</v>
      </c>
      <c r="V39" s="705" t="s">
        <v>14</v>
      </c>
      <c r="W39" s="706">
        <f t="shared" si="14"/>
        <v>100</v>
      </c>
      <c r="X39" s="1355"/>
      <c r="Y39" s="36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2"/>
      <c r="Q40" s="1352">
        <f t="shared" si="11"/>
        <v>111</v>
      </c>
      <c r="R40" s="705" t="s">
        <v>14</v>
      </c>
      <c r="S40" s="706">
        <f t="shared" si="12"/>
        <v>100</v>
      </c>
      <c r="T40" s="705" t="s">
        <v>14</v>
      </c>
      <c r="U40" s="706">
        <f t="shared" si="13"/>
        <v>100</v>
      </c>
      <c r="V40" s="705" t="s">
        <v>14</v>
      </c>
      <c r="W40" s="706">
        <f t="shared" si="14"/>
        <v>100</v>
      </c>
      <c r="X40" s="1355"/>
      <c r="Y40" s="3652"/>
      <c r="Z40" s="1356">
        <f t="shared" si="15"/>
        <v>111</v>
      </c>
      <c r="AA40" s="1353">
        <f t="shared" si="3"/>
        <v>1</v>
      </c>
      <c r="AB40" s="1353">
        <f t="shared" si="4"/>
        <v>1</v>
      </c>
      <c r="AC40" s="1353">
        <f t="shared" si="5"/>
        <v>1</v>
      </c>
    </row>
    <row r="41" spans="1:29" ht="15">
      <c r="A41" s="430" t="s">
        <v>1708</v>
      </c>
      <c r="B41" s="431"/>
      <c r="C41" s="1154" t="s">
        <v>0</v>
      </c>
      <c r="D41" s="1155"/>
      <c r="E41" s="1156">
        <v>16000</v>
      </c>
      <c r="F41" s="1157"/>
      <c r="G41" s="1158">
        <v>18000</v>
      </c>
      <c r="H41" s="1159"/>
      <c r="I41" s="1156">
        <v>16000</v>
      </c>
      <c r="J41" s="1159"/>
      <c r="K41" s="714"/>
      <c r="L41" s="926"/>
      <c r="M41" s="927"/>
      <c r="N41" s="914"/>
      <c r="O41" s="927"/>
      <c r="P41" s="3643" t="str">
        <f>A41</f>
        <v>成交单价（元/平方米）</v>
      </c>
      <c r="Q41" s="3643"/>
      <c r="R41" s="3644">
        <f>E41</f>
        <v>16000</v>
      </c>
      <c r="S41" s="3644"/>
      <c r="T41" s="3644">
        <f>G41</f>
        <v>18000</v>
      </c>
      <c r="U41" s="3644"/>
      <c r="V41" s="3644">
        <f>I41</f>
        <v>16000</v>
      </c>
      <c r="W41" s="3644"/>
      <c r="X41" s="690"/>
      <c r="Y41" s="712"/>
      <c r="Z41" s="690"/>
      <c r="AA41" s="690"/>
      <c r="AB41" s="690"/>
      <c r="AC41" s="690"/>
    </row>
    <row r="42" spans="1:29" ht="15.75" thickBot="1">
      <c r="A42" s="437" t="s">
        <v>1793</v>
      </c>
      <c r="B42" s="438"/>
      <c r="C42" s="1160">
        <f>R43</f>
        <v>16553</v>
      </c>
      <c r="D42" s="2317" t="s">
        <v>2138</v>
      </c>
      <c r="E42" s="1161">
        <f>R42</f>
        <v>16006</v>
      </c>
      <c r="F42" s="2318"/>
      <c r="G42" s="1160">
        <f>T42</f>
        <v>17647</v>
      </c>
      <c r="H42" s="2318"/>
      <c r="I42" s="1161">
        <f>V42</f>
        <v>16006</v>
      </c>
      <c r="J42" s="2318"/>
      <c r="K42" s="2320">
        <f>F42+H42+J42</f>
        <v>0</v>
      </c>
      <c r="L42" s="926"/>
      <c r="M42" s="927"/>
      <c r="N42" s="914"/>
      <c r="O42" s="927"/>
      <c r="P42" s="3643" t="str">
        <f>A42</f>
        <v>比较价值（元/平方米）</v>
      </c>
      <c r="Q42" s="3643"/>
      <c r="R42" s="3644">
        <f>IF(F1="售价",ROUND(PRODUCT(R41,AA7:AA40),0),ROUND(PRODUCT(R41,AA7:AA40),1))</f>
        <v>16006</v>
      </c>
      <c r="S42" s="3644"/>
      <c r="T42" s="3644">
        <f>IF(F1="售价",ROUND(PRODUCT(T41,AB7:AB40),0),ROUND(PRODUCT(T41,AB7:AB40),1))</f>
        <v>17647</v>
      </c>
      <c r="U42" s="3644"/>
      <c r="V42" s="3644">
        <f>IF(F1="售价",ROUND(PRODUCT(V41,AC7:AC40),0),ROUND(PRODUCT(V41,AC7:AC40),1))</f>
        <v>16006</v>
      </c>
      <c r="W42" s="3644"/>
      <c r="X42" s="690"/>
      <c r="Y42" s="690"/>
      <c r="Z42" s="690"/>
      <c r="AA42" s="690"/>
      <c r="AB42" s="690"/>
      <c r="AC42" s="690"/>
    </row>
    <row r="43" spans="1:29" ht="15.75" thickBot="1">
      <c r="A43" s="441" t="s">
        <v>1794</v>
      </c>
      <c r="B43" s="442"/>
      <c r="C43" s="1163">
        <f>R43</f>
        <v>16553</v>
      </c>
      <c r="D43" s="1163"/>
      <c r="E43" s="1163"/>
      <c r="F43" s="1163"/>
      <c r="G43" s="1163"/>
      <c r="H43" s="1163"/>
      <c r="I43" s="1163"/>
      <c r="J43" s="1163"/>
      <c r="K43" s="715"/>
      <c r="L43" s="926"/>
      <c r="M43" s="927"/>
      <c r="N43" s="927"/>
      <c r="O43" s="927"/>
      <c r="P43" s="3645" t="str">
        <f>A43</f>
        <v>估价对象XX用房的比较价值（楼面单价，元/平方米）</v>
      </c>
      <c r="Q43" s="3646"/>
      <c r="R43" s="3647">
        <f>IF(F1="售价",ROUND(IF(D42="简单平均",AVERAGE(R42:V42),R42*F42+T42*H42+V42*J42),0),ROUND(IF(D42="简单平均",AVERAGE(R42:V42),R42*F42+T42*H42+V42*J42),1))</f>
        <v>16553</v>
      </c>
      <c r="S43" s="3647"/>
      <c r="T43" s="3647"/>
      <c r="U43" s="3647"/>
      <c r="V43" s="3647"/>
      <c r="W43" s="364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f>IF(E41&lt;E42,E42/E41-1,E41/E42-1)</f>
        <v>3.7500000000001421E-4</v>
      </c>
      <c r="F46" s="449" t="str">
        <f>IF(OR(E46&gt;=0.3,E46&lt;=-0.3),"超过30%","")</f>
        <v/>
      </c>
      <c r="G46" s="448">
        <f>IF(G41&lt;G42,G42/G41-1,G41/G42-1)</f>
        <v>2.0003400011333383E-2</v>
      </c>
      <c r="H46" s="449" t="str">
        <f>IF(OR(G46&gt;=0.3,G46&lt;=-0.3),"超过30%","")</f>
        <v/>
      </c>
      <c r="I46" s="448">
        <f>IF(I41&lt;I42,I42/I41-1,I41/I42-1)</f>
        <v>3.7500000000001421E-4</v>
      </c>
      <c r="J46" s="449" t="str">
        <f>IF(OR(I46&gt;=0.3,I46&lt;=-0.3),"超过30%","")</f>
        <v/>
      </c>
      <c r="K46" s="2727"/>
      <c r="L46" s="889"/>
      <c r="M46" s="927"/>
      <c r="N46" s="927"/>
      <c r="O46" s="927"/>
    </row>
    <row r="47" spans="1:29" ht="13.5" customHeight="1">
      <c r="A47" s="2722"/>
      <c r="B47" s="2722"/>
      <c r="C47" s="446" t="s">
        <v>1796</v>
      </c>
      <c r="D47" s="450"/>
      <c r="E47" s="448">
        <f>IF(E42&lt;G42,G42/E42-1,E42/G42-1)</f>
        <v>0.10252405347994498</v>
      </c>
      <c r="F47" s="449" t="str">
        <f>IF(OR(E47&gt;=0.2,E47&lt;=-0.2),"超过20%","")</f>
        <v/>
      </c>
      <c r="G47" s="448">
        <f>IF(G42&lt;I42,I42/G42-1,G42/I42-1)</f>
        <v>0.10252405347994498</v>
      </c>
      <c r="H47" s="449" t="str">
        <f>IF(OR(G47&gt;=0.2,G47&lt;=-0.2),"超过20%","")</f>
        <v/>
      </c>
      <c r="I47" s="448">
        <f>IF(I42&lt;E42,E42/I42-1,I42/E42-1)</f>
        <v>0</v>
      </c>
      <c r="J47" s="449" t="str">
        <f>IF(OR(I47&gt;=0.2,I47&lt;=-0.2),"超过20%","")</f>
        <v/>
      </c>
      <c r="K47" s="2727"/>
      <c r="L47" s="889"/>
      <c r="M47" s="927"/>
      <c r="N47" s="927"/>
      <c r="O47" s="927"/>
    </row>
    <row r="48" spans="1:29" s="451" customFormat="1" ht="13.5" customHeight="1">
      <c r="A48" s="2725"/>
      <c r="B48" s="2725"/>
      <c r="C48" s="446" t="s">
        <v>1797</v>
      </c>
      <c r="D48" s="450"/>
      <c r="E48" s="448">
        <f>IF(E41&lt;G41,G41/E41-1,E41/G41-1)</f>
        <v>0.125</v>
      </c>
      <c r="F48" s="449" t="str">
        <f>IF(OR(E48&gt;=0.3,E48&lt;=-0.3),"超过30%","")</f>
        <v/>
      </c>
      <c r="G48" s="448">
        <f>IF(G41&lt;I41,I41/G41-1,G41/I41-1)</f>
        <v>0.125</v>
      </c>
      <c r="H48" s="449" t="str">
        <f>IF(OR(G48&gt;=0.3,G48&lt;=-0.3),"超过30%","")</f>
        <v/>
      </c>
      <c r="I48" s="448">
        <f>IF(I41&lt;E41,E41/I41-1,I41/E41-1)</f>
        <v>0</v>
      </c>
      <c r="J48" s="449" t="str">
        <f>IF(OR(I48&gt;=0.3,I48&lt;=-0.3),"超过30%","")</f>
        <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3415</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1737</v>
      </c>
      <c r="C90" s="527" t="str">
        <f>C91&amp;"(含)"&amp;"-"&amp;D91</f>
        <v>1000(含)-2000</v>
      </c>
      <c r="D90" s="527" t="str">
        <f t="shared" ref="D90:L90" si="20">D91&amp;"(含)"&amp;"-"&amp;E91</f>
        <v>2000(含)-3000</v>
      </c>
      <c r="E90" s="527" t="str">
        <f t="shared" si="20"/>
        <v>3000(含)-4000</v>
      </c>
      <c r="F90" s="527" t="str">
        <f t="shared" si="20"/>
        <v>4000(含)-5000</v>
      </c>
      <c r="G90" s="527" t="str">
        <f t="shared" si="20"/>
        <v>5000(含)-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1000</v>
      </c>
      <c r="D91" s="544">
        <v>2000</v>
      </c>
      <c r="E91" s="544">
        <v>3000</v>
      </c>
      <c r="F91" s="544">
        <v>4000</v>
      </c>
      <c r="G91" s="544">
        <v>5000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453" t="s">
        <v>3418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1740</v>
      </c>
      <c r="C95" s="3453" t="s">
        <v>3419</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53" t="s">
        <v>3422</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1742</v>
      </c>
      <c r="C102" s="503" t="s">
        <v>3425</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53" t="s">
        <v>3420</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43</v>
      </c>
      <c r="E1" s="1363" t="s">
        <v>678</v>
      </c>
      <c r="F1" s="1062">
        <f ca="1">J53</f>
        <v>32</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2146</v>
      </c>
      <c r="C2" s="1387" t="s">
        <v>805</v>
      </c>
      <c r="D2" s="1387"/>
      <c r="E2" s="1388"/>
      <c r="F2" s="1389"/>
      <c r="G2" s="2703"/>
      <c r="H2" s="2692"/>
      <c r="I2" s="2692"/>
      <c r="J2" s="2692"/>
      <c r="K2" s="2693"/>
      <c r="L2" s="2692"/>
      <c r="M2" s="2692"/>
    </row>
    <row r="3" spans="1:37" ht="18" customHeight="1" thickBot="1">
      <c r="A3" s="1390" t="s">
        <v>806</v>
      </c>
      <c r="B3" s="1391">
        <f ca="1">IF(ISERROR(B2*10000/F43),0,ROUND(B2*10000/F43,0))</f>
        <v>12429</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142</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142</v>
      </c>
      <c r="D6" s="155" t="s">
        <v>2109</v>
      </c>
      <c r="E6" s="302" t="s">
        <v>696</v>
      </c>
      <c r="F6" s="303">
        <f ca="1">INDIRECT("'数据-取费表'!u"&amp;$G$1)</f>
        <v>2.5</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1726.61</v>
      </c>
      <c r="G7" s="1384"/>
      <c r="H7" s="304"/>
      <c r="I7" s="3688"/>
      <c r="J7" s="306"/>
      <c r="K7" s="307"/>
      <c r="L7" s="302" t="s">
        <v>697</v>
      </c>
      <c r="M7" s="303">
        <f ca="1">F7</f>
        <v>1726.61</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602</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604</v>
      </c>
      <c r="D14" s="1345" t="s">
        <v>708</v>
      </c>
      <c r="E14" s="1342"/>
      <c r="F14" s="319"/>
      <c r="G14" s="1384"/>
      <c r="H14" s="982" t="s">
        <v>398</v>
      </c>
      <c r="I14" s="302" t="s">
        <v>709</v>
      </c>
      <c r="J14" s="21">
        <f ca="1">C29</f>
        <v>836</v>
      </c>
      <c r="K14" s="12"/>
      <c r="L14" s="807"/>
      <c r="M14" s="808"/>
    </row>
    <row r="15" spans="1:37" s="1397" customFormat="1" ht="18" customHeight="1" thickBot="1">
      <c r="A15" s="982" t="s">
        <v>399</v>
      </c>
      <c r="B15" s="302" t="s">
        <v>710</v>
      </c>
      <c r="C15" s="21">
        <f ca="1">ROUND(C14*F15,0)</f>
        <v>30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35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14</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69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836</v>
      </c>
      <c r="D29" s="1092"/>
      <c r="E29" s="1090"/>
      <c r="F29" s="1093"/>
      <c r="G29" s="1396"/>
      <c r="H29" s="334" t="s">
        <v>396</v>
      </c>
      <c r="I29" s="335" t="s">
        <v>768</v>
      </c>
      <c r="J29" s="336">
        <f ca="1">ROUND(J26/(1+F40)^F41,0)</f>
        <v>0</v>
      </c>
      <c r="K29" s="337" t="s">
        <v>769</v>
      </c>
      <c r="L29" s="338"/>
      <c r="M29" s="339">
        <f ca="1">INDIRECT("'数据-取费表'!k"&amp;$G$1)</f>
        <v>1726.61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23.8</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IF(项目基本情况!B11="自然人","——",ROUND(C6*F32/(1+'数据-取费表'!C42),2))</f>
        <v>7.57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16.23</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4.18</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0.6</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1.42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112</v>
      </c>
      <c r="D39" s="1095" t="s">
        <v>773</v>
      </c>
      <c r="E39" s="1096"/>
      <c r="F39" s="1097"/>
      <c r="G39" s="1384"/>
      <c r="H39" s="2697"/>
      <c r="I39" s="1398"/>
      <c r="J39" s="1399"/>
      <c r="K39" s="2701"/>
      <c r="L39" s="2697"/>
      <c r="M39" s="2697"/>
    </row>
    <row r="40" spans="1:18" ht="18" customHeight="1">
      <c r="A40" s="299" t="s">
        <v>395</v>
      </c>
      <c r="B40" s="300" t="s">
        <v>774</v>
      </c>
      <c r="C40" s="301">
        <f ca="1">ROUND(C39*(1-((1+F42)/(1+F40))^F41)/(F40-F42),0)</f>
        <v>2113</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12238</v>
      </c>
      <c r="D43" s="337" t="s">
        <v>777</v>
      </c>
      <c r="E43" s="338" t="s">
        <v>778</v>
      </c>
      <c r="F43" s="339">
        <f ca="1">INDIRECT("'数据-取费表'!k"&amp;$G$1)</f>
        <v>1726.61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-2188</v>
      </c>
      <c r="D46" s="1406" t="str">
        <f>C2</f>
        <v>万元</v>
      </c>
      <c r="E46" s="1400"/>
      <c r="F46" s="1400"/>
      <c r="I46" s="1407" t="s">
        <v>810</v>
      </c>
      <c r="J46" s="1408"/>
      <c r="K46" s="1409"/>
      <c r="L46" s="1410">
        <f ca="1">IF(M47="住宅",0,IF(L48&gt;J51,L60,J60))</f>
        <v>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2113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32</v>
      </c>
      <c r="O48" s="1418" t="s">
        <v>404</v>
      </c>
      <c r="P48" s="1419" t="s">
        <v>821</v>
      </c>
      <c r="Q48" s="1420">
        <f ca="1">J60</f>
        <v>33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5">
        <v>2006</v>
      </c>
      <c r="K49" s="1423" t="s">
        <v>824</v>
      </c>
      <c r="L49" s="1427"/>
      <c r="O49" s="1428" t="s">
        <v>405</v>
      </c>
      <c r="P49" s="1419" t="s">
        <v>825</v>
      </c>
      <c r="Q49" s="1420">
        <f ca="1">C29</f>
        <v>836</v>
      </c>
      <c r="R49" s="1420" t="s">
        <v>818</v>
      </c>
    </row>
    <row r="50" spans="1:18" s="1384" customFormat="1" ht="13.5" thickBot="1">
      <c r="A50" s="976"/>
      <c r="B50" s="979"/>
      <c r="C50" s="1118"/>
      <c r="D50" s="953"/>
      <c r="E50" s="1056" t="s">
        <v>697</v>
      </c>
      <c r="F50" s="1057">
        <f ca="1">F7</f>
        <v>1726.61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1226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6">
        <v>7.4999999999999997E-2</v>
      </c>
      <c r="K52" s="1437" t="s">
        <v>833</v>
      </c>
      <c r="L52" s="1438"/>
      <c r="O52" s="1428" t="s">
        <v>408</v>
      </c>
      <c r="P52" s="1419" t="s">
        <v>834</v>
      </c>
      <c r="Q52" s="1420">
        <f ca="1">J53</f>
        <v>32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v>
      </c>
      <c r="K53" s="3685" t="s">
        <v>837</v>
      </c>
      <c r="L53" s="3686"/>
      <c r="O53" s="1418" t="s">
        <v>409</v>
      </c>
      <c r="P53" s="1419" t="s">
        <v>838</v>
      </c>
      <c r="Q53" s="1420">
        <f ca="1">Q47+Q48</f>
        <v>2146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602</v>
      </c>
      <c r="D56" s="1447"/>
      <c r="E56" s="1448"/>
      <c r="F56" s="1440"/>
      <c r="I56" s="1449" t="s">
        <v>842</v>
      </c>
      <c r="J56" s="1450" t="s">
        <v>3389</v>
      </c>
      <c r="K56" s="1421" t="s">
        <v>843</v>
      </c>
      <c r="L56" s="1424" t="str">
        <f ca="1">IF(L48&lt;J51,"——",L48-J53)</f>
        <v>——</v>
      </c>
      <c r="O56" s="1418" t="s">
        <v>403</v>
      </c>
      <c r="P56" s="1419" t="s">
        <v>817</v>
      </c>
      <c r="Q56" s="1420">
        <f ca="1">C40+J29</f>
        <v>2113</v>
      </c>
      <c r="R56" s="1420" t="s">
        <v>818</v>
      </c>
    </row>
    <row r="57" spans="1:18" s="1384" customFormat="1" ht="24.75" thickBot="1">
      <c r="A57" s="1451"/>
      <c r="B57" s="950" t="s">
        <v>767</v>
      </c>
      <c r="C57" s="238">
        <f ca="1">C29</f>
        <v>836</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v>
      </c>
      <c r="D65" s="964" t="s">
        <v>743</v>
      </c>
      <c r="E65" s="950" t="s">
        <v>744</v>
      </c>
      <c r="F65" s="330">
        <f t="shared" ca="1" si="0"/>
        <v>1E-3</v>
      </c>
      <c r="I65" s="1462" t="s">
        <v>867</v>
      </c>
      <c r="J65" s="1463">
        <v>40</v>
      </c>
      <c r="K65" s="1463">
        <v>30</v>
      </c>
      <c r="L65" s="1463">
        <v>50</v>
      </c>
      <c r="M65" s="1465">
        <v>0.02</v>
      </c>
      <c r="O65" s="1418" t="s">
        <v>403</v>
      </c>
      <c r="P65" s="1419" t="s">
        <v>868</v>
      </c>
      <c r="Q65" s="1420">
        <f ca="1">C40+J29</f>
        <v>2113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1226</v>
      </c>
      <c r="R67" s="1420" t="s">
        <v>870</v>
      </c>
    </row>
    <row r="68" spans="1:18" s="1384" customFormat="1" ht="16.5" thickBot="1">
      <c r="A68" s="947" t="s">
        <v>395</v>
      </c>
      <c r="B68" s="948" t="s">
        <v>774</v>
      </c>
      <c r="C68" s="301">
        <f ca="1">ROUND(C67*(1-((1+F70)/(1+F68))^F69)/(F68-F70),0)</f>
        <v>-75</v>
      </c>
      <c r="D68" s="965" t="s">
        <v>758</v>
      </c>
      <c r="E68" s="950" t="s">
        <v>759</v>
      </c>
      <c r="F68" s="312">
        <f ca="1">F40</f>
        <v>5.5E-2</v>
      </c>
      <c r="O68" s="1428" t="s">
        <v>406</v>
      </c>
      <c r="P68" s="1467" t="s">
        <v>871</v>
      </c>
      <c r="Q68" s="1420">
        <f ca="1">ROUND(Q69-Q70*Q71,0)</f>
        <v>70</v>
      </c>
      <c r="R68" s="1420" t="s">
        <v>414</v>
      </c>
    </row>
    <row r="69" spans="1:18" s="1384" customFormat="1" ht="13.5" thickBot="1">
      <c r="A69" s="951"/>
      <c r="B69" s="952"/>
      <c r="C69" s="306"/>
      <c r="D69" s="970" t="s">
        <v>762</v>
      </c>
      <c r="E69" s="950" t="s">
        <v>763</v>
      </c>
      <c r="F69" s="333">
        <f ca="1">F41</f>
        <v>32</v>
      </c>
      <c r="O69" s="1428" t="s">
        <v>411</v>
      </c>
      <c r="P69" s="1467" t="s">
        <v>872</v>
      </c>
      <c r="Q69" s="1420">
        <f ca="1">C39</f>
        <v>112</v>
      </c>
      <c r="R69" s="1420" t="s">
        <v>818</v>
      </c>
    </row>
    <row r="70" spans="1:18" s="1384" customFormat="1" ht="13.5" thickBot="1">
      <c r="A70" s="954"/>
      <c r="B70" s="955"/>
      <c r="C70" s="310"/>
      <c r="D70" s="966"/>
      <c r="E70" s="950" t="s">
        <v>766</v>
      </c>
      <c r="F70" s="1054"/>
      <c r="O70" s="1428" t="s">
        <v>412</v>
      </c>
      <c r="P70" s="1467" t="s">
        <v>873</v>
      </c>
      <c r="Q70" s="1420">
        <f ca="1">C13</f>
        <v>602</v>
      </c>
      <c r="R70" s="1420" t="s">
        <v>818</v>
      </c>
    </row>
    <row r="71" spans="1:18" s="1384" customFormat="1" ht="13.5" thickBot="1">
      <c r="A71" s="971" t="s">
        <v>396</v>
      </c>
      <c r="B71" s="972" t="s">
        <v>776</v>
      </c>
      <c r="C71" s="336">
        <f ca="1">ROUND(C68*10000/F71,0)</f>
        <v>-434</v>
      </c>
      <c r="D71" s="973" t="s">
        <v>777</v>
      </c>
      <c r="E71" s="974" t="s">
        <v>778</v>
      </c>
      <c r="F71" s="339">
        <f ca="1">F43</f>
        <v>1726.61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v>
      </c>
      <c r="D75" s="1384"/>
      <c r="E75" s="1384"/>
      <c r="F75" s="1384"/>
      <c r="K75" s="1402"/>
      <c r="L75" s="1384"/>
      <c r="O75" s="1418" t="s">
        <v>409</v>
      </c>
      <c r="P75" s="1419" t="s">
        <v>838</v>
      </c>
      <c r="Q75" s="1420">
        <f ca="1">Q65+Q66</f>
        <v>2113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0</v>
      </c>
      <c r="D6" s="155" t="s">
        <v>2106</v>
      </c>
      <c r="E6" s="302" t="s">
        <v>696</v>
      </c>
      <c r="F6" s="303">
        <f ca="1">INDIRECT("'数据-取费表'!u"&amp;$G$1)</f>
        <v>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3358</v>
      </c>
      <c r="B45" s="1400"/>
      <c r="C45" s="1472" t="e">
        <f ca="1">ROUND((C68-C40)/10000,4)</f>
        <v>#DIV/0!</v>
      </c>
      <c r="D45" s="3429"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5" t="s">
        <v>837</v>
      </c>
      <c r="L53" s="368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2439</v>
      </c>
      <c r="B1" s="2829"/>
      <c r="C1" s="2841"/>
      <c r="D1" s="2841"/>
      <c r="E1" s="2830"/>
      <c r="F1" s="2831"/>
      <c r="G1" s="2832"/>
      <c r="J1" s="2835" t="s">
        <v>2318</v>
      </c>
      <c r="K1" s="2836"/>
      <c r="L1" s="2836"/>
      <c r="M1" s="2836"/>
      <c r="N1" s="2836"/>
      <c r="O1" s="2836"/>
      <c r="P1" s="2836"/>
      <c r="Q1" s="2836"/>
      <c r="R1" s="2837"/>
      <c r="S1" s="2838"/>
      <c r="T1" s="2838"/>
      <c r="U1" s="2838"/>
    </row>
    <row r="2" spans="1:22" s="2850" customFormat="1" ht="13.15" customHeight="1">
      <c r="A2" s="1385" t="s">
        <v>2319</v>
      </c>
      <c r="B2" s="2840" t="e">
        <f>IF(D2="——",C40,C40+E2)</f>
        <v>#DIV/0!</v>
      </c>
      <c r="C2" s="2841" t="s">
        <v>2320</v>
      </c>
      <c r="D2" s="3440" t="s">
        <v>3365</v>
      </c>
      <c r="E2" s="3441"/>
      <c r="F2" s="2843"/>
      <c r="G2" s="2844"/>
      <c r="H2" s="2845"/>
      <c r="I2" s="2846"/>
      <c r="J2" s="3696" t="s">
        <v>2321</v>
      </c>
      <c r="K2" s="3697"/>
      <c r="L2" s="2847" t="s">
        <v>2322</v>
      </c>
      <c r="M2" s="2847" t="s">
        <v>2323</v>
      </c>
      <c r="N2" s="2847" t="s">
        <v>2324</v>
      </c>
      <c r="O2" s="2847" t="s">
        <v>2325</v>
      </c>
      <c r="P2" s="2847" t="s">
        <v>2326</v>
      </c>
      <c r="Q2" s="2848" t="s">
        <v>2327</v>
      </c>
      <c r="R2" s="2849" t="s">
        <v>2328</v>
      </c>
      <c r="S2" s="2838"/>
      <c r="T2" s="2838"/>
      <c r="U2" s="2838"/>
      <c r="V2" s="2846"/>
    </row>
    <row r="3" spans="1:22" s="2850" customFormat="1" ht="13.15" customHeight="1">
      <c r="A3" s="2851" t="s">
        <v>2329</v>
      </c>
      <c r="B3" s="2852" t="e">
        <f>ROUND(B2*10000/B4,0)</f>
        <v>#DIV/0!</v>
      </c>
      <c r="C3" s="2841" t="s">
        <v>2330</v>
      </c>
      <c r="D3" s="2841"/>
      <c r="E3" s="2842"/>
      <c r="F3" s="2843"/>
      <c r="G3" s="2844"/>
      <c r="H3" s="2845"/>
      <c r="I3" s="2846"/>
      <c r="J3" s="3698" t="s">
        <v>2331</v>
      </c>
      <c r="K3" s="3699"/>
      <c r="L3" s="2853"/>
      <c r="M3" s="2853"/>
      <c r="N3" s="2853"/>
      <c r="O3" s="2853"/>
      <c r="P3" s="2853"/>
      <c r="Q3" s="2854"/>
      <c r="R3" s="2855">
        <f>SUM(L3:Q3)</f>
        <v>0</v>
      </c>
      <c r="S3" s="2838"/>
      <c r="T3" s="2838"/>
      <c r="U3" s="2838"/>
      <c r="V3" s="2846"/>
    </row>
    <row r="4" spans="1:22" s="2850" customFormat="1" ht="13.15" customHeight="1">
      <c r="A4" s="2856" t="s">
        <v>2332</v>
      </c>
      <c r="B4" s="2857"/>
      <c r="C4" s="2841"/>
      <c r="D4" s="2841"/>
      <c r="E4" s="2842"/>
      <c r="F4" s="2843"/>
      <c r="G4" s="2844"/>
      <c r="H4" s="2845"/>
      <c r="I4" s="2846"/>
      <c r="J4" s="3698" t="s">
        <v>2333</v>
      </c>
      <c r="K4" s="3699"/>
      <c r="L4" s="2858"/>
      <c r="M4" s="2858"/>
      <c r="N4" s="2858"/>
      <c r="O4" s="2858"/>
      <c r="P4" s="2858"/>
      <c r="Q4" s="2859"/>
      <c r="R4" s="2860">
        <f>SUM(L4:Q4)</f>
        <v>0</v>
      </c>
      <c r="S4" s="2838"/>
      <c r="T4" s="2838"/>
      <c r="U4" s="2838"/>
      <c r="V4" s="2846"/>
    </row>
    <row r="5" spans="1:22" s="2850" customFormat="1" ht="13.15" customHeight="1" thickBot="1">
      <c r="A5" s="2861" t="s">
        <v>2334</v>
      </c>
      <c r="B5" s="2862"/>
      <c r="C5" s="2841"/>
      <c r="D5" s="2863"/>
      <c r="E5" s="2843"/>
      <c r="F5" s="2843"/>
      <c r="G5" s="2844"/>
      <c r="H5" s="2845"/>
      <c r="I5" s="2846"/>
      <c r="J5" s="2864" t="s">
        <v>2335</v>
      </c>
      <c r="K5" s="2865"/>
      <c r="L5" s="2865"/>
      <c r="M5" s="2866"/>
      <c r="N5" s="2866"/>
      <c r="O5" s="2866"/>
      <c r="P5" s="2866"/>
      <c r="Q5" s="2866"/>
      <c r="R5" s="2849">
        <f>SUM(R14,R19,R24,R25,R27,R28)</f>
        <v>0</v>
      </c>
      <c r="S5" s="2838"/>
      <c r="T5" s="2838" t="s">
        <v>2336</v>
      </c>
      <c r="U5" s="2838" t="e">
        <f>ROUND(R5*10000/365/R3,1)</f>
        <v>#DIV/0!</v>
      </c>
      <c r="V5" s="2846"/>
    </row>
    <row r="6" spans="1:22" s="2850" customFormat="1" ht="13.15" customHeight="1" thickBot="1">
      <c r="A6" s="3704" t="s">
        <v>2337</v>
      </c>
      <c r="B6" s="3705"/>
      <c r="C6" s="3706"/>
      <c r="D6" s="2867"/>
      <c r="E6" s="2868"/>
      <c r="F6" s="2869"/>
      <c r="G6" s="2870"/>
      <c r="H6" s="2845"/>
      <c r="I6" s="2846"/>
      <c r="J6" s="3690">
        <v>1</v>
      </c>
      <c r="K6" s="3691" t="s">
        <v>2338</v>
      </c>
      <c r="L6" s="2871" t="s">
        <v>2339</v>
      </c>
      <c r="M6" s="2872" t="s">
        <v>2340</v>
      </c>
      <c r="N6" s="2872" t="s">
        <v>2341</v>
      </c>
      <c r="O6" s="2872" t="s">
        <v>2342</v>
      </c>
      <c r="P6" s="2872" t="s">
        <v>2343</v>
      </c>
      <c r="Q6" s="2872" t="s">
        <v>2344</v>
      </c>
      <c r="R6" s="2855" t="s">
        <v>2345</v>
      </c>
      <c r="S6" s="2838"/>
      <c r="T6" s="2838" t="s">
        <v>2346</v>
      </c>
      <c r="U6" s="2838"/>
      <c r="V6" s="2846"/>
    </row>
    <row r="7" spans="1:22" s="2850" customFormat="1" ht="13.15" customHeight="1">
      <c r="A7" s="2873" t="s">
        <v>2347</v>
      </c>
      <c r="B7" s="2874"/>
      <c r="C7" s="2875"/>
      <c r="D7" s="2876">
        <f>SUM(D9,D10,D11,D17,0)</f>
        <v>0</v>
      </c>
      <c r="E7" s="2877" t="e">
        <f>E9+E10+E11+E17</f>
        <v>#DIV/0!</v>
      </c>
      <c r="F7" s="2878"/>
      <c r="G7" s="2879"/>
      <c r="H7" s="2845"/>
      <c r="I7" s="2846"/>
      <c r="J7" s="3690"/>
      <c r="K7" s="3692"/>
      <c r="L7" s="2880" t="s">
        <v>2348</v>
      </c>
      <c r="M7" s="2881"/>
      <c r="N7" s="2857"/>
      <c r="O7" s="2882"/>
      <c r="P7" s="2882"/>
      <c r="Q7" s="2883">
        <v>365</v>
      </c>
      <c r="R7" s="2884">
        <f>ROUND(M7*N7*O7*P7*Q7/10000,0)</f>
        <v>0</v>
      </c>
      <c r="S7" s="2838"/>
      <c r="T7" s="2838" t="s">
        <v>2349</v>
      </c>
      <c r="U7" s="2838"/>
      <c r="V7" s="2846"/>
    </row>
    <row r="8" spans="1:22" s="2850" customFormat="1" ht="13.15" customHeight="1">
      <c r="A8" s="2885" t="s">
        <v>2350</v>
      </c>
      <c r="B8" s="3707" t="s">
        <v>2351</v>
      </c>
      <c r="C8" s="3708"/>
      <c r="D8" s="2886" t="s">
        <v>2352</v>
      </c>
      <c r="E8" s="2887" t="s">
        <v>2353</v>
      </c>
      <c r="F8" s="2888" t="s">
        <v>2354</v>
      </c>
      <c r="G8" s="2889"/>
      <c r="H8" s="2845"/>
      <c r="I8" s="2846"/>
      <c r="J8" s="3690"/>
      <c r="K8" s="3692"/>
      <c r="L8" s="2880" t="s">
        <v>2355</v>
      </c>
      <c r="M8" s="2881"/>
      <c r="N8" s="2857"/>
      <c r="O8" s="2882"/>
      <c r="P8" s="2882"/>
      <c r="Q8" s="2883">
        <v>365</v>
      </c>
      <c r="R8" s="2884">
        <f t="shared" ref="R8:R13" si="0">ROUND(M8*N8*O8*P8*Q8/10000,0)</f>
        <v>0</v>
      </c>
      <c r="S8" s="2838"/>
      <c r="T8" s="2838" t="s">
        <v>2356</v>
      </c>
      <c r="U8" s="2838"/>
      <c r="V8" s="2846"/>
    </row>
    <row r="9" spans="1:22" s="2850" customFormat="1" ht="13.15" customHeight="1">
      <c r="A9" s="2885">
        <v>1</v>
      </c>
      <c r="B9" s="3707" t="s">
        <v>2357</v>
      </c>
      <c r="C9" s="3708"/>
      <c r="D9" s="2886">
        <f>ROUND(D6*E9,0)</f>
        <v>0</v>
      </c>
      <c r="E9" s="2890"/>
      <c r="F9" s="2891" t="s">
        <v>2358</v>
      </c>
      <c r="G9" s="2870"/>
      <c r="H9" s="2845"/>
      <c r="I9" s="2846"/>
      <c r="J9" s="3690"/>
      <c r="K9" s="3692"/>
      <c r="L9" s="2880" t="s">
        <v>2359</v>
      </c>
      <c r="M9" s="2881"/>
      <c r="N9" s="2857"/>
      <c r="O9" s="2882"/>
      <c r="P9" s="2882"/>
      <c r="Q9" s="2883">
        <v>365</v>
      </c>
      <c r="R9" s="2884">
        <f t="shared" si="0"/>
        <v>0</v>
      </c>
      <c r="S9" s="2838"/>
      <c r="T9" s="2838"/>
      <c r="U9" s="2838"/>
      <c r="V9" s="2846"/>
    </row>
    <row r="10" spans="1:22" s="2850" customFormat="1" ht="13.15" customHeight="1">
      <c r="A10" s="2885">
        <v>2</v>
      </c>
      <c r="B10" s="3707" t="s">
        <v>2360</v>
      </c>
      <c r="C10" s="3708"/>
      <c r="D10" s="2886">
        <f>ROUND(D6*E10,0)</f>
        <v>0</v>
      </c>
      <c r="E10" s="2890"/>
      <c r="F10" s="2891" t="s">
        <v>2361</v>
      </c>
      <c r="G10" s="2870"/>
      <c r="H10" s="2845"/>
      <c r="I10" s="2846"/>
      <c r="J10" s="3690"/>
      <c r="K10" s="3692"/>
      <c r="L10" s="2880" t="s">
        <v>2362</v>
      </c>
      <c r="M10" s="2881"/>
      <c r="N10" s="2857"/>
      <c r="O10" s="2882"/>
      <c r="P10" s="2882"/>
      <c r="Q10" s="2883">
        <v>365</v>
      </c>
      <c r="R10" s="2884">
        <f t="shared" si="0"/>
        <v>0</v>
      </c>
      <c r="S10" s="2838"/>
      <c r="T10" s="2838"/>
      <c r="U10" s="2838"/>
      <c r="V10" s="2846"/>
    </row>
    <row r="11" spans="1:22" s="2850" customFormat="1" ht="13.15" customHeight="1">
      <c r="A11" s="2885">
        <v>3</v>
      </c>
      <c r="B11" s="3707" t="s">
        <v>2363</v>
      </c>
      <c r="C11" s="3708"/>
      <c r="D11" s="2886">
        <f>D12+D14+D15+D16</f>
        <v>0</v>
      </c>
      <c r="E11" s="2892" t="e">
        <f>D11/D6</f>
        <v>#DIV/0!</v>
      </c>
      <c r="F11" s="2888"/>
      <c r="G11" s="2889"/>
      <c r="H11" s="2845"/>
      <c r="I11" s="2846"/>
      <c r="J11" s="3690"/>
      <c r="K11" s="3692"/>
      <c r="L11" s="2880" t="s">
        <v>2364</v>
      </c>
      <c r="M11" s="2881"/>
      <c r="N11" s="2857"/>
      <c r="O11" s="2882"/>
      <c r="P11" s="2882"/>
      <c r="Q11" s="2883">
        <v>365</v>
      </c>
      <c r="R11" s="2884">
        <f t="shared" si="0"/>
        <v>0</v>
      </c>
      <c r="S11" s="2838"/>
      <c r="T11" s="2838"/>
      <c r="U11" s="2838"/>
      <c r="V11" s="2846"/>
    </row>
    <row r="12" spans="1:22" s="2850" customFormat="1" ht="13.15" customHeight="1">
      <c r="A12" s="2893" t="s">
        <v>2365</v>
      </c>
      <c r="B12" s="3700" t="s">
        <v>2366</v>
      </c>
      <c r="C12" s="3701"/>
      <c r="D12" s="2894">
        <f>ROUND(D13*1.2%*(1-30%),0)</f>
        <v>0</v>
      </c>
      <c r="E12" s="2895">
        <v>1.2E-2</v>
      </c>
      <c r="F12" s="2888" t="s">
        <v>2367</v>
      </c>
      <c r="G12" s="2889"/>
      <c r="H12" s="2845"/>
      <c r="I12" s="2846"/>
      <c r="J12" s="3690"/>
      <c r="K12" s="3692"/>
      <c r="L12" s="2880" t="s">
        <v>2368</v>
      </c>
      <c r="M12" s="2881"/>
      <c r="N12" s="2857"/>
      <c r="O12" s="2882"/>
      <c r="P12" s="2882"/>
      <c r="Q12" s="2883">
        <v>365</v>
      </c>
      <c r="R12" s="2884">
        <f t="shared" si="0"/>
        <v>0</v>
      </c>
      <c r="S12" s="2838"/>
      <c r="T12" s="2838"/>
      <c r="U12" s="2838"/>
      <c r="V12" s="2846"/>
    </row>
    <row r="13" spans="1:22" s="2850" customFormat="1" ht="13.15" customHeight="1">
      <c r="A13" s="2893"/>
      <c r="B13" s="2896"/>
      <c r="C13" s="2897" t="s">
        <v>2369</v>
      </c>
      <c r="D13" s="2898"/>
      <c r="E13" s="2899"/>
      <c r="F13" s="2888"/>
      <c r="G13" s="2889"/>
      <c r="H13" s="2845"/>
      <c r="I13" s="2846"/>
      <c r="J13" s="3690"/>
      <c r="K13" s="3692"/>
      <c r="L13" s="2880" t="s">
        <v>2370</v>
      </c>
      <c r="M13" s="2881"/>
      <c r="N13" s="2857"/>
      <c r="O13" s="2882"/>
      <c r="P13" s="2882"/>
      <c r="Q13" s="2883">
        <v>365</v>
      </c>
      <c r="R13" s="2884">
        <f t="shared" si="0"/>
        <v>0</v>
      </c>
      <c r="S13" s="2838"/>
      <c r="T13" s="2838"/>
      <c r="U13" s="2838"/>
      <c r="V13" s="2846"/>
    </row>
    <row r="14" spans="1:22" s="2850" customFormat="1" ht="13.15" customHeight="1">
      <c r="A14" s="2893" t="s">
        <v>2371</v>
      </c>
      <c r="B14" s="3700" t="s">
        <v>2372</v>
      </c>
      <c r="C14" s="3701"/>
      <c r="D14" s="2894">
        <f>ROUND(E14*B5/10000,0)</f>
        <v>0</v>
      </c>
      <c r="E14" s="2883"/>
      <c r="F14" s="2888" t="s">
        <v>2373</v>
      </c>
      <c r="G14" s="2889"/>
      <c r="H14" s="2845"/>
      <c r="I14" s="2846"/>
      <c r="J14" s="3690"/>
      <c r="K14" s="3693"/>
      <c r="L14" s="2900" t="s">
        <v>2374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2375</v>
      </c>
      <c r="B15" s="3700" t="s">
        <v>2376</v>
      </c>
      <c r="C15" s="3701"/>
      <c r="D15" s="2894">
        <f>ROUND(D6*E15,0)</f>
        <v>0</v>
      </c>
      <c r="E15" s="2895">
        <v>5.5E-2</v>
      </c>
      <c r="F15" s="2888" t="s">
        <v>2377</v>
      </c>
      <c r="G15" s="2870"/>
      <c r="H15" s="2845"/>
      <c r="I15" s="2846"/>
      <c r="J15" s="3690">
        <v>2</v>
      </c>
      <c r="K15" s="3691" t="s">
        <v>2378</v>
      </c>
      <c r="L15" s="2880" t="s">
        <v>2379</v>
      </c>
      <c r="M15" s="2881" t="s">
        <v>2380</v>
      </c>
      <c r="N15" s="2881" t="s">
        <v>2381</v>
      </c>
      <c r="O15" s="2882" t="s">
        <v>2382</v>
      </c>
      <c r="P15" s="2882" t="s">
        <v>2344</v>
      </c>
      <c r="Q15" s="2857" t="s">
        <v>2383</v>
      </c>
      <c r="R15" s="2904" t="s">
        <v>2345</v>
      </c>
      <c r="S15" s="2838"/>
      <c r="T15" s="2838"/>
      <c r="U15" s="2838"/>
      <c r="V15" s="2846"/>
    </row>
    <row r="16" spans="1:22" s="2850" customFormat="1" ht="13.15" customHeight="1">
      <c r="A16" s="2893" t="s">
        <v>2384</v>
      </c>
      <c r="B16" s="3700" t="s">
        <v>2385</v>
      </c>
      <c r="C16" s="3701"/>
      <c r="D16" s="2905">
        <f>D6*E16</f>
        <v>0</v>
      </c>
      <c r="E16" s="2906"/>
      <c r="F16" s="2891" t="s">
        <v>2386</v>
      </c>
      <c r="G16" s="2870"/>
      <c r="H16" s="2845"/>
      <c r="I16" s="2846"/>
      <c r="J16" s="3690"/>
      <c r="K16" s="3692"/>
      <c r="L16" s="2880" t="s">
        <v>2387</v>
      </c>
      <c r="M16" s="2881"/>
      <c r="N16" s="2881"/>
      <c r="O16" s="2882"/>
      <c r="P16" s="2883">
        <v>365</v>
      </c>
      <c r="Q16" s="2857"/>
      <c r="R16" s="2904">
        <f>ROUND(M16*N16*O16*P16/10000,0)</f>
        <v>0</v>
      </c>
      <c r="S16" s="2838"/>
      <c r="T16" s="2838"/>
      <c r="U16" s="2838"/>
      <c r="V16" s="2846"/>
    </row>
    <row r="17" spans="1:22" s="2850" customFormat="1" ht="13.15" customHeight="1" thickBot="1">
      <c r="A17" s="2907">
        <v>4</v>
      </c>
      <c r="B17" s="3702" t="s">
        <v>2388</v>
      </c>
      <c r="C17" s="3703"/>
      <c r="D17" s="2908">
        <f>ROUND(D6*E17,0)</f>
        <v>0</v>
      </c>
      <c r="E17" s="2909"/>
      <c r="F17" s="2910" t="s">
        <v>2389</v>
      </c>
      <c r="G17" s="2870"/>
      <c r="H17" s="2845"/>
      <c r="I17" s="2846"/>
      <c r="J17" s="3690"/>
      <c r="K17" s="3692"/>
      <c r="L17" s="2880" t="s">
        <v>2390</v>
      </c>
      <c r="M17" s="2881"/>
      <c r="N17" s="2881"/>
      <c r="O17" s="2882"/>
      <c r="P17" s="2883">
        <v>365</v>
      </c>
      <c r="Q17" s="2857"/>
      <c r="R17" s="2904">
        <f>ROUND(M17*N17*O17*P17/10000,0)</f>
        <v>0</v>
      </c>
      <c r="S17" s="2838"/>
      <c r="T17" s="2838"/>
      <c r="U17" s="2838"/>
      <c r="V17" s="2846"/>
    </row>
    <row r="18" spans="1:22" s="2850" customFormat="1" ht="13.15" customHeight="1" thickBot="1">
      <c r="A18" s="2873" t="s">
        <v>2391</v>
      </c>
      <c r="B18" s="2874"/>
      <c r="C18" s="2874"/>
      <c r="D18" s="2911">
        <f>ROUND(D6*E18,0)</f>
        <v>0</v>
      </c>
      <c r="E18" s="2912"/>
      <c r="F18" s="2913" t="s">
        <v>2392</v>
      </c>
      <c r="G18" s="2870"/>
      <c r="H18" s="2845"/>
      <c r="I18" s="2846"/>
      <c r="J18" s="3690"/>
      <c r="K18" s="3692"/>
      <c r="L18" s="2880" t="s">
        <v>2393</v>
      </c>
      <c r="M18" s="2881"/>
      <c r="N18" s="2881"/>
      <c r="O18" s="2882"/>
      <c r="P18" s="2883">
        <v>365</v>
      </c>
      <c r="Q18" s="2857"/>
      <c r="R18" s="2904">
        <f>ROUND(M18*N18*O18*P18/10000,0)</f>
        <v>0</v>
      </c>
      <c r="S18" s="2838"/>
      <c r="T18" s="2838"/>
      <c r="U18" s="2838"/>
      <c r="V18" s="2846"/>
    </row>
    <row r="19" spans="1:22" s="2850" customFormat="1" ht="13.15" customHeight="1" thickBot="1">
      <c r="A19" s="2914" t="s">
        <v>2394</v>
      </c>
      <c r="B19" s="2868"/>
      <c r="C19" s="2868"/>
      <c r="D19" s="2868"/>
      <c r="E19" s="2868"/>
      <c r="F19" s="2869"/>
      <c r="G19" s="2889"/>
      <c r="H19" s="2845"/>
      <c r="I19" s="2846"/>
      <c r="J19" s="3690"/>
      <c r="K19" s="3693"/>
      <c r="L19" s="2900" t="s">
        <v>2374</v>
      </c>
      <c r="M19" s="2901"/>
      <c r="N19" s="2901">
        <f>SUM(N16:N18)</f>
        <v>0</v>
      </c>
      <c r="O19" s="2902"/>
      <c r="P19" s="2915" t="s">
        <v>2438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0">
        <v>3</v>
      </c>
      <c r="K20" s="3691" t="s">
        <v>2395</v>
      </c>
      <c r="L20" s="2880" t="s">
        <v>2396</v>
      </c>
      <c r="M20" s="2881" t="s">
        <v>2397</v>
      </c>
      <c r="N20" s="2918" t="s">
        <v>2398</v>
      </c>
      <c r="O20" s="2882" t="s">
        <v>2399</v>
      </c>
      <c r="P20" s="2883" t="s">
        <v>2400</v>
      </c>
      <c r="Q20" s="2857" t="s">
        <v>2401</v>
      </c>
      <c r="R20" s="2904" t="s">
        <v>2402</v>
      </c>
      <c r="S20" s="2919"/>
      <c r="T20" s="2919"/>
      <c r="U20" s="2919"/>
      <c r="V20" s="2846"/>
    </row>
    <row r="21" spans="1:22" s="2850" customFormat="1" ht="13.15" customHeight="1">
      <c r="A21" s="2873"/>
      <c r="B21" s="2874"/>
      <c r="C21" s="2920" t="s">
        <v>2403</v>
      </c>
      <c r="D21" s="2921" t="s">
        <v>2404</v>
      </c>
      <c r="E21" s="2922" t="s">
        <v>2405</v>
      </c>
      <c r="F21" s="2917"/>
      <c r="G21" s="2889"/>
      <c r="H21" s="2845"/>
      <c r="I21" s="2846"/>
      <c r="J21" s="3690"/>
      <c r="K21" s="3692"/>
      <c r="L21" s="2880" t="s">
        <v>2406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2407</v>
      </c>
      <c r="D22" s="2925" t="s">
        <v>2408</v>
      </c>
      <c r="E22" s="2926" t="s">
        <v>2409</v>
      </c>
      <c r="F22" s="2917"/>
      <c r="G22" s="2927"/>
      <c r="H22" s="2845"/>
      <c r="I22" s="2846"/>
      <c r="J22" s="3690"/>
      <c r="K22" s="3692"/>
      <c r="L22" s="2880" t="s">
        <v>2410</v>
      </c>
      <c r="M22" s="2881"/>
      <c r="N22" s="2881"/>
      <c r="O22" s="2882"/>
      <c r="P22" s="2883">
        <v>365</v>
      </c>
      <c r="Q22" s="2857"/>
      <c r="R22" s="2923">
        <f>ROUND(M22*N22*O22*P22/10000,0)</f>
        <v>0</v>
      </c>
      <c r="S22" s="2919"/>
      <c r="T22" s="2919"/>
      <c r="U22" s="2919"/>
      <c r="V22" s="2846"/>
    </row>
    <row r="23" spans="1:22" s="2850" customFormat="1" ht="13.15" customHeight="1">
      <c r="A23" s="2928">
        <v>1</v>
      </c>
      <c r="B23" s="2929" t="s">
        <v>2411</v>
      </c>
      <c r="C23" s="2930">
        <f>D6</f>
        <v>0</v>
      </c>
      <c r="D23" s="2931">
        <f>C23*(1+D24)</f>
        <v>0</v>
      </c>
      <c r="E23" s="2932">
        <f>D23*(1+E24)</f>
        <v>0</v>
      </c>
      <c r="F23" s="2933"/>
      <c r="G23" s="2934"/>
      <c r="H23" s="2845"/>
      <c r="I23" s="2846"/>
      <c r="J23" s="3690"/>
      <c r="K23" s="3692"/>
      <c r="L23" s="2880" t="s">
        <v>2412</v>
      </c>
      <c r="M23" s="2881"/>
      <c r="N23" s="2881"/>
      <c r="O23" s="2882"/>
      <c r="P23" s="2883">
        <v>365</v>
      </c>
      <c r="Q23" s="2857"/>
      <c r="R23" s="2923">
        <f>ROUND(M23*N23*O23*P23/10000,0)</f>
        <v>0</v>
      </c>
      <c r="S23" s="2838"/>
      <c r="T23" s="2838"/>
      <c r="U23" s="2838"/>
      <c r="V23" s="2846"/>
    </row>
    <row r="24" spans="1:22" s="2850" customFormat="1" ht="13.15" customHeight="1">
      <c r="A24" s="2935"/>
      <c r="B24" s="2936" t="s">
        <v>2413</v>
      </c>
      <c r="C24" s="2937"/>
      <c r="D24" s="2938"/>
      <c r="E24" s="2939"/>
      <c r="F24" s="2940"/>
      <c r="G24" s="2934"/>
      <c r="H24" s="2845"/>
      <c r="I24" s="2846"/>
      <c r="J24" s="3690"/>
      <c r="K24" s="3693"/>
      <c r="L24" s="2900" t="s">
        <v>2374</v>
      </c>
      <c r="M24" s="2901">
        <f>SUM(M21:M23)</f>
        <v>0</v>
      </c>
      <c r="N24" s="2901"/>
      <c r="O24" s="2902"/>
      <c r="P24" s="2915" t="s">
        <v>2438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2414</v>
      </c>
      <c r="L25" s="2943"/>
      <c r="M25" s="2943"/>
      <c r="N25" s="2943"/>
      <c r="O25" s="2943"/>
      <c r="P25" s="2944"/>
      <c r="Q25" s="2945">
        <v>0</v>
      </c>
      <c r="R25" s="2916">
        <f>ROUND(R14*Q25,0)</f>
        <v>0</v>
      </c>
      <c r="S25" s="2838"/>
      <c r="T25" s="2838"/>
      <c r="U25" s="2838"/>
      <c r="V25" s="2946"/>
    </row>
    <row r="26" spans="1:22" s="2947" customFormat="1" ht="13.15" customHeight="1">
      <c r="A26" s="2928">
        <v>2</v>
      </c>
      <c r="B26" s="2929" t="s">
        <v>2415</v>
      </c>
      <c r="C26" s="2930">
        <f>D7</f>
        <v>0</v>
      </c>
      <c r="D26" s="2931">
        <f>D23*D27</f>
        <v>0</v>
      </c>
      <c r="E26" s="2932">
        <f>E23*E27</f>
        <v>0</v>
      </c>
      <c r="F26" s="2933"/>
      <c r="G26" s="2934"/>
      <c r="H26" s="2845"/>
      <c r="I26" s="2846"/>
      <c r="J26" s="3694">
        <v>5</v>
      </c>
      <c r="K26" s="2948" t="s">
        <v>2416</v>
      </c>
      <c r="L26" s="2949"/>
      <c r="M26" s="2950"/>
      <c r="N26" s="2951" t="s">
        <v>2417</v>
      </c>
      <c r="O26" s="2951" t="s">
        <v>2418</v>
      </c>
      <c r="P26" s="2952" t="s">
        <v>2419</v>
      </c>
      <c r="Q26" s="2952" t="s">
        <v>2420</v>
      </c>
      <c r="R26" s="2855" t="s">
        <v>2345</v>
      </c>
      <c r="S26" s="2953"/>
      <c r="T26" s="2953"/>
      <c r="U26" s="2953"/>
      <c r="V26" s="2946"/>
    </row>
    <row r="27" spans="1:22" s="2850" customFormat="1" ht="13.15" customHeight="1">
      <c r="A27" s="2935"/>
      <c r="B27" s="2936" t="s">
        <v>2421</v>
      </c>
      <c r="C27" s="2954" t="e">
        <f>E7</f>
        <v>#DIV/0!</v>
      </c>
      <c r="D27" s="2938"/>
      <c r="E27" s="2939"/>
      <c r="F27" s="2940"/>
      <c r="G27" s="2934"/>
      <c r="H27" s="2955"/>
      <c r="I27" s="2946"/>
      <c r="J27" s="369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2422</v>
      </c>
      <c r="F28" s="2940"/>
      <c r="G28" s="2927"/>
      <c r="H28" s="2955"/>
      <c r="I28" s="2946"/>
      <c r="J28" s="2961">
        <v>6</v>
      </c>
      <c r="K28" s="2962" t="s">
        <v>2423</v>
      </c>
      <c r="L28" s="2963" t="s">
        <v>2424</v>
      </c>
      <c r="M28" s="2964"/>
      <c r="N28" s="2963" t="s">
        <v>2425</v>
      </c>
      <c r="O28" s="2965"/>
      <c r="P28" s="2963" t="s">
        <v>2426</v>
      </c>
      <c r="Q28" s="2966">
        <v>1.4999999999999999E-2</v>
      </c>
      <c r="R28" s="2967"/>
      <c r="S28" s="2919"/>
      <c r="T28" s="2919"/>
      <c r="U28" s="2919"/>
      <c r="V28" s="2946"/>
    </row>
    <row r="29" spans="1:22" s="2947" customFormat="1" ht="13.15" customHeight="1">
      <c r="A29" s="2928">
        <v>3</v>
      </c>
      <c r="B29" s="2929" t="s">
        <v>2427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2428</v>
      </c>
      <c r="K31" s="2836"/>
      <c r="L31" s="2836"/>
      <c r="M31" s="2836"/>
      <c r="N31" s="2836"/>
      <c r="O31" s="2836"/>
      <c r="P31" s="2836"/>
      <c r="Q31" s="2836"/>
      <c r="R31" s="2837"/>
      <c r="S31" s="2919"/>
      <c r="T31" s="2838"/>
      <c r="U31" s="2838"/>
      <c r="V31" s="2946"/>
    </row>
    <row r="32" spans="1:22" s="2947" customFormat="1" ht="13.15" customHeight="1">
      <c r="A32" s="2928">
        <v>4</v>
      </c>
      <c r="B32" s="2929" t="s">
        <v>2429</v>
      </c>
      <c r="C32" s="2930">
        <f>C23-C26-C29</f>
        <v>0</v>
      </c>
      <c r="D32" s="2931">
        <f>D23-D26-D29</f>
        <v>0</v>
      </c>
      <c r="E32" s="2932">
        <f>E23-E26-E29</f>
        <v>0</v>
      </c>
      <c r="F32" s="2933"/>
      <c r="G32" s="2927"/>
      <c r="H32" s="2845"/>
      <c r="I32" s="2846"/>
      <c r="J32" s="3696" t="s">
        <v>2321</v>
      </c>
      <c r="K32" s="3697"/>
      <c r="L32" s="2847" t="s">
        <v>2322</v>
      </c>
      <c r="M32" s="2847" t="s">
        <v>2323</v>
      </c>
      <c r="N32" s="2847" t="s">
        <v>2324</v>
      </c>
      <c r="O32" s="2847" t="s">
        <v>2325</v>
      </c>
      <c r="P32" s="2847" t="s">
        <v>2326</v>
      </c>
      <c r="Q32" s="2848" t="s">
        <v>2327</v>
      </c>
      <c r="R32" s="2970" t="s">
        <v>2328</v>
      </c>
      <c r="S32" s="2919"/>
      <c r="T32" s="2838"/>
      <c r="U32" s="2838"/>
      <c r="V32" s="2946"/>
    </row>
    <row r="33" spans="1:23" s="2850" customFormat="1" ht="13.15" customHeight="1">
      <c r="A33" s="2928"/>
      <c r="B33" s="2929"/>
      <c r="C33" s="2930"/>
      <c r="D33" s="2971"/>
      <c r="E33" s="2972"/>
      <c r="F33" s="2933"/>
      <c r="G33" s="2927"/>
      <c r="H33" s="2955"/>
      <c r="I33" s="2946"/>
      <c r="J33" s="3698" t="s">
        <v>2331</v>
      </c>
      <c r="K33" s="3699"/>
      <c r="L33" s="2853"/>
      <c r="M33" s="2853"/>
      <c r="N33" s="2853"/>
      <c r="O33" s="2853"/>
      <c r="P33" s="2853"/>
      <c r="Q33" s="2854"/>
      <c r="R33" s="2973">
        <f>SUM(L33:Q33)</f>
        <v>0</v>
      </c>
      <c r="S33" s="2919"/>
      <c r="T33" s="2838"/>
      <c r="U33" s="2838"/>
      <c r="V33" s="2846"/>
    </row>
    <row r="34" spans="1:23" s="2850" customFormat="1" ht="13.15" customHeight="1">
      <c r="A34" s="2928">
        <v>5</v>
      </c>
      <c r="B34" s="2929" t="s">
        <v>2430</v>
      </c>
      <c r="C34" s="2974"/>
      <c r="D34" s="2975"/>
      <c r="E34" s="2976"/>
      <c r="F34" s="2933"/>
      <c r="G34" s="2927"/>
      <c r="H34" s="2955"/>
      <c r="I34" s="2946"/>
      <c r="J34" s="3698" t="s">
        <v>2333</v>
      </c>
      <c r="K34" s="369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2431</v>
      </c>
      <c r="C35" s="2978"/>
      <c r="D35" s="2979"/>
      <c r="E35" s="2980"/>
      <c r="F35" s="2933"/>
      <c r="G35" s="2981"/>
      <c r="H35" s="2845"/>
      <c r="I35" s="2946"/>
      <c r="J35" s="2864" t="s">
        <v>2335</v>
      </c>
      <c r="K35" s="2865"/>
      <c r="L35" s="2865"/>
      <c r="M35" s="2866"/>
      <c r="N35" s="2866"/>
      <c r="O35" s="2866"/>
      <c r="P35" s="2866"/>
      <c r="Q35" s="2866"/>
      <c r="R35" s="2982">
        <f>R40+R41+R43</f>
        <v>0</v>
      </c>
      <c r="S35" s="2919"/>
      <c r="T35" s="2838" t="s">
        <v>2336</v>
      </c>
      <c r="U35" s="2838"/>
      <c r="V35" s="2846"/>
    </row>
    <row r="36" spans="1:23" s="2850" customFormat="1" ht="13.15" customHeight="1" thickBot="1">
      <c r="A36" s="2928">
        <v>7</v>
      </c>
      <c r="B36" s="2983" t="s">
        <v>2432</v>
      </c>
      <c r="C36" s="2984"/>
      <c r="D36" s="2985"/>
      <c r="E36" s="2986"/>
      <c r="F36" s="2987">
        <f>C36+D36+E36</f>
        <v>0</v>
      </c>
      <c r="G36" s="2927"/>
      <c r="H36" s="2845"/>
      <c r="I36" s="2846"/>
      <c r="J36" s="3690">
        <v>1</v>
      </c>
      <c r="K36" s="3691" t="s">
        <v>2433</v>
      </c>
      <c r="L36" s="2871"/>
      <c r="M36" s="2872"/>
      <c r="N36" s="2872"/>
      <c r="O36" s="2872"/>
      <c r="P36" s="2872"/>
      <c r="Q36" s="2872"/>
      <c r="R36" s="2855" t="s">
        <v>2345</v>
      </c>
      <c r="S36" s="2919"/>
      <c r="T36" s="2838" t="s">
        <v>2346</v>
      </c>
      <c r="U36" s="2838"/>
      <c r="V36" s="2846"/>
    </row>
    <row r="37" spans="1:23" s="2850" customFormat="1" ht="13.15" customHeight="1">
      <c r="A37" s="2928"/>
      <c r="B37" s="2929"/>
      <c r="C37" s="2929"/>
      <c r="D37" s="2929"/>
      <c r="E37" s="2929"/>
      <c r="F37" s="2933"/>
      <c r="G37" s="2927"/>
      <c r="H37" s="2845"/>
      <c r="I37" s="2846"/>
      <c r="J37" s="3690"/>
      <c r="K37" s="3692"/>
      <c r="L37" s="2880"/>
      <c r="M37" s="2881"/>
      <c r="N37" s="2857"/>
      <c r="O37" s="2882"/>
      <c r="P37" s="2882"/>
      <c r="Q37" s="2883"/>
      <c r="R37" s="2884"/>
      <c r="S37" s="2919"/>
      <c r="T37" s="2838" t="s">
        <v>2349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0"/>
      <c r="K38" s="3692"/>
      <c r="L38" s="2880"/>
      <c r="M38" s="2881"/>
      <c r="N38" s="2857"/>
      <c r="O38" s="2882"/>
      <c r="P38" s="2882"/>
      <c r="Q38" s="2883"/>
      <c r="R38" s="2884"/>
      <c r="S38" s="2919"/>
      <c r="T38" s="2838" t="s">
        <v>2356</v>
      </c>
      <c r="U38" s="2838"/>
      <c r="V38" s="2846"/>
    </row>
    <row r="39" spans="1:23" s="2850" customFormat="1" ht="13.15" customHeight="1">
      <c r="A39" s="2928">
        <v>9</v>
      </c>
      <c r="B39" s="2929" t="s">
        <v>2434</v>
      </c>
      <c r="C39" s="2894" t="e">
        <f>C38</f>
        <v>#DIV/0!</v>
      </c>
      <c r="D39" s="2929">
        <f>D38/(1+D34)^C36</f>
        <v>0</v>
      </c>
      <c r="E39" s="2929">
        <f>E38/(1+E34)^(C36+D36)</f>
        <v>0</v>
      </c>
      <c r="F39" s="2933"/>
      <c r="G39" s="2988"/>
      <c r="H39" s="2845"/>
      <c r="I39" s="2846"/>
      <c r="J39" s="3690"/>
      <c r="K39" s="3692"/>
      <c r="L39" s="2880"/>
      <c r="M39" s="2881"/>
      <c r="N39" s="2857"/>
      <c r="O39" s="2882"/>
      <c r="P39" s="2882"/>
      <c r="Q39" s="2883"/>
      <c r="R39" s="2884"/>
      <c r="S39" s="2919"/>
      <c r="T39" s="2838"/>
      <c r="U39" s="2838"/>
      <c r="V39" s="2846"/>
    </row>
    <row r="40" spans="1:23" s="2850" customFormat="1" ht="13.15" customHeight="1">
      <c r="A40" s="2989">
        <v>10</v>
      </c>
      <c r="B40" s="2929" t="s">
        <v>2435</v>
      </c>
      <c r="C40" s="2990" t="e">
        <f>C39+D39+E39</f>
        <v>#DIV/0!</v>
      </c>
      <c r="D40" s="2991"/>
      <c r="E40" s="2991"/>
      <c r="F40" s="2992"/>
      <c r="G40" s="2927"/>
      <c r="H40" s="2845"/>
      <c r="I40" s="2846"/>
      <c r="J40" s="3690"/>
      <c r="K40" s="3693"/>
      <c r="L40" s="2900" t="s">
        <v>2374</v>
      </c>
      <c r="M40" s="2901"/>
      <c r="N40" s="2901"/>
      <c r="O40" s="2902"/>
      <c r="P40" s="2902"/>
      <c r="Q40" s="2903"/>
      <c r="R40" s="2849">
        <f>SUM(R37:R39)</f>
        <v>0</v>
      </c>
      <c r="S40" s="2919"/>
      <c r="T40" s="2838"/>
      <c r="U40" s="2838"/>
      <c r="V40" s="2846"/>
    </row>
    <row r="41" spans="1:23" s="2850" customFormat="1" ht="13.15" customHeight="1" thickBot="1">
      <c r="A41" s="2993">
        <v>11</v>
      </c>
      <c r="B41" s="2994" t="s">
        <v>2436</v>
      </c>
      <c r="C41" s="2994" t="e">
        <f>ROUND(C40*10000/B4,0)</f>
        <v>#DIV/0!</v>
      </c>
      <c r="D41" s="2995"/>
      <c r="E41" s="2995"/>
      <c r="F41" s="2996"/>
      <c r="G41" s="2997"/>
      <c r="H41" s="2845"/>
      <c r="I41" s="2846"/>
      <c r="J41" s="2941">
        <v>2</v>
      </c>
      <c r="K41" s="2942" t="s">
        <v>2414</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4">
        <v>3</v>
      </c>
      <c r="K42" s="2948" t="s">
        <v>2416</v>
      </c>
      <c r="L42" s="2949"/>
      <c r="M42" s="2950"/>
      <c r="N42" s="2951" t="s">
        <v>2417</v>
      </c>
      <c r="O42" s="2951" t="s">
        <v>2418</v>
      </c>
      <c r="P42" s="2952" t="s">
        <v>2419</v>
      </c>
      <c r="Q42" s="2952" t="s">
        <v>2420</v>
      </c>
      <c r="R42" s="2855" t="s">
        <v>2345</v>
      </c>
      <c r="S42" s="2953"/>
      <c r="T42" s="2953"/>
      <c r="U42" s="2838"/>
      <c r="V42" s="2846"/>
    </row>
    <row r="43" spans="1:23" ht="13.15" customHeight="1">
      <c r="A43" s="2850"/>
      <c r="B43" s="2850"/>
      <c r="C43" s="2850"/>
      <c r="D43" s="2850"/>
      <c r="E43" s="2850"/>
      <c r="F43" s="2850"/>
      <c r="I43" s="2833"/>
      <c r="J43" s="369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2423</v>
      </c>
      <c r="L44" s="3001" t="s">
        <v>2424</v>
      </c>
      <c r="M44" s="2964"/>
      <c r="N44" s="3001" t="s">
        <v>2425</v>
      </c>
      <c r="O44" s="2964"/>
      <c r="P44" s="3001" t="s">
        <v>2426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2146</v>
      </c>
      <c r="C2" s="1872" t="s">
        <v>1651</v>
      </c>
      <c r="D2" s="1873" t="s">
        <v>1652</v>
      </c>
      <c r="E2" s="2604">
        <f>SUM(E6:E13)</f>
        <v>1726.61</v>
      </c>
      <c r="F2" s="2704"/>
      <c r="G2" s="1489"/>
      <c r="H2" s="1489"/>
      <c r="I2" s="1489"/>
      <c r="J2" s="1489"/>
      <c r="K2" s="1489"/>
      <c r="L2" s="1489"/>
      <c r="M2" s="1489"/>
      <c r="N2" s="1489"/>
      <c r="O2" s="1489"/>
      <c r="P2" s="1489"/>
      <c r="Q2" s="1489"/>
      <c r="R2" s="1489"/>
      <c r="S2" s="1489"/>
    </row>
    <row r="3" spans="1:22" ht="15.75">
      <c r="A3" s="1870" t="s">
        <v>686</v>
      </c>
      <c r="B3" s="2598">
        <f ca="1">ROUND(B2*10000/E2,0)</f>
        <v>12429</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9" t="s">
        <v>1654</v>
      </c>
      <c r="C5" s="371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2146</v>
      </c>
      <c r="C6" s="1872" t="s">
        <v>1651</v>
      </c>
      <c r="D6" s="2706"/>
      <c r="E6" s="2603">
        <f>IF(OR(A6=0,F6="否"),0,'数据-取费表'!K6+'数据-取费表'!S6)</f>
        <v>1726.61</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1726.61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56" t="s">
        <v>1667</v>
      </c>
      <c r="D4" s="3657"/>
      <c r="E4" s="3658" t="s">
        <v>1668</v>
      </c>
      <c r="F4" s="3659"/>
      <c r="G4" s="3656" t="s">
        <v>1669</v>
      </c>
      <c r="H4" s="3657"/>
      <c r="I4" s="3656" t="s">
        <v>1670</v>
      </c>
      <c r="J4" s="3657"/>
      <c r="K4" s="1889" t="s">
        <v>1671</v>
      </c>
      <c r="L4" s="2712"/>
      <c r="M4" s="2713"/>
      <c r="N4" s="2713"/>
      <c r="O4" s="2713"/>
      <c r="P4" s="3660" t="s">
        <v>1672</v>
      </c>
      <c r="Q4" s="3661"/>
      <c r="R4" s="3666" t="s">
        <v>1668</v>
      </c>
      <c r="S4" s="3667"/>
      <c r="T4" s="3666" t="s">
        <v>1669</v>
      </c>
      <c r="U4" s="3667"/>
      <c r="V4" s="3672" t="s">
        <v>1670</v>
      </c>
      <c r="W4" s="3672"/>
      <c r="X4" s="1355"/>
      <c r="Y4" s="3666" t="s">
        <v>1672</v>
      </c>
      <c r="Z4" s="3667"/>
      <c r="AA4" s="3653" t="s">
        <v>1668</v>
      </c>
      <c r="AB4" s="3653" t="s">
        <v>1669</v>
      </c>
      <c r="AC4" s="3653" t="s">
        <v>1670</v>
      </c>
    </row>
    <row r="5" spans="1:29" ht="15">
      <c r="A5" s="358"/>
      <c r="B5" s="359"/>
      <c r="C5" s="3680" t="s">
        <v>1673</v>
      </c>
      <c r="D5" s="3681"/>
      <c r="E5" s="3717" t="s">
        <v>1674</v>
      </c>
      <c r="F5" s="3676"/>
      <c r="G5" s="3680" t="s">
        <v>1675</v>
      </c>
      <c r="H5" s="3681"/>
      <c r="I5" s="3680" t="s">
        <v>1676</v>
      </c>
      <c r="J5" s="3681"/>
      <c r="K5" s="1890"/>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1890"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77" t="s">
        <v>1680</v>
      </c>
      <c r="Q7" s="3679"/>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1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1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1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4"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5"/>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5"/>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5"/>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5"/>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5"/>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5"/>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5"/>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5"/>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5"/>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5"/>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5"/>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5"/>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5"/>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5"/>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1" t="s">
        <v>1696</v>
      </c>
      <c r="Q32" s="1352" t="str">
        <f t="shared" si="11"/>
        <v>建筑类型</v>
      </c>
      <c r="R32" s="705" t="s">
        <v>18</v>
      </c>
      <c r="S32" s="706">
        <f t="shared" si="12"/>
        <v>100</v>
      </c>
      <c r="T32" s="705" t="s">
        <v>18</v>
      </c>
      <c r="U32" s="706">
        <f t="shared" si="13"/>
        <v>100</v>
      </c>
      <c r="V32" s="705" t="s">
        <v>18</v>
      </c>
      <c r="W32" s="706">
        <f t="shared" si="14"/>
        <v>100</v>
      </c>
      <c r="X32" s="1355"/>
      <c r="Y32" s="365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2"/>
      <c r="Q33" s="707" t="str">
        <f t="shared" si="11"/>
        <v>项目建筑规模</v>
      </c>
      <c r="R33" s="708" t="s">
        <v>18</v>
      </c>
      <c r="S33" s="709" t="e">
        <f t="shared" si="12"/>
        <v>#N/A</v>
      </c>
      <c r="T33" s="708" t="s">
        <v>18</v>
      </c>
      <c r="U33" s="709" t="e">
        <f t="shared" si="13"/>
        <v>#N/A</v>
      </c>
      <c r="V33" s="708" t="s">
        <v>18</v>
      </c>
      <c r="W33" s="709" t="e">
        <f t="shared" si="14"/>
        <v>#N/A</v>
      </c>
      <c r="X33" s="710"/>
      <c r="Y33" s="365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2"/>
      <c r="Q34" s="1352" t="str">
        <f t="shared" si="11"/>
        <v>建筑结构</v>
      </c>
      <c r="R34" s="705" t="s">
        <v>18</v>
      </c>
      <c r="S34" s="706">
        <f t="shared" si="12"/>
        <v>100</v>
      </c>
      <c r="T34" s="705" t="s">
        <v>18</v>
      </c>
      <c r="U34" s="706">
        <f t="shared" si="13"/>
        <v>100</v>
      </c>
      <c r="V34" s="705" t="s">
        <v>18</v>
      </c>
      <c r="W34" s="706">
        <f t="shared" si="14"/>
        <v>100</v>
      </c>
      <c r="X34" s="1355"/>
      <c r="Y34" s="365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2"/>
      <c r="Q35" s="1352" t="str">
        <f t="shared" si="11"/>
        <v>建筑品质</v>
      </c>
      <c r="R35" s="705" t="s">
        <v>18</v>
      </c>
      <c r="S35" s="706">
        <f t="shared" si="12"/>
        <v>100</v>
      </c>
      <c r="T35" s="705" t="s">
        <v>18</v>
      </c>
      <c r="U35" s="706">
        <f t="shared" si="13"/>
        <v>100</v>
      </c>
      <c r="V35" s="705" t="s">
        <v>18</v>
      </c>
      <c r="W35" s="706">
        <f t="shared" si="14"/>
        <v>100</v>
      </c>
      <c r="X35" s="1355"/>
      <c r="Y35" s="365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2"/>
      <c r="Q36" s="1352" t="str">
        <f t="shared" si="11"/>
        <v>公共部分装修</v>
      </c>
      <c r="R36" s="705" t="s">
        <v>18</v>
      </c>
      <c r="S36" s="706">
        <f t="shared" si="12"/>
        <v>100</v>
      </c>
      <c r="T36" s="705" t="s">
        <v>18</v>
      </c>
      <c r="U36" s="706">
        <f t="shared" si="13"/>
        <v>100</v>
      </c>
      <c r="V36" s="705" t="s">
        <v>18</v>
      </c>
      <c r="W36" s="706">
        <f t="shared" si="14"/>
        <v>100</v>
      </c>
      <c r="X36" s="1355"/>
      <c r="Y36" s="365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2"/>
      <c r="Q37" s="1343" t="str">
        <f t="shared" si="11"/>
        <v>成新度</v>
      </c>
      <c r="R37" s="701" t="s">
        <v>18</v>
      </c>
      <c r="S37" s="702" t="e">
        <f t="shared" si="12"/>
        <v>#N/A</v>
      </c>
      <c r="T37" s="701" t="s">
        <v>18</v>
      </c>
      <c r="U37" s="702" t="e">
        <f t="shared" si="13"/>
        <v>#N/A</v>
      </c>
      <c r="V37" s="701" t="s">
        <v>18</v>
      </c>
      <c r="W37" s="702" t="e">
        <f t="shared" si="14"/>
        <v>#N/A</v>
      </c>
      <c r="X37" s="703"/>
      <c r="Y37" s="365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2" t="s">
        <v>1696</v>
      </c>
      <c r="Q38" s="1352" t="str">
        <f t="shared" si="11"/>
        <v>物业管理</v>
      </c>
      <c r="R38" s="705" t="s">
        <v>18</v>
      </c>
      <c r="S38" s="706">
        <f t="shared" si="12"/>
        <v>100</v>
      </c>
      <c r="T38" s="705" t="s">
        <v>18</v>
      </c>
      <c r="U38" s="706">
        <f t="shared" si="13"/>
        <v>100</v>
      </c>
      <c r="V38" s="705" t="s">
        <v>18</v>
      </c>
      <c r="W38" s="706">
        <f t="shared" si="14"/>
        <v>100</v>
      </c>
      <c r="X38" s="1355"/>
      <c r="Y38" s="365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2"/>
      <c r="Q39" s="1352" t="str">
        <f t="shared" si="11"/>
        <v>市政基础设施</v>
      </c>
      <c r="R39" s="705" t="s">
        <v>18</v>
      </c>
      <c r="S39" s="706">
        <f t="shared" si="12"/>
        <v>100</v>
      </c>
      <c r="T39" s="705" t="s">
        <v>18</v>
      </c>
      <c r="U39" s="706">
        <f t="shared" si="13"/>
        <v>100</v>
      </c>
      <c r="V39" s="705" t="s">
        <v>18</v>
      </c>
      <c r="W39" s="706">
        <f t="shared" si="14"/>
        <v>100</v>
      </c>
      <c r="X39" s="1355"/>
      <c r="Y39" s="365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2"/>
      <c r="Q40" s="1352" t="str">
        <f t="shared" si="11"/>
        <v>房型</v>
      </c>
      <c r="R40" s="705" t="s">
        <v>18</v>
      </c>
      <c r="S40" s="706">
        <f t="shared" si="12"/>
        <v>100</v>
      </c>
      <c r="T40" s="705" t="s">
        <v>18</v>
      </c>
      <c r="U40" s="706">
        <f t="shared" si="13"/>
        <v>100</v>
      </c>
      <c r="V40" s="705" t="s">
        <v>18</v>
      </c>
      <c r="W40" s="706">
        <f t="shared" si="14"/>
        <v>100</v>
      </c>
      <c r="X40" s="1355"/>
      <c r="Y40" s="365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2"/>
      <c r="Q41" s="707" t="str">
        <f t="shared" si="11"/>
        <v>单套/主力户型建筑面积</v>
      </c>
      <c r="R41" s="708" t="s">
        <v>18</v>
      </c>
      <c r="S41" s="709">
        <f t="shared" si="12"/>
        <v>100</v>
      </c>
      <c r="T41" s="708" t="s">
        <v>18</v>
      </c>
      <c r="U41" s="709">
        <f t="shared" si="13"/>
        <v>100</v>
      </c>
      <c r="V41" s="708" t="s">
        <v>18</v>
      </c>
      <c r="W41" s="709">
        <f t="shared" si="14"/>
        <v>100</v>
      </c>
      <c r="X41" s="710"/>
      <c r="Y41" s="365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2"/>
      <c r="Q42" s="1352" t="str">
        <f t="shared" si="11"/>
        <v>内部装修</v>
      </c>
      <c r="R42" s="705" t="s">
        <v>18</v>
      </c>
      <c r="S42" s="706">
        <f t="shared" si="12"/>
        <v>100</v>
      </c>
      <c r="T42" s="705" t="s">
        <v>18</v>
      </c>
      <c r="U42" s="706">
        <f t="shared" si="13"/>
        <v>100</v>
      </c>
      <c r="V42" s="705" t="s">
        <v>18</v>
      </c>
      <c r="W42" s="706">
        <f t="shared" si="14"/>
        <v>100</v>
      </c>
      <c r="X42" s="1355"/>
      <c r="Y42" s="365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2"/>
      <c r="Q43" s="1352" t="str">
        <f t="shared" si="11"/>
        <v>内部装修维护情况</v>
      </c>
      <c r="R43" s="705" t="s">
        <v>18</v>
      </c>
      <c r="S43" s="706">
        <f t="shared" si="12"/>
        <v>100</v>
      </c>
      <c r="T43" s="705" t="s">
        <v>18</v>
      </c>
      <c r="U43" s="706">
        <f t="shared" si="13"/>
        <v>100</v>
      </c>
      <c r="V43" s="705" t="s">
        <v>18</v>
      </c>
      <c r="W43" s="706">
        <f t="shared" si="14"/>
        <v>100</v>
      </c>
      <c r="X43" s="1355"/>
      <c r="Y43" s="36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2"/>
      <c r="Q44" s="1343">
        <f t="shared" si="11"/>
        <v>111</v>
      </c>
      <c r="R44" s="701" t="s">
        <v>18</v>
      </c>
      <c r="S44" s="702">
        <f t="shared" si="12"/>
        <v>100</v>
      </c>
      <c r="T44" s="701" t="s">
        <v>18</v>
      </c>
      <c r="U44" s="702">
        <f t="shared" si="13"/>
        <v>100</v>
      </c>
      <c r="V44" s="701" t="s">
        <v>18</v>
      </c>
      <c r="W44" s="702">
        <f t="shared" si="14"/>
        <v>100</v>
      </c>
      <c r="X44" s="703"/>
      <c r="Y44" s="36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2"/>
      <c r="Q45" s="1352">
        <f t="shared" si="11"/>
        <v>111</v>
      </c>
      <c r="R45" s="705" t="s">
        <v>18</v>
      </c>
      <c r="S45" s="706">
        <f t="shared" si="12"/>
        <v>100</v>
      </c>
      <c r="T45" s="705" t="s">
        <v>18</v>
      </c>
      <c r="U45" s="706">
        <f t="shared" si="13"/>
        <v>100</v>
      </c>
      <c r="V45" s="705" t="s">
        <v>18</v>
      </c>
      <c r="W45" s="706">
        <f t="shared" si="14"/>
        <v>100</v>
      </c>
      <c r="X45" s="1355"/>
      <c r="Y45" s="36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3"/>
      <c r="Q46" s="1352">
        <f t="shared" si="11"/>
        <v>111</v>
      </c>
      <c r="R46" s="705" t="s">
        <v>17</v>
      </c>
      <c r="S46" s="706">
        <f t="shared" si="12"/>
        <v>100</v>
      </c>
      <c r="T46" s="705" t="s">
        <v>17</v>
      </c>
      <c r="U46" s="706">
        <f t="shared" si="13"/>
        <v>100</v>
      </c>
      <c r="V46" s="705" t="s">
        <v>17</v>
      </c>
      <c r="W46" s="706">
        <f t="shared" si="14"/>
        <v>100</v>
      </c>
      <c r="X46" s="1355"/>
      <c r="Y46" s="365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1726.61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72"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72"/>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72"/>
      <c r="AC6" s="365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4"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5"/>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5"/>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5"/>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5"/>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5"/>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5"/>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5"/>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5"/>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5"/>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5"/>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1" t="s">
        <v>1696</v>
      </c>
      <c r="Q32" s="1352" t="str">
        <f t="shared" si="11"/>
        <v>商业类型</v>
      </c>
      <c r="R32" s="705" t="s">
        <v>14</v>
      </c>
      <c r="S32" s="706">
        <f t="shared" si="12"/>
        <v>100</v>
      </c>
      <c r="T32" s="705" t="s">
        <v>14</v>
      </c>
      <c r="U32" s="706">
        <f t="shared" si="13"/>
        <v>100</v>
      </c>
      <c r="V32" s="705" t="s">
        <v>14</v>
      </c>
      <c r="W32" s="706">
        <f t="shared" si="14"/>
        <v>100</v>
      </c>
      <c r="X32" s="1355"/>
      <c r="Y32" s="365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2"/>
      <c r="Q33" s="707" t="str">
        <f t="shared" si="11"/>
        <v>项目建筑规模</v>
      </c>
      <c r="R33" s="708" t="s">
        <v>14</v>
      </c>
      <c r="S33" s="709" t="e">
        <f t="shared" si="12"/>
        <v>#N/A</v>
      </c>
      <c r="T33" s="708" t="s">
        <v>14</v>
      </c>
      <c r="U33" s="709" t="e">
        <f t="shared" si="13"/>
        <v>#N/A</v>
      </c>
      <c r="V33" s="708" t="s">
        <v>14</v>
      </c>
      <c r="W33" s="709" t="e">
        <f t="shared" si="14"/>
        <v>#N/A</v>
      </c>
      <c r="X33" s="710"/>
      <c r="Y33" s="365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2"/>
      <c r="Q34" s="1352" t="str">
        <f t="shared" si="11"/>
        <v>建筑结构</v>
      </c>
      <c r="R34" s="705" t="s">
        <v>14</v>
      </c>
      <c r="S34" s="706">
        <f t="shared" si="12"/>
        <v>100</v>
      </c>
      <c r="T34" s="705" t="s">
        <v>14</v>
      </c>
      <c r="U34" s="706">
        <f t="shared" si="13"/>
        <v>100</v>
      </c>
      <c r="V34" s="705" t="s">
        <v>14</v>
      </c>
      <c r="W34" s="706">
        <f t="shared" si="14"/>
        <v>100</v>
      </c>
      <c r="X34" s="1355"/>
      <c r="Y34" s="365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2"/>
      <c r="Q35" s="1352" t="str">
        <f t="shared" si="11"/>
        <v>公共部分装修</v>
      </c>
      <c r="R35" s="705" t="s">
        <v>14</v>
      </c>
      <c r="S35" s="706">
        <f t="shared" si="12"/>
        <v>100</v>
      </c>
      <c r="T35" s="705" t="s">
        <v>14</v>
      </c>
      <c r="U35" s="706">
        <f t="shared" si="13"/>
        <v>100</v>
      </c>
      <c r="V35" s="705" t="s">
        <v>14</v>
      </c>
      <c r="W35" s="706">
        <f t="shared" si="14"/>
        <v>100</v>
      </c>
      <c r="X35" s="1355"/>
      <c r="Y35" s="365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2"/>
      <c r="Q36" s="1352" t="str">
        <f t="shared" si="11"/>
        <v>成新度</v>
      </c>
      <c r="R36" s="705" t="s">
        <v>14</v>
      </c>
      <c r="S36" s="706" t="e">
        <f t="shared" si="12"/>
        <v>#N/A</v>
      </c>
      <c r="T36" s="705" t="s">
        <v>14</v>
      </c>
      <c r="U36" s="706" t="e">
        <f t="shared" si="13"/>
        <v>#N/A</v>
      </c>
      <c r="V36" s="705" t="s">
        <v>14</v>
      </c>
      <c r="W36" s="706" t="e">
        <f t="shared" si="14"/>
        <v>#N/A</v>
      </c>
      <c r="X36" s="1355"/>
      <c r="Y36" s="365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2"/>
      <c r="Q37" s="1343" t="str">
        <f t="shared" si="11"/>
        <v>市政基础设施</v>
      </c>
      <c r="R37" s="701" t="s">
        <v>14</v>
      </c>
      <c r="S37" s="702">
        <f t="shared" si="12"/>
        <v>100</v>
      </c>
      <c r="T37" s="701" t="s">
        <v>14</v>
      </c>
      <c r="U37" s="702">
        <f t="shared" si="13"/>
        <v>100</v>
      </c>
      <c r="V37" s="701" t="s">
        <v>14</v>
      </c>
      <c r="W37" s="702">
        <f t="shared" si="14"/>
        <v>100</v>
      </c>
      <c r="X37" s="703"/>
      <c r="Y37" s="365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2" t="s">
        <v>1696</v>
      </c>
      <c r="Q38" s="1352" t="str">
        <f t="shared" si="11"/>
        <v>业态</v>
      </c>
      <c r="R38" s="705" t="s">
        <v>14</v>
      </c>
      <c r="S38" s="706">
        <f t="shared" si="12"/>
        <v>100</v>
      </c>
      <c r="T38" s="705" t="s">
        <v>14</v>
      </c>
      <c r="U38" s="706">
        <f t="shared" si="13"/>
        <v>100</v>
      </c>
      <c r="V38" s="705" t="s">
        <v>14</v>
      </c>
      <c r="W38" s="706">
        <f t="shared" si="14"/>
        <v>100</v>
      </c>
      <c r="X38" s="1355"/>
      <c r="Y38" s="365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2"/>
      <c r="Q39" s="1352" t="str">
        <f t="shared" si="11"/>
        <v>层高</v>
      </c>
      <c r="R39" s="705" t="s">
        <v>14</v>
      </c>
      <c r="S39" s="706">
        <f t="shared" si="12"/>
        <v>100</v>
      </c>
      <c r="T39" s="705" t="s">
        <v>14</v>
      </c>
      <c r="U39" s="706">
        <f t="shared" si="13"/>
        <v>100</v>
      </c>
      <c r="V39" s="705" t="s">
        <v>14</v>
      </c>
      <c r="W39" s="706">
        <f t="shared" si="14"/>
        <v>100</v>
      </c>
      <c r="X39" s="1355"/>
      <c r="Y39" s="365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2"/>
      <c r="Q40" s="1352" t="str">
        <f t="shared" si="11"/>
        <v>单套建筑面积</v>
      </c>
      <c r="R40" s="705" t="s">
        <v>14</v>
      </c>
      <c r="S40" s="706">
        <f t="shared" si="12"/>
        <v>100</v>
      </c>
      <c r="T40" s="705" t="s">
        <v>14</v>
      </c>
      <c r="U40" s="706">
        <f t="shared" si="13"/>
        <v>100</v>
      </c>
      <c r="V40" s="705" t="s">
        <v>14</v>
      </c>
      <c r="W40" s="706">
        <f t="shared" si="14"/>
        <v>100</v>
      </c>
      <c r="X40" s="1355"/>
      <c r="Y40" s="365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2"/>
      <c r="Q41" s="707" t="str">
        <f t="shared" si="11"/>
        <v>进深比</v>
      </c>
      <c r="R41" s="708" t="s">
        <v>14</v>
      </c>
      <c r="S41" s="709">
        <f t="shared" si="12"/>
        <v>100</v>
      </c>
      <c r="T41" s="708" t="s">
        <v>14</v>
      </c>
      <c r="U41" s="709">
        <f t="shared" si="13"/>
        <v>100</v>
      </c>
      <c r="V41" s="708" t="s">
        <v>14</v>
      </c>
      <c r="W41" s="709">
        <f t="shared" si="14"/>
        <v>100</v>
      </c>
      <c r="X41" s="710"/>
      <c r="Y41" s="365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2"/>
      <c r="Q42" s="1352" t="str">
        <f t="shared" si="11"/>
        <v>内部装修</v>
      </c>
      <c r="R42" s="705" t="s">
        <v>14</v>
      </c>
      <c r="S42" s="706">
        <f t="shared" si="12"/>
        <v>100</v>
      </c>
      <c r="T42" s="705" t="s">
        <v>14</v>
      </c>
      <c r="U42" s="706">
        <f t="shared" si="13"/>
        <v>100</v>
      </c>
      <c r="V42" s="705" t="s">
        <v>14</v>
      </c>
      <c r="W42" s="706">
        <f t="shared" si="14"/>
        <v>100</v>
      </c>
      <c r="X42" s="1355"/>
      <c r="Y42" s="365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2"/>
      <c r="Q43" s="1352" t="str">
        <f t="shared" si="11"/>
        <v>内部装修维护情况</v>
      </c>
      <c r="R43" s="705" t="s">
        <v>14</v>
      </c>
      <c r="S43" s="706">
        <f t="shared" si="12"/>
        <v>100</v>
      </c>
      <c r="T43" s="705" t="s">
        <v>14</v>
      </c>
      <c r="U43" s="706">
        <f t="shared" si="13"/>
        <v>100</v>
      </c>
      <c r="V43" s="705" t="s">
        <v>14</v>
      </c>
      <c r="W43" s="706">
        <f t="shared" si="14"/>
        <v>100</v>
      </c>
      <c r="X43" s="1355"/>
      <c r="Y43" s="36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2"/>
      <c r="Q44" s="1343">
        <f t="shared" si="11"/>
        <v>111</v>
      </c>
      <c r="R44" s="701" t="s">
        <v>14</v>
      </c>
      <c r="S44" s="702">
        <f t="shared" si="12"/>
        <v>100</v>
      </c>
      <c r="T44" s="701" t="s">
        <v>14</v>
      </c>
      <c r="U44" s="702">
        <f t="shared" si="13"/>
        <v>100</v>
      </c>
      <c r="V44" s="701" t="s">
        <v>14</v>
      </c>
      <c r="W44" s="702">
        <f t="shared" si="14"/>
        <v>100</v>
      </c>
      <c r="X44" s="703"/>
      <c r="Y44" s="36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2"/>
      <c r="Q45" s="1352">
        <f t="shared" si="11"/>
        <v>111</v>
      </c>
      <c r="R45" s="705" t="s">
        <v>14</v>
      </c>
      <c r="S45" s="706">
        <f t="shared" si="12"/>
        <v>100</v>
      </c>
      <c r="T45" s="705" t="s">
        <v>14</v>
      </c>
      <c r="U45" s="706">
        <f t="shared" si="13"/>
        <v>100</v>
      </c>
      <c r="V45" s="705" t="s">
        <v>14</v>
      </c>
      <c r="W45" s="706">
        <f t="shared" si="14"/>
        <v>100</v>
      </c>
      <c r="X45" s="1355"/>
      <c r="Y45" s="36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3"/>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43" t="str">
        <f>A47</f>
        <v>成交单价（元/平方米）</v>
      </c>
      <c r="Q47" s="3643"/>
      <c r="R47" s="3672">
        <f>E47</f>
        <v>0</v>
      </c>
      <c r="S47" s="3672"/>
      <c r="T47" s="3672">
        <f>G47</f>
        <v>0</v>
      </c>
      <c r="U47" s="3672"/>
      <c r="V47" s="3672">
        <f>I47</f>
        <v>0</v>
      </c>
      <c r="W47" s="367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1726.61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680" t="s">
        <v>1673</v>
      </c>
      <c r="D5" s="3681"/>
      <c r="E5" s="3717" t="s">
        <v>1674</v>
      </c>
      <c r="F5" s="3676"/>
      <c r="G5" s="3680" t="s">
        <v>1675</v>
      </c>
      <c r="H5" s="3681"/>
      <c r="I5" s="3680" t="s">
        <v>1676</v>
      </c>
      <c r="J5" s="3681"/>
      <c r="K5" s="559"/>
      <c r="L5" s="2712"/>
      <c r="M5" s="2713"/>
      <c r="N5" s="2713"/>
      <c r="O5" s="2713"/>
      <c r="P5" s="3726"/>
      <c r="Q5" s="3663"/>
      <c r="R5" s="3668"/>
      <c r="S5" s="3669"/>
      <c r="T5" s="3668"/>
      <c r="U5" s="3669"/>
      <c r="V5" s="3672"/>
      <c r="W5" s="3672"/>
      <c r="X5" s="1355"/>
      <c r="Y5" s="3668"/>
      <c r="Z5" s="3669"/>
      <c r="AA5" s="3654"/>
      <c r="AB5" s="3654"/>
      <c r="AC5" s="3722"/>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727"/>
      <c r="Q6" s="3665"/>
      <c r="R6" s="3668"/>
      <c r="S6" s="3669"/>
      <c r="T6" s="3670"/>
      <c r="U6" s="3671"/>
      <c r="V6" s="3672"/>
      <c r="W6" s="3672"/>
      <c r="X6" s="1355"/>
      <c r="Y6" s="3670"/>
      <c r="Z6" s="3671"/>
      <c r="AA6" s="3655"/>
      <c r="AB6" s="3655"/>
      <c r="AC6" s="3723"/>
    </row>
    <row r="7" spans="1:29" s="108" customFormat="1" ht="15.75" thickBot="1">
      <c r="A7" s="362" t="s">
        <v>1679</v>
      </c>
      <c r="B7" s="363"/>
      <c r="C7" s="364">
        <f>'数据-取费表'!B2</f>
        <v>45190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1"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4"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15"/>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15"/>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15"/>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15"/>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5"/>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15"/>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15"/>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5"/>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5"/>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15"/>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5"/>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1" t="s">
        <v>1696</v>
      </c>
      <c r="Q33" s="1352" t="str">
        <f t="shared" si="11"/>
        <v>建筑类型</v>
      </c>
      <c r="R33" s="705" t="s">
        <v>14</v>
      </c>
      <c r="S33" s="706">
        <f t="shared" si="12"/>
        <v>100</v>
      </c>
      <c r="T33" s="705" t="s">
        <v>14</v>
      </c>
      <c r="U33" s="706">
        <f t="shared" si="13"/>
        <v>100</v>
      </c>
      <c r="V33" s="705" t="s">
        <v>14</v>
      </c>
      <c r="W33" s="706">
        <f t="shared" si="14"/>
        <v>100</v>
      </c>
      <c r="X33" s="1355"/>
      <c r="Y33" s="365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2"/>
      <c r="Q34" s="707" t="str">
        <f t="shared" si="11"/>
        <v>项目建筑规模</v>
      </c>
      <c r="R34" s="708" t="s">
        <v>14</v>
      </c>
      <c r="S34" s="709" t="e">
        <f t="shared" si="12"/>
        <v>#N/A</v>
      </c>
      <c r="T34" s="708" t="s">
        <v>14</v>
      </c>
      <c r="U34" s="709" t="e">
        <f t="shared" si="13"/>
        <v>#N/A</v>
      </c>
      <c r="V34" s="708" t="s">
        <v>14</v>
      </c>
      <c r="W34" s="709" t="e">
        <f t="shared" si="14"/>
        <v>#N/A</v>
      </c>
      <c r="X34" s="710"/>
      <c r="Y34" s="365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2"/>
      <c r="Q35" s="1352" t="str">
        <f t="shared" si="11"/>
        <v>建筑结构</v>
      </c>
      <c r="R35" s="705" t="s">
        <v>14</v>
      </c>
      <c r="S35" s="706">
        <f t="shared" si="12"/>
        <v>100</v>
      </c>
      <c r="T35" s="705" t="s">
        <v>14</v>
      </c>
      <c r="U35" s="706">
        <f t="shared" si="13"/>
        <v>100</v>
      </c>
      <c r="V35" s="705" t="s">
        <v>14</v>
      </c>
      <c r="W35" s="706">
        <f t="shared" si="14"/>
        <v>100</v>
      </c>
      <c r="X35" s="1355"/>
      <c r="Y35" s="365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2"/>
      <c r="Q36" s="1352" t="str">
        <f t="shared" si="11"/>
        <v>公共部分装修</v>
      </c>
      <c r="R36" s="705" t="s">
        <v>14</v>
      </c>
      <c r="S36" s="706">
        <f t="shared" si="12"/>
        <v>100</v>
      </c>
      <c r="T36" s="705" t="s">
        <v>14</v>
      </c>
      <c r="U36" s="706">
        <f t="shared" si="13"/>
        <v>100</v>
      </c>
      <c r="V36" s="705" t="s">
        <v>14</v>
      </c>
      <c r="W36" s="706">
        <f t="shared" si="14"/>
        <v>100</v>
      </c>
      <c r="X36" s="1355"/>
      <c r="Y36" s="365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2"/>
      <c r="Q37" s="1352" t="str">
        <f t="shared" si="11"/>
        <v>成新度</v>
      </c>
      <c r="R37" s="705" t="s">
        <v>14</v>
      </c>
      <c r="S37" s="706" t="e">
        <f t="shared" si="12"/>
        <v>#N/A</v>
      </c>
      <c r="T37" s="705" t="s">
        <v>14</v>
      </c>
      <c r="U37" s="706" t="e">
        <f t="shared" si="13"/>
        <v>#N/A</v>
      </c>
      <c r="V37" s="705" t="s">
        <v>14</v>
      </c>
      <c r="W37" s="706" t="e">
        <f t="shared" si="14"/>
        <v>#N/A</v>
      </c>
      <c r="X37" s="1355"/>
      <c r="Y37" s="365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2"/>
      <c r="Q38" s="1343" t="str">
        <f t="shared" si="11"/>
        <v>写字楼等级</v>
      </c>
      <c r="R38" s="701" t="s">
        <v>14</v>
      </c>
      <c r="S38" s="702">
        <f t="shared" si="12"/>
        <v>100</v>
      </c>
      <c r="T38" s="701" t="s">
        <v>14</v>
      </c>
      <c r="U38" s="702">
        <f t="shared" si="13"/>
        <v>100</v>
      </c>
      <c r="V38" s="701" t="s">
        <v>14</v>
      </c>
      <c r="W38" s="702">
        <f t="shared" si="14"/>
        <v>100</v>
      </c>
      <c r="X38" s="703"/>
      <c r="Y38" s="365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2" t="s">
        <v>1696</v>
      </c>
      <c r="Q39" s="1352" t="str">
        <f t="shared" si="11"/>
        <v>物业管理</v>
      </c>
      <c r="R39" s="705" t="s">
        <v>14</v>
      </c>
      <c r="S39" s="706">
        <f t="shared" si="12"/>
        <v>100</v>
      </c>
      <c r="T39" s="705" t="s">
        <v>14</v>
      </c>
      <c r="U39" s="706">
        <f t="shared" si="13"/>
        <v>100</v>
      </c>
      <c r="V39" s="705" t="s">
        <v>14</v>
      </c>
      <c r="W39" s="706">
        <f t="shared" si="14"/>
        <v>100</v>
      </c>
      <c r="X39" s="1355"/>
      <c r="Y39" s="365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2"/>
      <c r="Q40" s="1352" t="str">
        <f t="shared" si="11"/>
        <v>市政基础设施</v>
      </c>
      <c r="R40" s="705" t="s">
        <v>14</v>
      </c>
      <c r="S40" s="706">
        <f t="shared" si="12"/>
        <v>100</v>
      </c>
      <c r="T40" s="705" t="s">
        <v>14</v>
      </c>
      <c r="U40" s="706">
        <f t="shared" si="13"/>
        <v>100</v>
      </c>
      <c r="V40" s="705" t="s">
        <v>14</v>
      </c>
      <c r="W40" s="706">
        <f t="shared" si="14"/>
        <v>100</v>
      </c>
      <c r="X40" s="1355"/>
      <c r="Y40" s="365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2"/>
      <c r="Q41" s="1352" t="str">
        <f t="shared" si="11"/>
        <v>层高</v>
      </c>
      <c r="R41" s="705" t="s">
        <v>14</v>
      </c>
      <c r="S41" s="706">
        <f t="shared" si="12"/>
        <v>100</v>
      </c>
      <c r="T41" s="705" t="s">
        <v>14</v>
      </c>
      <c r="U41" s="706">
        <f t="shared" si="13"/>
        <v>100</v>
      </c>
      <c r="V41" s="705" t="s">
        <v>14</v>
      </c>
      <c r="W41" s="706">
        <f t="shared" si="14"/>
        <v>100</v>
      </c>
      <c r="X41" s="1355"/>
      <c r="Y41" s="365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2"/>
      <c r="Q42" s="707" t="str">
        <f t="shared" si="11"/>
        <v>单套建筑面积</v>
      </c>
      <c r="R42" s="708" t="s">
        <v>14</v>
      </c>
      <c r="S42" s="709">
        <f t="shared" si="12"/>
        <v>100</v>
      </c>
      <c r="T42" s="708" t="s">
        <v>14</v>
      </c>
      <c r="U42" s="709">
        <f t="shared" si="13"/>
        <v>100</v>
      </c>
      <c r="V42" s="708" t="s">
        <v>14</v>
      </c>
      <c r="W42" s="709">
        <f t="shared" si="14"/>
        <v>100</v>
      </c>
      <c r="X42" s="710"/>
      <c r="Y42" s="365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2"/>
      <c r="Q43" s="1352" t="str">
        <f t="shared" si="11"/>
        <v>内部装修</v>
      </c>
      <c r="R43" s="705" t="s">
        <v>14</v>
      </c>
      <c r="S43" s="706">
        <f t="shared" si="12"/>
        <v>100</v>
      </c>
      <c r="T43" s="705" t="s">
        <v>14</v>
      </c>
      <c r="U43" s="706">
        <f t="shared" si="13"/>
        <v>100</v>
      </c>
      <c r="V43" s="705" t="s">
        <v>14</v>
      </c>
      <c r="W43" s="706">
        <f t="shared" si="14"/>
        <v>100</v>
      </c>
      <c r="X43" s="1355"/>
      <c r="Y43" s="365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2"/>
      <c r="Q44" s="1352" t="str">
        <f t="shared" si="11"/>
        <v>内部装修维护情况</v>
      </c>
      <c r="R44" s="705" t="s">
        <v>14</v>
      </c>
      <c r="S44" s="706">
        <f t="shared" si="12"/>
        <v>100</v>
      </c>
      <c r="T44" s="705" t="s">
        <v>14</v>
      </c>
      <c r="U44" s="706">
        <f t="shared" si="13"/>
        <v>100</v>
      </c>
      <c r="V44" s="705" t="s">
        <v>14</v>
      </c>
      <c r="W44" s="706">
        <f t="shared" si="14"/>
        <v>100</v>
      </c>
      <c r="X44" s="1355"/>
      <c r="Y44" s="36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2"/>
      <c r="Q45" s="1343">
        <f t="shared" si="11"/>
        <v>111</v>
      </c>
      <c r="R45" s="701" t="s">
        <v>14</v>
      </c>
      <c r="S45" s="702">
        <f t="shared" si="12"/>
        <v>100</v>
      </c>
      <c r="T45" s="701" t="s">
        <v>14</v>
      </c>
      <c r="U45" s="702">
        <f t="shared" si="13"/>
        <v>100</v>
      </c>
      <c r="V45" s="701" t="s">
        <v>14</v>
      </c>
      <c r="W45" s="702">
        <f t="shared" si="14"/>
        <v>100</v>
      </c>
      <c r="X45" s="703"/>
      <c r="Y45" s="36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2"/>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3"/>
      <c r="Q47" s="1352">
        <f t="shared" si="11"/>
        <v>111</v>
      </c>
      <c r="R47" s="705" t="s">
        <v>14</v>
      </c>
      <c r="S47" s="706">
        <f t="shared" si="12"/>
        <v>100</v>
      </c>
      <c r="T47" s="705" t="s">
        <v>14</v>
      </c>
      <c r="U47" s="706">
        <f t="shared" si="13"/>
        <v>100</v>
      </c>
      <c r="V47" s="705" t="s">
        <v>14</v>
      </c>
      <c r="W47" s="706">
        <f t="shared" si="14"/>
        <v>100</v>
      </c>
      <c r="X47" s="1355"/>
      <c r="Y47" s="365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16" t="str">
        <f>A48</f>
        <v>成交单价（元/平方米）</v>
      </c>
      <c r="Q48" s="3643"/>
      <c r="R48" s="3644">
        <f>E48</f>
        <v>0</v>
      </c>
      <c r="S48" s="3644"/>
      <c r="T48" s="3644">
        <f>G48</f>
        <v>0</v>
      </c>
      <c r="U48" s="3644"/>
      <c r="V48" s="3644">
        <f>I48</f>
        <v>0</v>
      </c>
      <c r="W48" s="36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16"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浦发银行：</v>
      </c>
    </row>
    <row r="4" spans="1:1" ht="36">
      <c r="A4" s="1480" t="str">
        <f>"受贵公司委托，我公司对"&amp;项目基本情况!S1&amp;"进行了预评估。"</f>
        <v>受贵公司委托，我公司对北京市北京经济技术开发区西环南路26号院20幢工业用房房地产抵押价值进行了预评估。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估价对象为北京市北京经济技术开发区西环南路26号院20幢工业用房房地产，为所有。根据《国有土地使用证》[]，估价对象（分摊）出让国有建设用地使用权面积为0平方米，建筑面积为1726.61平方米。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20幢工业用房房地产,属开发建设的工业项目，该项目尚在开发建设中。根据《国有土地使用证》[]，估价对象（分摊）出让国有建设用地使用权面积为0平方米，规划建筑面积为1726.61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51"/>
      <c r="Q27" s="707" t="str">
        <f t="shared" si="11"/>
        <v>项目停车位配比</v>
      </c>
      <c r="R27" s="708" t="s">
        <v>14</v>
      </c>
      <c r="S27" s="709">
        <f t="shared" si="12"/>
        <v>100</v>
      </c>
      <c r="T27" s="708" t="s">
        <v>14</v>
      </c>
      <c r="U27" s="709">
        <f t="shared" si="13"/>
        <v>100</v>
      </c>
      <c r="V27" s="708" t="s">
        <v>14</v>
      </c>
      <c r="W27" s="709">
        <f t="shared" si="14"/>
        <v>100</v>
      </c>
      <c r="X27" s="710"/>
      <c r="Y27" s="365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51"/>
      <c r="Q28" s="1352" t="str">
        <f t="shared" si="11"/>
        <v>公共部分装修</v>
      </c>
      <c r="R28" s="705" t="s">
        <v>14</v>
      </c>
      <c r="S28" s="706">
        <f t="shared" si="12"/>
        <v>100</v>
      </c>
      <c r="T28" s="705" t="s">
        <v>14</v>
      </c>
      <c r="U28" s="706">
        <f t="shared" si="13"/>
        <v>100</v>
      </c>
      <c r="V28" s="705" t="s">
        <v>14</v>
      </c>
      <c r="W28" s="706">
        <f t="shared" si="14"/>
        <v>100</v>
      </c>
      <c r="X28" s="1355"/>
      <c r="Y28" s="365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51"/>
      <c r="Q29" s="1352" t="str">
        <f t="shared" si="11"/>
        <v>成新率</v>
      </c>
      <c r="R29" s="705" t="s">
        <v>14</v>
      </c>
      <c r="S29" s="706" t="e">
        <f t="shared" si="12"/>
        <v>#N/A</v>
      </c>
      <c r="T29" s="705" t="s">
        <v>14</v>
      </c>
      <c r="U29" s="706" t="e">
        <f t="shared" si="13"/>
        <v>#N/A</v>
      </c>
      <c r="V29" s="705" t="s">
        <v>14</v>
      </c>
      <c r="W29" s="706" t="e">
        <f t="shared" si="14"/>
        <v>#N/A</v>
      </c>
      <c r="X29" s="1355"/>
      <c r="Y29" s="365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51"/>
      <c r="Q30" s="1352" t="str">
        <f t="shared" si="11"/>
        <v>物业等级</v>
      </c>
      <c r="R30" s="705" t="s">
        <v>14</v>
      </c>
      <c r="S30" s="706">
        <f t="shared" si="12"/>
        <v>100</v>
      </c>
      <c r="T30" s="705" t="s">
        <v>14</v>
      </c>
      <c r="U30" s="706">
        <f t="shared" si="13"/>
        <v>100</v>
      </c>
      <c r="V30" s="705" t="s">
        <v>14</v>
      </c>
      <c r="W30" s="706">
        <f t="shared" si="14"/>
        <v>100</v>
      </c>
      <c r="X30" s="1355"/>
      <c r="Y30" s="365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51"/>
      <c r="Q31" s="1343" t="str">
        <f t="shared" si="11"/>
        <v>停车位面积</v>
      </c>
      <c r="R31" s="701" t="s">
        <v>14</v>
      </c>
      <c r="S31" s="702" t="e">
        <f t="shared" si="12"/>
        <v>#N/A</v>
      </c>
      <c r="T31" s="701" t="s">
        <v>14</v>
      </c>
      <c r="U31" s="702" t="e">
        <f t="shared" si="13"/>
        <v>#N/A</v>
      </c>
      <c r="V31" s="701" t="s">
        <v>14</v>
      </c>
      <c r="W31" s="702" t="e">
        <f t="shared" si="14"/>
        <v>#N/A</v>
      </c>
      <c r="X31" s="703"/>
      <c r="Y31" s="365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51" t="s">
        <v>1696</v>
      </c>
      <c r="Q32" s="1352" t="str">
        <f t="shared" si="11"/>
        <v>车位类型</v>
      </c>
      <c r="R32" s="705" t="s">
        <v>14</v>
      </c>
      <c r="S32" s="706">
        <f t="shared" si="12"/>
        <v>100</v>
      </c>
      <c r="T32" s="705" t="s">
        <v>14</v>
      </c>
      <c r="U32" s="706">
        <f t="shared" si="13"/>
        <v>100</v>
      </c>
      <c r="V32" s="705" t="s">
        <v>14</v>
      </c>
      <c r="W32" s="706">
        <f t="shared" si="14"/>
        <v>100</v>
      </c>
      <c r="X32" s="1355"/>
      <c r="Y32" s="365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51"/>
      <c r="Q33" s="1352" t="str">
        <f t="shared" si="11"/>
        <v>是否直接入户</v>
      </c>
      <c r="R33" s="705" t="s">
        <v>14</v>
      </c>
      <c r="S33" s="706">
        <f t="shared" si="12"/>
        <v>100</v>
      </c>
      <c r="T33" s="705" t="s">
        <v>14</v>
      </c>
      <c r="U33" s="706">
        <f t="shared" si="13"/>
        <v>100</v>
      </c>
      <c r="V33" s="705" t="s">
        <v>14</v>
      </c>
      <c r="W33" s="706">
        <f t="shared" si="14"/>
        <v>100</v>
      </c>
      <c r="X33" s="1355"/>
      <c r="Y33" s="36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51"/>
      <c r="Q35" s="707">
        <f t="shared" si="11"/>
        <v>111</v>
      </c>
      <c r="R35" s="708" t="s">
        <v>14</v>
      </c>
      <c r="S35" s="709">
        <f t="shared" si="12"/>
        <v>100</v>
      </c>
      <c r="T35" s="708" t="s">
        <v>14</v>
      </c>
      <c r="U35" s="709">
        <f t="shared" si="13"/>
        <v>100</v>
      </c>
      <c r="V35" s="708" t="s">
        <v>14</v>
      </c>
      <c r="W35" s="709">
        <f t="shared" si="14"/>
        <v>100</v>
      </c>
      <c r="X35" s="710"/>
      <c r="Y35" s="36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51"/>
      <c r="Q36" s="1352">
        <f t="shared" si="11"/>
        <v>111</v>
      </c>
      <c r="R36" s="705" t="s">
        <v>14</v>
      </c>
      <c r="S36" s="706">
        <f t="shared" si="12"/>
        <v>100</v>
      </c>
      <c r="T36" s="705" t="s">
        <v>14</v>
      </c>
      <c r="U36" s="706">
        <f t="shared" si="13"/>
        <v>100</v>
      </c>
      <c r="V36" s="705" t="s">
        <v>14</v>
      </c>
      <c r="W36" s="706">
        <f t="shared" si="14"/>
        <v>100</v>
      </c>
      <c r="X36" s="1355"/>
      <c r="Y36" s="365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1"/>
      <c r="M37" s="2722"/>
      <c r="N37" s="2713"/>
      <c r="O37" s="2722"/>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45" t="str">
        <f>A39</f>
        <v>估价对象XX用房的比较价值（楼面单价，元/平方米）</v>
      </c>
      <c r="Q39" s="3646"/>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6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51"/>
      <c r="Q27" s="707" t="str">
        <f t="shared" si="11"/>
        <v>成新率</v>
      </c>
      <c r="R27" s="708" t="s">
        <v>14</v>
      </c>
      <c r="S27" s="709" t="e">
        <f t="shared" si="12"/>
        <v>#N/A</v>
      </c>
      <c r="T27" s="708" t="s">
        <v>14</v>
      </c>
      <c r="U27" s="709" t="e">
        <f t="shared" si="13"/>
        <v>#N/A</v>
      </c>
      <c r="V27" s="708" t="s">
        <v>14</v>
      </c>
      <c r="W27" s="709" t="e">
        <f t="shared" si="14"/>
        <v>#N/A</v>
      </c>
      <c r="X27" s="710"/>
      <c r="Y27" s="365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51"/>
      <c r="Q28" s="1352" t="str">
        <f t="shared" si="11"/>
        <v>物业等级</v>
      </c>
      <c r="R28" s="705" t="s">
        <v>14</v>
      </c>
      <c r="S28" s="706">
        <f t="shared" si="12"/>
        <v>100</v>
      </c>
      <c r="T28" s="705" t="s">
        <v>14</v>
      </c>
      <c r="U28" s="706">
        <f t="shared" si="13"/>
        <v>100</v>
      </c>
      <c r="V28" s="705" t="s">
        <v>14</v>
      </c>
      <c r="W28" s="706">
        <f t="shared" si="14"/>
        <v>100</v>
      </c>
      <c r="X28" s="1355"/>
      <c r="Y28" s="365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51"/>
      <c r="Q29" s="1352" t="str">
        <f t="shared" si="11"/>
        <v>有无电梯</v>
      </c>
      <c r="R29" s="705" t="s">
        <v>14</v>
      </c>
      <c r="S29" s="706">
        <f t="shared" si="12"/>
        <v>100</v>
      </c>
      <c r="T29" s="705" t="s">
        <v>14</v>
      </c>
      <c r="U29" s="706">
        <f t="shared" si="13"/>
        <v>100</v>
      </c>
      <c r="V29" s="705" t="s">
        <v>14</v>
      </c>
      <c r="W29" s="706">
        <f t="shared" si="14"/>
        <v>100</v>
      </c>
      <c r="X29" s="1355"/>
      <c r="Y29" s="365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51"/>
      <c r="Q30" s="1352" t="str">
        <f t="shared" si="11"/>
        <v>建筑面积</v>
      </c>
      <c r="R30" s="705" t="s">
        <v>14</v>
      </c>
      <c r="S30" s="706" t="e">
        <f t="shared" si="12"/>
        <v>#N/A</v>
      </c>
      <c r="T30" s="705" t="s">
        <v>14</v>
      </c>
      <c r="U30" s="706" t="e">
        <f t="shared" si="13"/>
        <v>#N/A</v>
      </c>
      <c r="V30" s="705" t="s">
        <v>14</v>
      </c>
      <c r="W30" s="706" t="e">
        <f t="shared" si="14"/>
        <v>#N/A</v>
      </c>
      <c r="X30" s="1355"/>
      <c r="Y30" s="365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51"/>
      <c r="Q31" s="1343" t="str">
        <f t="shared" si="11"/>
        <v>是否封闭</v>
      </c>
      <c r="R31" s="701" t="s">
        <v>14</v>
      </c>
      <c r="S31" s="702">
        <f t="shared" si="12"/>
        <v>100</v>
      </c>
      <c r="T31" s="701" t="s">
        <v>14</v>
      </c>
      <c r="U31" s="702">
        <f t="shared" si="13"/>
        <v>100</v>
      </c>
      <c r="V31" s="701" t="s">
        <v>14</v>
      </c>
      <c r="W31" s="702">
        <f t="shared" si="14"/>
        <v>100</v>
      </c>
      <c r="X31" s="703"/>
      <c r="Y31" s="36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51" t="s">
        <v>1696</v>
      </c>
      <c r="Q32" s="1352">
        <f t="shared" si="11"/>
        <v>111</v>
      </c>
      <c r="R32" s="705" t="s">
        <v>14</v>
      </c>
      <c r="S32" s="706">
        <f t="shared" si="12"/>
        <v>100</v>
      </c>
      <c r="T32" s="705" t="s">
        <v>14</v>
      </c>
      <c r="U32" s="706">
        <f t="shared" si="13"/>
        <v>100</v>
      </c>
      <c r="V32" s="705" t="s">
        <v>14</v>
      </c>
      <c r="W32" s="706">
        <f t="shared" si="14"/>
        <v>100</v>
      </c>
      <c r="X32" s="1355"/>
      <c r="Y32" s="365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51"/>
      <c r="Q33" s="1352">
        <f t="shared" si="11"/>
        <v>111</v>
      </c>
      <c r="R33" s="705" t="s">
        <v>14</v>
      </c>
      <c r="S33" s="706">
        <f t="shared" si="12"/>
        <v>100</v>
      </c>
      <c r="T33" s="705" t="s">
        <v>14</v>
      </c>
      <c r="U33" s="706">
        <f t="shared" si="13"/>
        <v>100</v>
      </c>
      <c r="V33" s="705" t="s">
        <v>14</v>
      </c>
      <c r="W33" s="706">
        <f t="shared" si="14"/>
        <v>100</v>
      </c>
      <c r="X33" s="1355"/>
      <c r="Y33" s="36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45" t="str">
        <f>A37</f>
        <v>估价对象XX用房的比较价值（楼面单价，元/平方米）</v>
      </c>
      <c r="Q37" s="3646"/>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30"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30"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6"/>
      <c r="M10" s="2717"/>
      <c r="N10" s="2717"/>
      <c r="O10" s="2770"/>
      <c r="P10" s="3643"/>
      <c r="Q10" s="1343" t="str">
        <f t="shared" si="6"/>
        <v>土地使用年限（年）</v>
      </c>
      <c r="R10" s="701" t="s">
        <v>14</v>
      </c>
      <c r="S10" s="702">
        <f t="shared" si="0"/>
        <v>115</v>
      </c>
      <c r="T10" s="701" t="s">
        <v>14</v>
      </c>
      <c r="U10" s="702">
        <f t="shared" si="1"/>
        <v>115</v>
      </c>
      <c r="V10" s="701" t="s">
        <v>14</v>
      </c>
      <c r="W10" s="702">
        <f t="shared" si="2"/>
        <v>115</v>
      </c>
      <c r="X10" s="703"/>
      <c r="Y10" s="3547"/>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43"/>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50" t="s">
        <v>1696</v>
      </c>
      <c r="Q36" s="1352">
        <f t="shared" si="8"/>
        <v>111</v>
      </c>
      <c r="R36" s="705" t="s">
        <v>14</v>
      </c>
      <c r="S36" s="706">
        <f t="shared" si="10"/>
        <v>100</v>
      </c>
      <c r="T36" s="705" t="s">
        <v>14</v>
      </c>
      <c r="U36" s="706">
        <f t="shared" si="11"/>
        <v>100</v>
      </c>
      <c r="V36" s="705" t="s">
        <v>14</v>
      </c>
      <c r="W36" s="706">
        <f t="shared" si="12"/>
        <v>100</v>
      </c>
      <c r="X36" s="1355"/>
      <c r="Y36" s="365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51"/>
      <c r="Q37" s="1352">
        <f t="shared" si="8"/>
        <v>111</v>
      </c>
      <c r="R37" s="708" t="s">
        <v>14</v>
      </c>
      <c r="S37" s="709">
        <f t="shared" si="10"/>
        <v>100</v>
      </c>
      <c r="T37" s="708" t="s">
        <v>14</v>
      </c>
      <c r="U37" s="709">
        <f t="shared" si="11"/>
        <v>100</v>
      </c>
      <c r="V37" s="708" t="s">
        <v>14</v>
      </c>
      <c r="W37" s="709">
        <f t="shared" si="12"/>
        <v>100</v>
      </c>
      <c r="X37" s="710"/>
      <c r="Y37" s="365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51"/>
      <c r="Q38" s="1352" t="str">
        <f>B38</f>
        <v>宗地面积</v>
      </c>
      <c r="R38" s="705" t="s">
        <v>14</v>
      </c>
      <c r="S38" s="706" t="e">
        <f t="shared" si="10"/>
        <v>#N/A</v>
      </c>
      <c r="T38" s="705" t="s">
        <v>14</v>
      </c>
      <c r="U38" s="706" t="e">
        <f t="shared" si="11"/>
        <v>#N/A</v>
      </c>
      <c r="V38" s="705" t="s">
        <v>14</v>
      </c>
      <c r="W38" s="706" t="e">
        <f t="shared" si="12"/>
        <v>#N/A</v>
      </c>
      <c r="X38" s="1355"/>
      <c r="Y38" s="365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51"/>
      <c r="Q39" s="1352" t="str">
        <f t="shared" ref="Q39:Q45" si="14">B39</f>
        <v>宗地形状</v>
      </c>
      <c r="R39" s="705" t="s">
        <v>14</v>
      </c>
      <c r="S39" s="706">
        <f t="shared" si="10"/>
        <v>100</v>
      </c>
      <c r="T39" s="705" t="s">
        <v>14</v>
      </c>
      <c r="U39" s="706">
        <f t="shared" si="11"/>
        <v>100</v>
      </c>
      <c r="V39" s="705" t="s">
        <v>14</v>
      </c>
      <c r="W39" s="706">
        <f t="shared" si="12"/>
        <v>100</v>
      </c>
      <c r="X39" s="1355"/>
      <c r="Y39" s="365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51"/>
      <c r="Q40" s="1352" t="str">
        <f t="shared" si="14"/>
        <v>临街宽度及深度</v>
      </c>
      <c r="R40" s="705" t="s">
        <v>14</v>
      </c>
      <c r="S40" s="706">
        <f t="shared" si="10"/>
        <v>100</v>
      </c>
      <c r="T40" s="705" t="s">
        <v>14</v>
      </c>
      <c r="U40" s="706">
        <f t="shared" si="11"/>
        <v>100</v>
      </c>
      <c r="V40" s="705" t="s">
        <v>14</v>
      </c>
      <c r="W40" s="706">
        <f t="shared" si="12"/>
        <v>100</v>
      </c>
      <c r="X40" s="1355"/>
      <c r="Y40" s="365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51"/>
      <c r="Q41" s="1352" t="str">
        <f t="shared" si="14"/>
        <v>宗地开发程度</v>
      </c>
      <c r="R41" s="701" t="s">
        <v>14</v>
      </c>
      <c r="S41" s="702">
        <f t="shared" si="10"/>
        <v>100</v>
      </c>
      <c r="T41" s="701" t="s">
        <v>14</v>
      </c>
      <c r="U41" s="702">
        <f t="shared" si="11"/>
        <v>100</v>
      </c>
      <c r="V41" s="701" t="s">
        <v>14</v>
      </c>
      <c r="W41" s="702">
        <f t="shared" si="12"/>
        <v>100</v>
      </c>
      <c r="X41" s="703"/>
      <c r="Y41" s="365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51" t="s">
        <v>1696</v>
      </c>
      <c r="Q42" s="1352" t="str">
        <f t="shared" si="14"/>
        <v>工程地质条件</v>
      </c>
      <c r="R42" s="705" t="s">
        <v>14</v>
      </c>
      <c r="S42" s="706">
        <f t="shared" si="10"/>
        <v>100</v>
      </c>
      <c r="T42" s="705" t="s">
        <v>14</v>
      </c>
      <c r="U42" s="706">
        <f t="shared" si="11"/>
        <v>100</v>
      </c>
      <c r="V42" s="705" t="s">
        <v>14</v>
      </c>
      <c r="W42" s="706">
        <f t="shared" si="12"/>
        <v>100</v>
      </c>
      <c r="X42" s="1355"/>
      <c r="Y42" s="365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51"/>
      <c r="Q43" s="1352">
        <f t="shared" si="14"/>
        <v>111</v>
      </c>
      <c r="R43" s="705" t="s">
        <v>14</v>
      </c>
      <c r="S43" s="706">
        <f t="shared" si="10"/>
        <v>100</v>
      </c>
      <c r="T43" s="705" t="s">
        <v>14</v>
      </c>
      <c r="U43" s="706">
        <f t="shared" si="11"/>
        <v>100</v>
      </c>
      <c r="V43" s="705" t="s">
        <v>14</v>
      </c>
      <c r="W43" s="706">
        <f t="shared" si="12"/>
        <v>100</v>
      </c>
      <c r="X43" s="1355"/>
      <c r="Y43" s="36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51"/>
      <c r="Q44" s="1352">
        <f t="shared" si="14"/>
        <v>111</v>
      </c>
      <c r="R44" s="705" t="s">
        <v>14</v>
      </c>
      <c r="S44" s="706">
        <f t="shared" si="10"/>
        <v>100</v>
      </c>
      <c r="T44" s="705" t="s">
        <v>14</v>
      </c>
      <c r="U44" s="706">
        <f t="shared" si="11"/>
        <v>100</v>
      </c>
      <c r="V44" s="705" t="s">
        <v>14</v>
      </c>
      <c r="W44" s="706">
        <f t="shared" si="12"/>
        <v>100</v>
      </c>
      <c r="X44" s="1355"/>
      <c r="Y44" s="36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51"/>
      <c r="Q45" s="1352">
        <f t="shared" si="14"/>
        <v>111</v>
      </c>
      <c r="R45" s="708" t="s">
        <v>14</v>
      </c>
      <c r="S45" s="709">
        <f t="shared" si="10"/>
        <v>100</v>
      </c>
      <c r="T45" s="708" t="s">
        <v>14</v>
      </c>
      <c r="U45" s="709">
        <f t="shared" si="11"/>
        <v>100</v>
      </c>
      <c r="V45" s="708" t="s">
        <v>14</v>
      </c>
      <c r="W45" s="709">
        <f t="shared" si="12"/>
        <v>100</v>
      </c>
      <c r="X45" s="710"/>
      <c r="Y45" s="365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43" t="str">
        <f>A46</f>
        <v>成交单价</v>
      </c>
      <c r="Q46" s="3643"/>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43" t="str">
        <f>A47</f>
        <v>比较价值（元/平方米）</v>
      </c>
      <c r="Q47" s="3643"/>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45" t="str">
        <f>A48</f>
        <v>估价对象XX用房的比较价值（楼面单价，元/平方米）</v>
      </c>
      <c r="Q48" s="3646"/>
      <c r="R48" s="3735" t="e">
        <f>ROUND(IF(D47="简单平均",AVERAGE(R47:W47),R47*F47+T47*H47+V47*J47),0)</f>
        <v>#DIV/0!</v>
      </c>
      <c r="S48" s="3735"/>
      <c r="T48" s="3735"/>
      <c r="U48" s="3735"/>
      <c r="V48" s="3735"/>
      <c r="W48" s="373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56" t="s">
        <v>1887</v>
      </c>
      <c r="H55" s="373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1726.61</v>
      </c>
      <c r="F56" s="886" t="e">
        <f t="shared" ref="F56:F64" si="15">ROUND(B56*E56/10000,0)</f>
        <v>#DIV/0!</v>
      </c>
      <c r="G56" s="3716"/>
      <c r="H56" s="364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1726.61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737" t="s">
        <v>1919</v>
      </c>
      <c r="D6" s="3738"/>
      <c r="E6" s="3739" t="s">
        <v>1919</v>
      </c>
      <c r="F6" s="3740"/>
      <c r="G6" s="3737" t="s">
        <v>1919</v>
      </c>
      <c r="H6" s="3738"/>
      <c r="I6" s="3737" t="s">
        <v>1919</v>
      </c>
      <c r="J6" s="3738"/>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6"/>
      <c r="M10" s="2717"/>
      <c r="N10" s="2717"/>
      <c r="O10" s="2770"/>
      <c r="P10" s="3643"/>
      <c r="Q10" s="1343" t="str">
        <f t="shared" si="6"/>
        <v>土地使用年限（年）</v>
      </c>
      <c r="R10" s="701" t="s">
        <v>14</v>
      </c>
      <c r="S10" s="702">
        <f t="shared" si="0"/>
        <v>115</v>
      </c>
      <c r="T10" s="701" t="s">
        <v>14</v>
      </c>
      <c r="U10" s="702">
        <f t="shared" si="1"/>
        <v>115</v>
      </c>
      <c r="V10" s="701" t="s">
        <v>14</v>
      </c>
      <c r="W10" s="702">
        <f t="shared" si="2"/>
        <v>115</v>
      </c>
      <c r="X10" s="703"/>
      <c r="Y10" s="3547"/>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50" t="s">
        <v>1696</v>
      </c>
      <c r="Q32" s="1352">
        <f t="shared" si="8"/>
        <v>111</v>
      </c>
      <c r="R32" s="705" t="s">
        <v>14</v>
      </c>
      <c r="S32" s="706">
        <f t="shared" si="10"/>
        <v>100</v>
      </c>
      <c r="T32" s="705" t="s">
        <v>14</v>
      </c>
      <c r="U32" s="706">
        <f t="shared" si="11"/>
        <v>100</v>
      </c>
      <c r="V32" s="705" t="s">
        <v>14</v>
      </c>
      <c r="W32" s="706">
        <f t="shared" si="12"/>
        <v>100</v>
      </c>
      <c r="X32" s="1355"/>
      <c r="Y32" s="365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51"/>
      <c r="Q33" s="1352">
        <f t="shared" si="8"/>
        <v>111</v>
      </c>
      <c r="R33" s="708" t="s">
        <v>14</v>
      </c>
      <c r="S33" s="709">
        <f t="shared" si="10"/>
        <v>100</v>
      </c>
      <c r="T33" s="708" t="s">
        <v>14</v>
      </c>
      <c r="U33" s="709">
        <f t="shared" si="11"/>
        <v>100</v>
      </c>
      <c r="V33" s="708" t="s">
        <v>14</v>
      </c>
      <c r="W33" s="709">
        <f t="shared" si="12"/>
        <v>100</v>
      </c>
      <c r="X33" s="710"/>
      <c r="Y33" s="365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51"/>
      <c r="Q34" s="1352" t="str">
        <f>B34</f>
        <v>宗地面积</v>
      </c>
      <c r="R34" s="705" t="s">
        <v>14</v>
      </c>
      <c r="S34" s="706" t="e">
        <f t="shared" si="10"/>
        <v>#N/A</v>
      </c>
      <c r="T34" s="705" t="s">
        <v>14</v>
      </c>
      <c r="U34" s="706" t="e">
        <f t="shared" si="11"/>
        <v>#N/A</v>
      </c>
      <c r="V34" s="705" t="s">
        <v>14</v>
      </c>
      <c r="W34" s="706" t="e">
        <f t="shared" si="12"/>
        <v>#N/A</v>
      </c>
      <c r="X34" s="1355"/>
      <c r="Y34" s="365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51"/>
      <c r="Q35" s="1352" t="str">
        <f t="shared" ref="Q35:Q40" si="14">B35</f>
        <v>宗地形状</v>
      </c>
      <c r="R35" s="705" t="s">
        <v>14</v>
      </c>
      <c r="S35" s="706">
        <f t="shared" si="10"/>
        <v>100</v>
      </c>
      <c r="T35" s="705" t="s">
        <v>14</v>
      </c>
      <c r="U35" s="706">
        <f t="shared" si="11"/>
        <v>100</v>
      </c>
      <c r="V35" s="705" t="s">
        <v>14</v>
      </c>
      <c r="W35" s="706">
        <f t="shared" si="12"/>
        <v>100</v>
      </c>
      <c r="X35" s="1355"/>
      <c r="Y35" s="365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51"/>
      <c r="Q36" s="1352" t="str">
        <f t="shared" si="14"/>
        <v>宗地开发程度</v>
      </c>
      <c r="R36" s="701" t="s">
        <v>14</v>
      </c>
      <c r="S36" s="702">
        <f t="shared" si="10"/>
        <v>100</v>
      </c>
      <c r="T36" s="701" t="s">
        <v>14</v>
      </c>
      <c r="U36" s="702">
        <f t="shared" si="11"/>
        <v>100</v>
      </c>
      <c r="V36" s="701" t="s">
        <v>14</v>
      </c>
      <c r="W36" s="702">
        <f t="shared" si="12"/>
        <v>100</v>
      </c>
      <c r="X36" s="703"/>
      <c r="Y36" s="365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51" t="s">
        <v>1696</v>
      </c>
      <c r="Q37" s="1352" t="str">
        <f t="shared" si="14"/>
        <v>工程地质条件</v>
      </c>
      <c r="R37" s="705" t="s">
        <v>14</v>
      </c>
      <c r="S37" s="706">
        <f t="shared" si="10"/>
        <v>100</v>
      </c>
      <c r="T37" s="705" t="s">
        <v>14</v>
      </c>
      <c r="U37" s="706">
        <f t="shared" si="11"/>
        <v>100</v>
      </c>
      <c r="V37" s="705" t="s">
        <v>14</v>
      </c>
      <c r="W37" s="706">
        <f t="shared" si="12"/>
        <v>100</v>
      </c>
      <c r="X37" s="1355"/>
      <c r="Y37" s="365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51"/>
      <c r="Q38" s="1352">
        <f t="shared" si="14"/>
        <v>111</v>
      </c>
      <c r="R38" s="705" t="s">
        <v>14</v>
      </c>
      <c r="S38" s="706">
        <f t="shared" si="10"/>
        <v>100</v>
      </c>
      <c r="T38" s="705" t="s">
        <v>14</v>
      </c>
      <c r="U38" s="706">
        <f t="shared" si="11"/>
        <v>100</v>
      </c>
      <c r="V38" s="705" t="s">
        <v>14</v>
      </c>
      <c r="W38" s="706">
        <f t="shared" si="12"/>
        <v>100</v>
      </c>
      <c r="X38" s="1355"/>
      <c r="Y38" s="36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51"/>
      <c r="Q39" s="1352">
        <f t="shared" si="14"/>
        <v>111</v>
      </c>
      <c r="R39" s="705" t="s">
        <v>14</v>
      </c>
      <c r="S39" s="706">
        <f t="shared" si="10"/>
        <v>100</v>
      </c>
      <c r="T39" s="705" t="s">
        <v>14</v>
      </c>
      <c r="U39" s="706">
        <f t="shared" si="11"/>
        <v>100</v>
      </c>
      <c r="V39" s="705" t="s">
        <v>14</v>
      </c>
      <c r="W39" s="706">
        <f t="shared" si="12"/>
        <v>100</v>
      </c>
      <c r="X39" s="1355"/>
      <c r="Y39" s="36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51"/>
      <c r="Q40" s="1352">
        <f t="shared" si="14"/>
        <v>111</v>
      </c>
      <c r="R40" s="708" t="s">
        <v>14</v>
      </c>
      <c r="S40" s="709">
        <f t="shared" si="10"/>
        <v>100</v>
      </c>
      <c r="T40" s="708" t="s">
        <v>14</v>
      </c>
      <c r="U40" s="709">
        <f t="shared" si="11"/>
        <v>100</v>
      </c>
      <c r="V40" s="708" t="s">
        <v>14</v>
      </c>
      <c r="W40" s="709">
        <f t="shared" si="12"/>
        <v>100</v>
      </c>
      <c r="X40" s="710"/>
      <c r="Y40" s="365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43" t="str">
        <f>A41</f>
        <v>成交单价</v>
      </c>
      <c r="Q41" s="3643"/>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43" t="str">
        <f>A42</f>
        <v>比较价值（元/平方米）</v>
      </c>
      <c r="Q42" s="3643"/>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45" t="str">
        <f>A43</f>
        <v>估价对象XX用房的比较价值（楼面单价，元/平方米）</v>
      </c>
      <c r="Q43" s="3646"/>
      <c r="R43" s="3735" t="e">
        <f>ROUND(IF(D42="简单平均",AVERAGE(R42:W42),R42*F42+T42*H42+V42*J42),0)</f>
        <v>#DIV/0!</v>
      </c>
      <c r="S43" s="3735"/>
      <c r="T43" s="3735"/>
      <c r="U43" s="3735"/>
      <c r="V43" s="3735"/>
      <c r="W43" s="373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56" t="s">
        <v>1887</v>
      </c>
      <c r="H50" s="373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1726.61</v>
      </c>
      <c r="F51" s="639" t="e">
        <f t="shared" ref="F51:F60" si="15">ROUND(B51*E51/10000,0)</f>
        <v>#DIV/0!</v>
      </c>
      <c r="G51" s="3716"/>
      <c r="H51" s="364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0</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2077</v>
      </c>
      <c r="D5" s="1339">
        <f>ROUND(C6*C17+C20,0)</f>
        <v>2077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0</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58">
        <f>ROUND(SUMPRODUCT((B106:B110=R6)*(C105:N105=G2)*(C106:N110)),4)</f>
        <v>0.84799999999999998</v>
      </c>
      <c r="T6" s="3358">
        <f t="shared" si="0"/>
        <v>0</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3"/>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8" t="s">
        <v>3260</v>
      </c>
      <c r="B20" s="167" t="s">
        <v>1994</v>
      </c>
      <c r="C20" s="3322">
        <f>ROUND(IF(F21="与级别开发程度一致",0,(G21-E21)/C21),0)</f>
        <v>-263</v>
      </c>
      <c r="D20" s="3338" t="s">
        <v>1998</v>
      </c>
      <c r="E20" s="3339"/>
      <c r="F20" s="3764" t="s">
        <v>1995</v>
      </c>
      <c r="G20" s="376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45190</v>
      </c>
      <c r="H23" s="3340" t="s">
        <v>3262</v>
      </c>
      <c r="I23" s="3341" t="str">
        <f>IF(H23="季度增幅（自定义）",SUMIF(N25:N28,E2,O25:O28),"")</f>
        <v/>
      </c>
      <c r="J23" s="3443" t="s">
        <v>3261</v>
      </c>
      <c r="K23" s="1125"/>
      <c r="L23" s="2055" t="s">
        <v>2004</v>
      </c>
      <c r="M23" s="1328">
        <f>ROUND(SUMIF(地价!B2:G2,E2,地价!B16:G16),0)</f>
        <v>318</v>
      </c>
      <c r="N23" s="2056"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0.86560000000000004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3341</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3266</v>
      </c>
      <c r="G33" s="2099"/>
      <c r="H33" s="2099"/>
      <c r="I33" s="2099"/>
      <c r="J33" s="2100"/>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09"/>
      <c r="K37" s="3356" t="s">
        <v>3272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3"/>
      <c r="B39" s="2041" t="s">
        <v>3265</v>
      </c>
      <c r="C39" s="175">
        <f>ROUND(D5*C22*C23*C24*C28*F39,0)</f>
        <v>0</v>
      </c>
      <c r="D39" s="2098"/>
      <c r="E39" s="171">
        <f t="shared" si="4"/>
        <v>0</v>
      </c>
      <c r="F39" s="171">
        <f>SUMIF(修正!A57:A68,G2,修正!D57:D68)</f>
        <v>0.25</v>
      </c>
      <c r="G39" s="171">
        <f>ROUND(IF(E2="工业",C39*$M$42,C39*$M$41),0)</f>
        <v>0</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3276</v>
      </c>
      <c r="B85" s="2134">
        <f>估价对象房地状况!G17</f>
        <v>0</v>
      </c>
      <c r="C85" s="2044"/>
      <c r="D85" s="1065">
        <f t="shared" si="22"/>
        <v>0</v>
      </c>
      <c r="E85" s="747"/>
      <c r="F85" s="1814"/>
      <c r="G85" s="1063"/>
      <c r="H85" s="1066">
        <f t="shared" si="23"/>
        <v>2.5000000000000001E-3</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0" t="s">
        <v>3300</v>
      </c>
      <c r="B103" s="3760"/>
      <c r="C103" s="3760"/>
      <c r="D103" s="3760"/>
      <c r="E103" s="3760"/>
      <c r="F103" s="3760"/>
      <c r="G103" s="3760"/>
      <c r="H103" s="3760"/>
      <c r="I103" s="3760"/>
      <c r="J103" s="3760"/>
      <c r="K103" s="3387"/>
      <c r="L103" s="3387"/>
      <c r="M103" s="3387"/>
      <c r="N103" s="3387"/>
    </row>
    <row r="104" spans="1:14">
      <c r="A104" s="3761" t="s">
        <v>3301</v>
      </c>
      <c r="B104" s="3761" t="s">
        <v>3302</v>
      </c>
      <c r="C104" s="3388" t="s">
        <v>3303</v>
      </c>
      <c r="D104" s="3389"/>
      <c r="E104" s="3389"/>
      <c r="F104" s="3389"/>
      <c r="G104" s="3389"/>
      <c r="H104" s="3389"/>
      <c r="I104" s="3389"/>
      <c r="J104" s="3390"/>
      <c r="K104" s="3391"/>
      <c r="L104" s="3391"/>
      <c r="M104" s="3391"/>
      <c r="N104" s="3391"/>
    </row>
    <row r="105" spans="1:14">
      <c r="A105" s="3761"/>
      <c r="B105" s="3761"/>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47"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8"/>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0" t="s">
        <v>3317</v>
      </c>
      <c r="B113" s="3750"/>
      <c r="C113" s="3750"/>
      <c r="D113" s="3750"/>
      <c r="E113" s="3750"/>
      <c r="F113" s="3750"/>
      <c r="G113" s="3750"/>
      <c r="H113" s="3750"/>
      <c r="I113" s="3750"/>
      <c r="J113" s="375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0.66120000000000001</v>
      </c>
      <c r="E116" s="2000" t="s">
        <v>3320</v>
      </c>
      <c r="F116" s="3399" t="str">
        <f>E2</f>
        <v>工业</v>
      </c>
      <c r="G116" s="2000" t="s">
        <v>3321</v>
      </c>
      <c r="H116" s="3399" t="str">
        <f>G2</f>
        <v>六级</v>
      </c>
      <c r="I116" s="2000"/>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2598</v>
      </c>
      <c r="B1" s="3069" t="s">
        <v>2599</v>
      </c>
      <c r="C1" s="3069" t="s">
        <v>2600</v>
      </c>
      <c r="D1" s="3069" t="s">
        <v>2601</v>
      </c>
      <c r="E1" s="3069" t="s">
        <v>2602</v>
      </c>
      <c r="F1" s="3069" t="s">
        <v>2603</v>
      </c>
      <c r="G1" s="3069" t="s">
        <v>2604</v>
      </c>
      <c r="H1" s="3069" t="s">
        <v>2605</v>
      </c>
      <c r="I1" s="3069" t="s">
        <v>2606</v>
      </c>
      <c r="J1" s="3069" t="s">
        <v>2607</v>
      </c>
      <c r="K1" s="3069" t="s">
        <v>2608</v>
      </c>
      <c r="L1" s="3069" t="s">
        <v>2609</v>
      </c>
      <c r="M1" s="3070" t="s">
        <v>2610</v>
      </c>
    </row>
    <row r="2" spans="1:13" ht="19.5" customHeight="1">
      <c r="A2" s="3072" t="s">
        <v>2611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2620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2627</v>
      </c>
      <c r="B18" s="3094"/>
      <c r="C18" s="3095"/>
      <c r="D18" s="3095"/>
      <c r="E18" s="3094"/>
      <c r="F18" s="3095"/>
      <c r="G18" s="3095"/>
    </row>
    <row r="19" spans="1:13" ht="19.5" customHeight="1" thickBot="1">
      <c r="A19" s="3092" t="s">
        <v>2628</v>
      </c>
      <c r="B19" s="3097" t="s">
        <v>2629</v>
      </c>
      <c r="C19" s="3097" t="s">
        <v>2630</v>
      </c>
      <c r="D19" s="3098"/>
      <c r="E19" s="3092" t="s">
        <v>2631</v>
      </c>
      <c r="F19" s="3099"/>
      <c r="G19" s="3099"/>
    </row>
    <row r="20" spans="1:13" ht="19.5" customHeight="1">
      <c r="A20" s="3775" t="s">
        <v>2611</v>
      </c>
      <c r="B20" s="3770" t="s">
        <v>2632</v>
      </c>
      <c r="C20" s="3100" t="s">
        <v>2443</v>
      </c>
      <c r="D20" s="3101"/>
      <c r="E20" s="3102">
        <v>1</v>
      </c>
      <c r="F20" s="3103" t="s">
        <v>2444</v>
      </c>
      <c r="G20" s="3103"/>
    </row>
    <row r="21" spans="1:13" ht="19.5" customHeight="1">
      <c r="A21" s="3776"/>
      <c r="B21" s="3769"/>
      <c r="C21" s="3104" t="s">
        <v>2445</v>
      </c>
      <c r="D21" s="3105"/>
      <c r="E21" s="3106">
        <v>1</v>
      </c>
      <c r="F21" s="3103" t="s">
        <v>2446</v>
      </c>
      <c r="G21" s="3103"/>
    </row>
    <row r="22" spans="1:13" ht="19.5" customHeight="1">
      <c r="A22" s="3776"/>
      <c r="B22" s="3769"/>
      <c r="C22" s="3104" t="s">
        <v>2447</v>
      </c>
      <c r="D22" s="3105"/>
      <c r="E22" s="3106">
        <v>0.9</v>
      </c>
      <c r="F22" s="3103" t="s">
        <v>2448</v>
      </c>
      <c r="G22" s="3103"/>
    </row>
    <row r="23" spans="1:13" ht="19.5" customHeight="1">
      <c r="A23" s="3776"/>
      <c r="B23" s="3769"/>
      <c r="C23" s="3104" t="s">
        <v>2449</v>
      </c>
      <c r="D23" s="3105"/>
      <c r="E23" s="3106">
        <v>0.9</v>
      </c>
      <c r="F23" s="3103" t="s">
        <v>2450</v>
      </c>
      <c r="G23" s="3103"/>
    </row>
    <row r="24" spans="1:13" ht="19.5" customHeight="1">
      <c r="A24" s="3776"/>
      <c r="B24" s="3769"/>
      <c r="C24" s="3104" t="s">
        <v>2451</v>
      </c>
      <c r="D24" s="3105"/>
      <c r="E24" s="3106">
        <v>0.8</v>
      </c>
      <c r="F24" s="3103" t="s">
        <v>2452</v>
      </c>
      <c r="G24" s="3103"/>
    </row>
    <row r="25" spans="1:13" ht="19.5" customHeight="1" thickBot="1">
      <c r="A25" s="3777"/>
      <c r="B25" s="3771"/>
      <c r="C25" s="3107" t="s">
        <v>2453</v>
      </c>
      <c r="D25" s="3108"/>
      <c r="E25" s="3109">
        <v>0.8</v>
      </c>
      <c r="F25" s="3103" t="s">
        <v>2454</v>
      </c>
      <c r="G25" s="3103"/>
    </row>
    <row r="26" spans="1:13" ht="19.5" customHeight="1" thickBot="1">
      <c r="A26" s="3110" t="s">
        <v>2633</v>
      </c>
      <c r="B26" s="3111" t="s">
        <v>2632</v>
      </c>
      <c r="C26" s="3112" t="s">
        <v>2634</v>
      </c>
      <c r="D26" s="3113"/>
      <c r="E26" s="3114">
        <v>1</v>
      </c>
      <c r="F26" s="3103" t="s">
        <v>2455</v>
      </c>
      <c r="G26" s="3103"/>
    </row>
    <row r="27" spans="1:13" ht="19.5" customHeight="1">
      <c r="A27" s="3772" t="s">
        <v>2635</v>
      </c>
      <c r="B27" s="3770" t="s">
        <v>2616</v>
      </c>
      <c r="C27" s="3100" t="s">
        <v>2456</v>
      </c>
      <c r="D27" s="3101"/>
      <c r="E27" s="3102">
        <v>1</v>
      </c>
      <c r="F27" s="3103" t="s">
        <v>2457</v>
      </c>
      <c r="G27" s="3103"/>
    </row>
    <row r="28" spans="1:13" ht="19.5" customHeight="1">
      <c r="A28" s="3773"/>
      <c r="B28" s="3769"/>
      <c r="C28" s="3104" t="s">
        <v>2458</v>
      </c>
      <c r="D28" s="3105"/>
      <c r="E28" s="3106">
        <v>1</v>
      </c>
      <c r="F28" s="3103" t="s">
        <v>2459</v>
      </c>
      <c r="G28" s="3103"/>
    </row>
    <row r="29" spans="1:13" ht="19.5" customHeight="1">
      <c r="A29" s="3773"/>
      <c r="B29" s="3769"/>
      <c r="C29" s="3104" t="s">
        <v>2460</v>
      </c>
      <c r="D29" s="3105"/>
      <c r="E29" s="3106">
        <v>0.8</v>
      </c>
      <c r="F29" s="3103" t="s">
        <v>2461</v>
      </c>
      <c r="G29" s="3103"/>
    </row>
    <row r="30" spans="1:13" ht="19.5" customHeight="1">
      <c r="A30" s="3773"/>
      <c r="B30" s="3769"/>
      <c r="C30" s="3104" t="s">
        <v>2462</v>
      </c>
      <c r="D30" s="3105"/>
      <c r="E30" s="3106">
        <v>0.8</v>
      </c>
      <c r="F30" s="3103" t="s">
        <v>2463</v>
      </c>
      <c r="G30" s="3103"/>
    </row>
    <row r="31" spans="1:13" ht="19.5" customHeight="1">
      <c r="A31" s="3773"/>
      <c r="B31" s="3769"/>
      <c r="C31" s="3104" t="s">
        <v>2464</v>
      </c>
      <c r="D31" s="3105"/>
      <c r="E31" s="3106">
        <v>0.8</v>
      </c>
      <c r="F31" s="3103" t="s">
        <v>2465</v>
      </c>
      <c r="G31" s="3103"/>
    </row>
    <row r="32" spans="1:13" ht="19.5" customHeight="1">
      <c r="A32" s="3773"/>
      <c r="B32" s="3769"/>
      <c r="C32" s="3104" t="s">
        <v>2466</v>
      </c>
      <c r="D32" s="3105"/>
      <c r="E32" s="3106">
        <v>0.7</v>
      </c>
      <c r="F32" s="3103" t="s">
        <v>2467</v>
      </c>
      <c r="G32" s="3103"/>
    </row>
    <row r="33" spans="1:7" ht="19.5" customHeight="1">
      <c r="A33" s="3773"/>
      <c r="B33" s="3769"/>
      <c r="C33" s="3104" t="s">
        <v>2468</v>
      </c>
      <c r="D33" s="3105"/>
      <c r="E33" s="3106">
        <v>0.8</v>
      </c>
      <c r="F33" s="3103" t="s">
        <v>2469</v>
      </c>
      <c r="G33" s="3103"/>
    </row>
    <row r="34" spans="1:7" ht="19.5" customHeight="1">
      <c r="A34" s="3773"/>
      <c r="B34" s="3769"/>
      <c r="C34" s="3104" t="s">
        <v>2470</v>
      </c>
      <c r="D34" s="3105"/>
      <c r="E34" s="3106">
        <v>0.6</v>
      </c>
      <c r="F34" s="3103" t="s">
        <v>2471</v>
      </c>
      <c r="G34" s="3103"/>
    </row>
    <row r="35" spans="1:7" ht="19.5" customHeight="1">
      <c r="A35" s="3773"/>
      <c r="B35" s="3769"/>
      <c r="C35" s="3104" t="s">
        <v>2472</v>
      </c>
      <c r="D35" s="3105"/>
      <c r="E35" s="3106">
        <v>0.2</v>
      </c>
      <c r="F35" s="3103" t="s">
        <v>2473</v>
      </c>
      <c r="G35" s="3103"/>
    </row>
    <row r="36" spans="1:7" ht="19.5" customHeight="1">
      <c r="A36" s="3773"/>
      <c r="B36" s="3769"/>
      <c r="C36" s="3104" t="s">
        <v>2474</v>
      </c>
      <c r="D36" s="3105"/>
      <c r="E36" s="3106">
        <v>0.2</v>
      </c>
      <c r="F36" s="3103" t="s">
        <v>2475</v>
      </c>
      <c r="G36" s="3103"/>
    </row>
    <row r="37" spans="1:7" ht="19.5" customHeight="1">
      <c r="A37" s="3773"/>
      <c r="B37" s="3767" t="s">
        <v>2636</v>
      </c>
      <c r="C37" s="3104" t="s">
        <v>2476</v>
      </c>
      <c r="D37" s="3105"/>
      <c r="E37" s="3106">
        <v>0.6</v>
      </c>
      <c r="F37" s="3103" t="s">
        <v>2477</v>
      </c>
      <c r="G37" s="3103"/>
    </row>
    <row r="38" spans="1:7" ht="19.5" customHeight="1">
      <c r="A38" s="3773"/>
      <c r="B38" s="3769"/>
      <c r="C38" s="3104" t="s">
        <v>2478</v>
      </c>
      <c r="D38" s="3105"/>
      <c r="E38" s="3106">
        <v>0.6</v>
      </c>
      <c r="F38" s="3103" t="s">
        <v>2479</v>
      </c>
      <c r="G38" s="3103"/>
    </row>
    <row r="39" spans="1:7" ht="19.5" customHeight="1" thickBot="1">
      <c r="A39" s="3774"/>
      <c r="B39" s="3771"/>
      <c r="C39" s="3107" t="s">
        <v>2480</v>
      </c>
      <c r="D39" s="3108"/>
      <c r="E39" s="3109">
        <v>0.6</v>
      </c>
      <c r="F39" s="3103" t="s">
        <v>2481</v>
      </c>
      <c r="G39" s="3103"/>
    </row>
    <row r="40" spans="1:7" ht="19.5" customHeight="1" thickBot="1">
      <c r="A40" s="3110" t="s">
        <v>2613</v>
      </c>
      <c r="B40" s="3111" t="s">
        <v>2613</v>
      </c>
      <c r="C40" s="3112" t="s">
        <v>2637</v>
      </c>
      <c r="D40" s="3113"/>
      <c r="E40" s="3114">
        <v>1</v>
      </c>
      <c r="F40" s="3103" t="s">
        <v>2482</v>
      </c>
      <c r="G40" s="3103"/>
    </row>
    <row r="41" spans="1:7" ht="19.5" customHeight="1">
      <c r="A41" s="3775" t="s">
        <v>2614</v>
      </c>
      <c r="B41" s="3770" t="s">
        <v>2638</v>
      </c>
      <c r="C41" s="3100" t="s">
        <v>2483</v>
      </c>
      <c r="D41" s="3101"/>
      <c r="E41" s="3102">
        <v>1</v>
      </c>
      <c r="F41" s="3103" t="s">
        <v>2484</v>
      </c>
      <c r="G41" s="3103"/>
    </row>
    <row r="42" spans="1:7" ht="19.5" customHeight="1">
      <c r="A42" s="3776"/>
      <c r="B42" s="3769"/>
      <c r="C42" s="3104" t="s">
        <v>2485</v>
      </c>
      <c r="D42" s="3105"/>
      <c r="E42" s="3106">
        <v>1</v>
      </c>
      <c r="F42" s="3103" t="s">
        <v>2486</v>
      </c>
      <c r="G42" s="3103"/>
    </row>
    <row r="43" spans="1:7" ht="19.5" customHeight="1">
      <c r="A43" s="3776"/>
      <c r="B43" s="3768"/>
      <c r="C43" s="3104" t="s">
        <v>2487</v>
      </c>
      <c r="D43" s="3105"/>
      <c r="E43" s="3106">
        <v>1.5</v>
      </c>
      <c r="F43" s="3103" t="s">
        <v>2488</v>
      </c>
      <c r="G43" s="3103"/>
    </row>
    <row r="44" spans="1:7" ht="19.5" customHeight="1">
      <c r="A44" s="3776"/>
      <c r="B44" s="3115" t="s">
        <v>2639</v>
      </c>
      <c r="C44" s="3104" t="s">
        <v>2640</v>
      </c>
      <c r="D44" s="3105"/>
      <c r="E44" s="3106">
        <v>2</v>
      </c>
      <c r="F44" s="3103" t="s">
        <v>2489</v>
      </c>
      <c r="G44" s="3103"/>
    </row>
    <row r="45" spans="1:7" ht="19.5" customHeight="1">
      <c r="A45" s="3776"/>
      <c r="B45" s="3767" t="s">
        <v>2641</v>
      </c>
      <c r="C45" s="3104" t="s">
        <v>2490</v>
      </c>
      <c r="D45" s="3105"/>
      <c r="E45" s="3106">
        <v>1</v>
      </c>
      <c r="F45" s="3103" t="s">
        <v>2491</v>
      </c>
      <c r="G45" s="3103"/>
    </row>
    <row r="46" spans="1:7" ht="19.5" customHeight="1">
      <c r="A46" s="3776"/>
      <c r="B46" s="3769"/>
      <c r="C46" s="3104" t="s">
        <v>2492</v>
      </c>
      <c r="D46" s="3105"/>
      <c r="E46" s="3106">
        <v>1</v>
      </c>
      <c r="F46" s="3103" t="s">
        <v>2493</v>
      </c>
      <c r="G46" s="3103"/>
    </row>
    <row r="47" spans="1:7" ht="19.5" customHeight="1">
      <c r="A47" s="3776"/>
      <c r="B47" s="3769"/>
      <c r="C47" s="3104" t="s">
        <v>2494</v>
      </c>
      <c r="D47" s="3105"/>
      <c r="E47" s="3106">
        <v>1</v>
      </c>
      <c r="F47" s="3103" t="s">
        <v>2495</v>
      </c>
      <c r="G47" s="3103"/>
    </row>
    <row r="48" spans="1:7" ht="19.5" customHeight="1">
      <c r="A48" s="3776"/>
      <c r="B48" s="3769"/>
      <c r="C48" s="3104" t="s">
        <v>2496</v>
      </c>
      <c r="D48" s="3105"/>
      <c r="E48" s="3106">
        <v>1</v>
      </c>
      <c r="F48" s="3103" t="s">
        <v>2497</v>
      </c>
      <c r="G48" s="3103"/>
    </row>
    <row r="49" spans="1:7" ht="19.5" customHeight="1">
      <c r="A49" s="3776"/>
      <c r="B49" s="3769"/>
      <c r="C49" s="3104" t="s">
        <v>2498</v>
      </c>
      <c r="D49" s="3105"/>
      <c r="E49" s="3106">
        <v>1</v>
      </c>
      <c r="F49" s="3103" t="s">
        <v>2499</v>
      </c>
      <c r="G49" s="3103"/>
    </row>
    <row r="50" spans="1:7" ht="19.5" customHeight="1">
      <c r="A50" s="3776"/>
      <c r="B50" s="3769"/>
      <c r="C50" s="3104" t="s">
        <v>2500</v>
      </c>
      <c r="D50" s="3105"/>
      <c r="E50" s="3106">
        <v>1</v>
      </c>
      <c r="F50" s="3103" t="s">
        <v>2501</v>
      </c>
      <c r="G50" s="3103"/>
    </row>
    <row r="51" spans="1:7" ht="19.5" customHeight="1" thickBot="1">
      <c r="A51" s="3777"/>
      <c r="B51" s="3771"/>
      <c r="C51" s="3107" t="s">
        <v>2502</v>
      </c>
      <c r="D51" s="3108"/>
      <c r="E51" s="3109">
        <v>1</v>
      </c>
      <c r="F51" s="3103" t="s">
        <v>2503</v>
      </c>
      <c r="G51" s="3103"/>
    </row>
    <row r="52" spans="1:7" ht="19.5" customHeight="1">
      <c r="A52" s="3116"/>
      <c r="B52" s="3116"/>
      <c r="C52" s="3116"/>
      <c r="D52" s="3116"/>
      <c r="E52" s="3116"/>
      <c r="F52" s="3116"/>
      <c r="G52" s="3116"/>
    </row>
    <row r="54" spans="1:7" ht="19.5" customHeight="1">
      <c r="A54" s="3117"/>
      <c r="B54" s="3089" t="s">
        <v>2642</v>
      </c>
      <c r="C54" s="3089" t="s">
        <v>2642</v>
      </c>
      <c r="D54" s="3089" t="s">
        <v>2642</v>
      </c>
      <c r="E54" s="3092" t="s">
        <v>2642</v>
      </c>
      <c r="F54" s="3092" t="s">
        <v>2643</v>
      </c>
      <c r="G54" s="3092" t="s">
        <v>2644</v>
      </c>
    </row>
    <row r="55" spans="1:7" ht="19.5" customHeight="1">
      <c r="A55" s="3118"/>
      <c r="B55" s="3092" t="s">
        <v>2611</v>
      </c>
      <c r="C55" s="3092" t="s">
        <v>2611</v>
      </c>
      <c r="D55" s="3092" t="s">
        <v>2611</v>
      </c>
      <c r="E55" s="3089" t="s">
        <v>2612</v>
      </c>
      <c r="F55" s="3089" t="s">
        <v>2614</v>
      </c>
      <c r="G55" s="3089" t="s">
        <v>2645</v>
      </c>
    </row>
    <row r="56" spans="1:7" ht="19.5" customHeight="1">
      <c r="A56" s="3119"/>
      <c r="B56" s="3089">
        <v>1</v>
      </c>
      <c r="C56" s="3089">
        <v>2</v>
      </c>
      <c r="D56" s="3089">
        <v>3</v>
      </c>
      <c r="E56" s="3120" t="s">
        <v>2646</v>
      </c>
      <c r="F56" s="3120" t="s">
        <v>2646</v>
      </c>
      <c r="G56" s="3120" t="s">
        <v>2646</v>
      </c>
    </row>
    <row r="57" spans="1:7" ht="19.5" customHeight="1">
      <c r="A57" s="3121" t="s">
        <v>2599</v>
      </c>
      <c r="B57" s="3089">
        <v>0.7</v>
      </c>
      <c r="C57" s="3089">
        <v>0.4</v>
      </c>
      <c r="D57" s="3089">
        <v>0.3</v>
      </c>
      <c r="E57" s="3120">
        <v>0.3</v>
      </c>
      <c r="F57" s="3089">
        <v>0.3</v>
      </c>
      <c r="G57" s="3089">
        <v>0.2</v>
      </c>
    </row>
    <row r="58" spans="1:7" ht="19.5" customHeight="1">
      <c r="A58" s="3121" t="s">
        <v>2600</v>
      </c>
      <c r="B58" s="3089">
        <v>0.7</v>
      </c>
      <c r="C58" s="3089">
        <v>0.4</v>
      </c>
      <c r="D58" s="3089">
        <v>0.3</v>
      </c>
      <c r="E58" s="3089">
        <v>0.3</v>
      </c>
      <c r="F58" s="3089">
        <v>0.3</v>
      </c>
      <c r="G58" s="3089">
        <v>0.2</v>
      </c>
    </row>
    <row r="59" spans="1:7" ht="19.5" customHeight="1">
      <c r="A59" s="3121" t="s">
        <v>2601</v>
      </c>
      <c r="B59" s="3089">
        <v>0.6</v>
      </c>
      <c r="C59" s="3089">
        <v>0.3</v>
      </c>
      <c r="D59" s="3089">
        <v>0.25</v>
      </c>
      <c r="E59" s="3089">
        <v>0.25</v>
      </c>
      <c r="F59" s="3089">
        <v>0.25</v>
      </c>
      <c r="G59" s="3089">
        <v>0.15</v>
      </c>
    </row>
    <row r="60" spans="1:7" ht="19.5" customHeight="1">
      <c r="A60" s="3121" t="s">
        <v>2602</v>
      </c>
      <c r="B60" s="3089">
        <v>0.6</v>
      </c>
      <c r="C60" s="3089">
        <v>0.3</v>
      </c>
      <c r="D60" s="3089">
        <v>0.25</v>
      </c>
      <c r="E60" s="3089">
        <v>0.25</v>
      </c>
      <c r="F60" s="3089">
        <v>0.25</v>
      </c>
      <c r="G60" s="3089">
        <v>0.15</v>
      </c>
    </row>
    <row r="61" spans="1:7" ht="19.5" customHeight="1">
      <c r="A61" s="3121" t="s">
        <v>2603</v>
      </c>
      <c r="B61" s="3089">
        <v>0.6</v>
      </c>
      <c r="C61" s="3089">
        <v>0.3</v>
      </c>
      <c r="D61" s="3089">
        <v>0.25</v>
      </c>
      <c r="E61" s="3089">
        <v>0.25</v>
      </c>
      <c r="F61" s="3089">
        <v>0.25</v>
      </c>
      <c r="G61" s="3089">
        <v>0.15</v>
      </c>
    </row>
    <row r="62" spans="1:7" ht="19.5" customHeight="1">
      <c r="A62" s="3121" t="s">
        <v>2604</v>
      </c>
      <c r="B62" s="3089">
        <v>0.6</v>
      </c>
      <c r="C62" s="3089">
        <v>0.3</v>
      </c>
      <c r="D62" s="3089">
        <v>0.25</v>
      </c>
      <c r="E62" s="3089">
        <v>0.25</v>
      </c>
      <c r="F62" s="3089">
        <v>0.25</v>
      </c>
      <c r="G62" s="3089">
        <v>0.15</v>
      </c>
    </row>
    <row r="63" spans="1:7" ht="19.5" customHeight="1">
      <c r="A63" s="3121" t="s">
        <v>2605</v>
      </c>
      <c r="B63" s="3089">
        <v>0.6</v>
      </c>
      <c r="C63" s="3089">
        <v>0.3</v>
      </c>
      <c r="D63" s="3089">
        <v>0.25</v>
      </c>
      <c r="E63" s="3089">
        <v>0.25</v>
      </c>
      <c r="F63" s="3089">
        <v>0.25</v>
      </c>
      <c r="G63" s="3089">
        <v>0.15</v>
      </c>
    </row>
    <row r="64" spans="1:7" ht="19.5" customHeight="1">
      <c r="A64" s="3121" t="s">
        <v>2606</v>
      </c>
      <c r="B64" s="3089">
        <v>0.5</v>
      </c>
      <c r="C64" s="3089">
        <v>0.2</v>
      </c>
      <c r="D64" s="3089">
        <v>0.2</v>
      </c>
      <c r="E64" s="3089">
        <v>0.2</v>
      </c>
      <c r="F64" s="3089">
        <v>0.2</v>
      </c>
      <c r="G64" s="3089">
        <v>0.1</v>
      </c>
    </row>
    <row r="65" spans="1:7" ht="19.5" customHeight="1">
      <c r="A65" s="3121" t="s">
        <v>2607</v>
      </c>
      <c r="B65" s="3089">
        <v>0.5</v>
      </c>
      <c r="C65" s="3089">
        <v>0.2</v>
      </c>
      <c r="D65" s="3089">
        <v>0.2</v>
      </c>
      <c r="E65" s="3089">
        <v>0.2</v>
      </c>
      <c r="F65" s="3089">
        <v>0.2</v>
      </c>
      <c r="G65" s="3089">
        <v>0.1</v>
      </c>
    </row>
    <row r="66" spans="1:7" ht="19.5" customHeight="1">
      <c r="A66" s="3121" t="s">
        <v>2608</v>
      </c>
      <c r="B66" s="3089">
        <v>0.5</v>
      </c>
      <c r="C66" s="3089">
        <v>0.2</v>
      </c>
      <c r="D66" s="3089">
        <v>0.2</v>
      </c>
      <c r="E66" s="3089">
        <v>0.2</v>
      </c>
      <c r="F66" s="3089">
        <v>0.2</v>
      </c>
      <c r="G66" s="3089">
        <v>0.1</v>
      </c>
    </row>
    <row r="67" spans="1:7" ht="19.5" customHeight="1">
      <c r="A67" s="3121" t="s">
        <v>2609</v>
      </c>
      <c r="B67" s="3089">
        <v>0.5</v>
      </c>
      <c r="C67" s="3089">
        <v>0.2</v>
      </c>
      <c r="D67" s="3089">
        <v>0.2</v>
      </c>
      <c r="E67" s="3089">
        <v>0.2</v>
      </c>
      <c r="F67" s="3089">
        <v>0.2</v>
      </c>
      <c r="G67" s="3089">
        <v>0.1</v>
      </c>
    </row>
    <row r="68" spans="1:7" ht="19.5" customHeight="1">
      <c r="A68" s="3121" t="s">
        <v>2610</v>
      </c>
      <c r="B68" s="3089">
        <v>0.5</v>
      </c>
      <c r="C68" s="3089">
        <v>0.2</v>
      </c>
      <c r="D68" s="3089">
        <v>0.2</v>
      </c>
      <c r="E68" s="3089">
        <v>0.2</v>
      </c>
      <c r="F68" s="3089">
        <v>0.2</v>
      </c>
      <c r="G68" s="3089">
        <v>0.1</v>
      </c>
    </row>
    <row r="70" spans="1:7" ht="19.5" customHeight="1">
      <c r="A70" s="3122"/>
      <c r="B70" s="3123"/>
      <c r="C70" s="3123"/>
      <c r="D70" s="3123" t="s">
        <v>2647</v>
      </c>
      <c r="E70" s="3123"/>
      <c r="F70" s="3123"/>
    </row>
    <row r="71" spans="1:7" ht="19.5" customHeight="1">
      <c r="A71" s="3115" t="s">
        <v>2648</v>
      </c>
      <c r="B71" s="3115" t="s">
        <v>2649</v>
      </c>
      <c r="C71" s="3115" t="s">
        <v>2650</v>
      </c>
      <c r="D71" s="3115" t="s">
        <v>2651</v>
      </c>
      <c r="E71" s="3115" t="s">
        <v>2652</v>
      </c>
      <c r="F71" s="3115" t="s">
        <v>2653</v>
      </c>
    </row>
    <row r="72" spans="1:7" ht="13.5">
      <c r="A72" s="3115"/>
      <c r="B72" s="3115"/>
      <c r="C72" s="3115" t="s">
        <v>2654</v>
      </c>
      <c r="D72" s="3115"/>
      <c r="E72" s="3115" t="s">
        <v>2625</v>
      </c>
      <c r="F72" s="3115" t="s">
        <v>2625</v>
      </c>
    </row>
    <row r="73" spans="1:7" ht="13.5">
      <c r="A73" s="3115">
        <v>1</v>
      </c>
      <c r="B73" s="3767" t="s">
        <v>2655</v>
      </c>
      <c r="C73" s="3089" t="s">
        <v>2656</v>
      </c>
      <c r="D73" s="3089" t="s">
        <v>2657</v>
      </c>
      <c r="E73" s="3115">
        <v>0.2</v>
      </c>
      <c r="F73" s="3115">
        <v>25</v>
      </c>
    </row>
    <row r="74" spans="1:7" ht="24">
      <c r="A74" s="3115">
        <v>2</v>
      </c>
      <c r="B74" s="3769"/>
      <c r="C74" s="3089" t="s">
        <v>2658</v>
      </c>
      <c r="D74" s="3089" t="s">
        <v>2659</v>
      </c>
      <c r="E74" s="3115">
        <v>0.2</v>
      </c>
      <c r="F74" s="3115">
        <v>25</v>
      </c>
    </row>
    <row r="75" spans="1:7" ht="24">
      <c r="A75" s="3115">
        <v>3</v>
      </c>
      <c r="B75" s="3769"/>
      <c r="C75" s="3089" t="s">
        <v>2660</v>
      </c>
      <c r="D75" s="3089" t="s">
        <v>2661</v>
      </c>
      <c r="E75" s="3115">
        <v>0.2</v>
      </c>
      <c r="F75" s="3115">
        <v>25</v>
      </c>
    </row>
    <row r="76" spans="1:7" ht="13.5">
      <c r="A76" s="3115">
        <v>4</v>
      </c>
      <c r="B76" s="3769"/>
      <c r="C76" s="3089" t="s">
        <v>2662</v>
      </c>
      <c r="D76" s="3089" t="s">
        <v>2663</v>
      </c>
      <c r="E76" s="3115">
        <v>0.15</v>
      </c>
      <c r="F76" s="3115">
        <v>20</v>
      </c>
    </row>
    <row r="77" spans="1:7" ht="24">
      <c r="A77" s="3115">
        <v>5</v>
      </c>
      <c r="B77" s="3769"/>
      <c r="C77" s="3089" t="s">
        <v>2664</v>
      </c>
      <c r="D77" s="3089" t="s">
        <v>2665</v>
      </c>
      <c r="E77" s="3115">
        <v>0.15</v>
      </c>
      <c r="F77" s="3115">
        <v>20</v>
      </c>
    </row>
    <row r="78" spans="1:7" ht="24">
      <c r="A78" s="3115">
        <v>6</v>
      </c>
      <c r="B78" s="3769"/>
      <c r="C78" s="3089" t="s">
        <v>2666</v>
      </c>
      <c r="D78" s="3089" t="s">
        <v>2667</v>
      </c>
      <c r="E78" s="3115">
        <v>0.15</v>
      </c>
      <c r="F78" s="3115">
        <v>20</v>
      </c>
    </row>
    <row r="79" spans="1:7" ht="24">
      <c r="A79" s="3115">
        <v>7</v>
      </c>
      <c r="B79" s="3769"/>
      <c r="C79" s="3089" t="s">
        <v>2668</v>
      </c>
      <c r="D79" s="3089" t="s">
        <v>2669</v>
      </c>
      <c r="E79" s="3115">
        <v>0.15</v>
      </c>
      <c r="F79" s="3115">
        <v>20</v>
      </c>
    </row>
    <row r="80" spans="1:7" ht="24">
      <c r="A80" s="3115">
        <v>8</v>
      </c>
      <c r="B80" s="3769"/>
      <c r="C80" s="3089" t="s">
        <v>2670</v>
      </c>
      <c r="D80" s="3089" t="s">
        <v>2671</v>
      </c>
      <c r="E80" s="3115">
        <v>0.1</v>
      </c>
      <c r="F80" s="3115">
        <v>15</v>
      </c>
    </row>
    <row r="81" spans="1:6" ht="24">
      <c r="A81" s="3115">
        <v>9</v>
      </c>
      <c r="B81" s="3769"/>
      <c r="C81" s="3089" t="s">
        <v>2672</v>
      </c>
      <c r="D81" s="3089" t="s">
        <v>2673</v>
      </c>
      <c r="E81" s="3115">
        <v>0.1</v>
      </c>
      <c r="F81" s="3115">
        <v>15</v>
      </c>
    </row>
    <row r="82" spans="1:6" ht="24">
      <c r="A82" s="3115">
        <v>10</v>
      </c>
      <c r="B82" s="3769"/>
      <c r="C82" s="3089" t="s">
        <v>2674</v>
      </c>
      <c r="D82" s="3089" t="s">
        <v>2675</v>
      </c>
      <c r="E82" s="3115">
        <v>0.1</v>
      </c>
      <c r="F82" s="3115">
        <v>15</v>
      </c>
    </row>
    <row r="83" spans="1:6" ht="24">
      <c r="A83" s="3115">
        <v>11</v>
      </c>
      <c r="B83" s="3769"/>
      <c r="C83" s="3089" t="s">
        <v>2676</v>
      </c>
      <c r="D83" s="3089" t="s">
        <v>2677</v>
      </c>
      <c r="E83" s="3115">
        <v>0.1</v>
      </c>
      <c r="F83" s="3115">
        <v>15</v>
      </c>
    </row>
    <row r="84" spans="1:6" ht="24">
      <c r="A84" s="3115">
        <v>12</v>
      </c>
      <c r="B84" s="3769"/>
      <c r="C84" s="3089" t="s">
        <v>2678</v>
      </c>
      <c r="D84" s="3089" t="s">
        <v>2679</v>
      </c>
      <c r="E84" s="3115">
        <v>0.1</v>
      </c>
      <c r="F84" s="3115">
        <v>15</v>
      </c>
    </row>
    <row r="85" spans="1:6" ht="13.5">
      <c r="A85" s="3115">
        <v>13</v>
      </c>
      <c r="B85" s="3769"/>
      <c r="C85" s="3089" t="s">
        <v>2680</v>
      </c>
      <c r="D85" s="3089" t="s">
        <v>2681</v>
      </c>
      <c r="E85" s="3115">
        <v>0.1</v>
      </c>
      <c r="F85" s="3115">
        <v>15</v>
      </c>
    </row>
    <row r="86" spans="1:6" ht="13.5">
      <c r="A86" s="3115">
        <v>14</v>
      </c>
      <c r="B86" s="3769"/>
      <c r="C86" s="3089" t="s">
        <v>2682</v>
      </c>
      <c r="D86" s="3089" t="s">
        <v>2683</v>
      </c>
      <c r="E86" s="3115">
        <v>0.1</v>
      </c>
      <c r="F86" s="3115">
        <v>15</v>
      </c>
    </row>
    <row r="87" spans="1:6" ht="13.5">
      <c r="A87" s="3115">
        <v>15</v>
      </c>
      <c r="B87" s="3769"/>
      <c r="C87" s="3089" t="s">
        <v>2684</v>
      </c>
      <c r="D87" s="3089" t="s">
        <v>2685</v>
      </c>
      <c r="E87" s="3115">
        <v>0.1</v>
      </c>
      <c r="F87" s="3115">
        <v>15</v>
      </c>
    </row>
    <row r="88" spans="1:6" ht="24">
      <c r="A88" s="3115">
        <v>16</v>
      </c>
      <c r="B88" s="3769"/>
      <c r="C88" s="3089" t="s">
        <v>2686</v>
      </c>
      <c r="D88" s="3089" t="s">
        <v>2687</v>
      </c>
      <c r="E88" s="3115">
        <v>0.1</v>
      </c>
      <c r="F88" s="3115">
        <v>15</v>
      </c>
    </row>
    <row r="89" spans="1:6" ht="24">
      <c r="A89" s="3115">
        <v>17</v>
      </c>
      <c r="B89" s="3768"/>
      <c r="C89" s="3089" t="s">
        <v>2688</v>
      </c>
      <c r="D89" s="3089" t="s">
        <v>2689</v>
      </c>
      <c r="E89" s="3115">
        <v>0.1</v>
      </c>
      <c r="F89" s="3115">
        <v>15</v>
      </c>
    </row>
    <row r="90" spans="1:6" ht="13.5">
      <c r="A90" s="3115">
        <v>18</v>
      </c>
      <c r="B90" s="3767" t="s">
        <v>2690</v>
      </c>
      <c r="C90" s="3089" t="s">
        <v>2691</v>
      </c>
      <c r="D90" s="3089" t="s">
        <v>2692</v>
      </c>
      <c r="E90" s="3115">
        <v>0.2</v>
      </c>
      <c r="F90" s="3115">
        <v>25</v>
      </c>
    </row>
    <row r="91" spans="1:6" ht="24">
      <c r="A91" s="3115">
        <v>19</v>
      </c>
      <c r="B91" s="3769"/>
      <c r="C91" s="3089" t="s">
        <v>2693</v>
      </c>
      <c r="D91" s="3089" t="s">
        <v>2694</v>
      </c>
      <c r="E91" s="3115">
        <v>0.2</v>
      </c>
      <c r="F91" s="3115">
        <v>25</v>
      </c>
    </row>
    <row r="92" spans="1:6" ht="13.5">
      <c r="A92" s="3115">
        <v>20</v>
      </c>
      <c r="B92" s="3769"/>
      <c r="C92" s="3089" t="s">
        <v>2695</v>
      </c>
      <c r="D92" s="3089" t="s">
        <v>2696</v>
      </c>
      <c r="E92" s="3115">
        <v>0.15</v>
      </c>
      <c r="F92" s="3115">
        <v>20</v>
      </c>
    </row>
    <row r="93" spans="1:6" ht="13.5">
      <c r="A93" s="3115">
        <v>21</v>
      </c>
      <c r="B93" s="3769"/>
      <c r="C93" s="3089" t="s">
        <v>2697</v>
      </c>
      <c r="D93" s="3089" t="s">
        <v>2698</v>
      </c>
      <c r="E93" s="3115">
        <v>0.15</v>
      </c>
      <c r="F93" s="3115">
        <v>20</v>
      </c>
    </row>
    <row r="94" spans="1:6" ht="13.5">
      <c r="A94" s="3115">
        <v>22</v>
      </c>
      <c r="B94" s="3769"/>
      <c r="C94" s="3089" t="s">
        <v>2699</v>
      </c>
      <c r="D94" s="3089" t="s">
        <v>2700</v>
      </c>
      <c r="E94" s="3115">
        <v>0.15</v>
      </c>
      <c r="F94" s="3115">
        <v>20</v>
      </c>
    </row>
    <row r="95" spans="1:6" ht="36">
      <c r="A95" s="3115">
        <v>23</v>
      </c>
      <c r="B95" s="3769"/>
      <c r="C95" s="3089" t="s">
        <v>2701</v>
      </c>
      <c r="D95" s="3089" t="s">
        <v>2702</v>
      </c>
      <c r="E95" s="3115">
        <v>0.15</v>
      </c>
      <c r="F95" s="3115">
        <v>20</v>
      </c>
    </row>
    <row r="96" spans="1:6" ht="13.5">
      <c r="A96" s="3115">
        <v>24</v>
      </c>
      <c r="B96" s="3769"/>
      <c r="C96" s="3089" t="s">
        <v>2703</v>
      </c>
      <c r="D96" s="3089" t="s">
        <v>2704</v>
      </c>
      <c r="E96" s="3115">
        <v>0.1</v>
      </c>
      <c r="F96" s="3115">
        <v>15</v>
      </c>
    </row>
    <row r="97" spans="1:6" ht="13.5">
      <c r="A97" s="3115">
        <v>25</v>
      </c>
      <c r="B97" s="3769"/>
      <c r="C97" s="3089" t="s">
        <v>2705</v>
      </c>
      <c r="D97" s="3089" t="s">
        <v>2706</v>
      </c>
      <c r="E97" s="3115">
        <v>0.1</v>
      </c>
      <c r="F97" s="3115">
        <v>15</v>
      </c>
    </row>
    <row r="98" spans="1:6" ht="24">
      <c r="A98" s="3115">
        <v>26</v>
      </c>
      <c r="B98" s="3769"/>
      <c r="C98" s="3089" t="s">
        <v>2707</v>
      </c>
      <c r="D98" s="3089" t="s">
        <v>2708</v>
      </c>
      <c r="E98" s="3115">
        <v>0.1</v>
      </c>
      <c r="F98" s="3115">
        <v>15</v>
      </c>
    </row>
    <row r="99" spans="1:6" ht="24">
      <c r="A99" s="3115">
        <v>27</v>
      </c>
      <c r="B99" s="3769"/>
      <c r="C99" s="3089" t="s">
        <v>2709</v>
      </c>
      <c r="D99" s="3089" t="s">
        <v>2710</v>
      </c>
      <c r="E99" s="3115">
        <v>0.1</v>
      </c>
      <c r="F99" s="3115">
        <v>15</v>
      </c>
    </row>
    <row r="100" spans="1:6" ht="13.5">
      <c r="A100" s="3115">
        <v>28</v>
      </c>
      <c r="B100" s="3769"/>
      <c r="C100" s="3089" t="s">
        <v>2711</v>
      </c>
      <c r="D100" s="3089" t="s">
        <v>2712</v>
      </c>
      <c r="E100" s="3115">
        <v>0.1</v>
      </c>
      <c r="F100" s="3115">
        <v>15</v>
      </c>
    </row>
    <row r="101" spans="1:6" ht="13.5">
      <c r="A101" s="3115">
        <v>29</v>
      </c>
      <c r="B101" s="3769"/>
      <c r="C101" s="3089" t="s">
        <v>2713</v>
      </c>
      <c r="D101" s="3089" t="s">
        <v>2714</v>
      </c>
      <c r="E101" s="3115">
        <v>0.1</v>
      </c>
      <c r="F101" s="3115">
        <v>15</v>
      </c>
    </row>
    <row r="102" spans="1:6" ht="13.5">
      <c r="A102" s="3115">
        <v>30</v>
      </c>
      <c r="B102" s="3769"/>
      <c r="C102" s="3089" t="s">
        <v>2715</v>
      </c>
      <c r="D102" s="3089" t="s">
        <v>2716</v>
      </c>
      <c r="E102" s="3115">
        <v>0.1</v>
      </c>
      <c r="F102" s="3115">
        <v>15</v>
      </c>
    </row>
    <row r="103" spans="1:6" ht="24">
      <c r="A103" s="3115">
        <v>31</v>
      </c>
      <c r="B103" s="3769"/>
      <c r="C103" s="3089" t="s">
        <v>2717</v>
      </c>
      <c r="D103" s="3089" t="s">
        <v>2718</v>
      </c>
      <c r="E103" s="3115">
        <v>0.1</v>
      </c>
      <c r="F103" s="3115">
        <v>15</v>
      </c>
    </row>
    <row r="104" spans="1:6" ht="24">
      <c r="A104" s="3115">
        <v>32</v>
      </c>
      <c r="B104" s="3769"/>
      <c r="C104" s="3089" t="s">
        <v>2719</v>
      </c>
      <c r="D104" s="3089" t="s">
        <v>2720</v>
      </c>
      <c r="E104" s="3115">
        <v>0.1</v>
      </c>
      <c r="F104" s="3115">
        <v>15</v>
      </c>
    </row>
    <row r="105" spans="1:6" ht="24">
      <c r="A105" s="3115">
        <v>33</v>
      </c>
      <c r="B105" s="3769"/>
      <c r="C105" s="3089" t="s">
        <v>2721</v>
      </c>
      <c r="D105" s="3089" t="s">
        <v>2722</v>
      </c>
      <c r="E105" s="3115">
        <v>0.1</v>
      </c>
      <c r="F105" s="3115">
        <v>15</v>
      </c>
    </row>
    <row r="106" spans="1:6" ht="24">
      <c r="A106" s="3115">
        <v>34</v>
      </c>
      <c r="B106" s="3768"/>
      <c r="C106" s="3089" t="s">
        <v>2723</v>
      </c>
      <c r="D106" s="3089" t="s">
        <v>2724</v>
      </c>
      <c r="E106" s="3115">
        <v>0.1</v>
      </c>
      <c r="F106" s="3115">
        <v>15</v>
      </c>
    </row>
    <row r="107" spans="1:6" ht="24">
      <c r="A107" s="3115">
        <v>35</v>
      </c>
      <c r="B107" s="3767" t="s">
        <v>2725</v>
      </c>
      <c r="C107" s="3115" t="s">
        <v>2726</v>
      </c>
      <c r="D107" s="3089" t="s">
        <v>2727</v>
      </c>
      <c r="E107" s="3115">
        <v>0.15</v>
      </c>
      <c r="F107" s="3115">
        <v>20</v>
      </c>
    </row>
    <row r="108" spans="1:6" ht="13.5">
      <c r="A108" s="3115">
        <v>36</v>
      </c>
      <c r="B108" s="3769"/>
      <c r="C108" s="3115" t="s">
        <v>2728</v>
      </c>
      <c r="D108" s="3089" t="s">
        <v>2729</v>
      </c>
      <c r="E108" s="3115">
        <v>0.15</v>
      </c>
      <c r="F108" s="3115">
        <v>20</v>
      </c>
    </row>
    <row r="109" spans="1:6" ht="13.5">
      <c r="A109" s="3115">
        <v>37</v>
      </c>
      <c r="B109" s="3769"/>
      <c r="C109" s="3115" t="s">
        <v>2730</v>
      </c>
      <c r="D109" s="3089" t="s">
        <v>2731</v>
      </c>
      <c r="E109" s="3115">
        <v>0.15</v>
      </c>
      <c r="F109" s="3115">
        <v>20</v>
      </c>
    </row>
    <row r="110" spans="1:6" ht="13.5">
      <c r="A110" s="3115">
        <v>38</v>
      </c>
      <c r="B110" s="3769"/>
      <c r="C110" s="3115" t="s">
        <v>2732</v>
      </c>
      <c r="D110" s="3089" t="s">
        <v>2733</v>
      </c>
      <c r="E110" s="3115">
        <v>0.1</v>
      </c>
      <c r="F110" s="3115">
        <v>15</v>
      </c>
    </row>
    <row r="111" spans="1:6" ht="24">
      <c r="A111" s="3115">
        <v>39</v>
      </c>
      <c r="B111" s="3769"/>
      <c r="C111" s="3115" t="s">
        <v>2734</v>
      </c>
      <c r="D111" s="3089" t="s">
        <v>2735</v>
      </c>
      <c r="E111" s="3115">
        <v>0.1</v>
      </c>
      <c r="F111" s="3115">
        <v>15</v>
      </c>
    </row>
    <row r="112" spans="1:6" ht="24">
      <c r="A112" s="3115">
        <v>40</v>
      </c>
      <c r="B112" s="3768"/>
      <c r="C112" s="3115" t="s">
        <v>2736</v>
      </c>
      <c r="D112" s="3089" t="s">
        <v>2737</v>
      </c>
      <c r="E112" s="3115">
        <v>0.1</v>
      </c>
      <c r="F112" s="3115">
        <v>15</v>
      </c>
    </row>
    <row r="113" spans="1:6" ht="13.5">
      <c r="A113" s="3115">
        <v>41</v>
      </c>
      <c r="B113" s="3766" t="s">
        <v>2738</v>
      </c>
      <c r="C113" s="3115" t="s">
        <v>2739</v>
      </c>
      <c r="D113" s="3089" t="s">
        <v>2740</v>
      </c>
      <c r="E113" s="3115">
        <v>0.1</v>
      </c>
      <c r="F113" s="3115">
        <v>15</v>
      </c>
    </row>
    <row r="114" spans="1:6" ht="13.5">
      <c r="A114" s="3115">
        <v>42</v>
      </c>
      <c r="B114" s="3766"/>
      <c r="C114" s="3115" t="s">
        <v>2741</v>
      </c>
      <c r="D114" s="3089" t="s">
        <v>2742</v>
      </c>
      <c r="E114" s="3115">
        <v>0.1</v>
      </c>
      <c r="F114" s="3115">
        <v>15</v>
      </c>
    </row>
    <row r="115" spans="1:6" ht="24">
      <c r="A115" s="3115">
        <v>43</v>
      </c>
      <c r="B115" s="3766"/>
      <c r="C115" s="3115" t="s">
        <v>2743</v>
      </c>
      <c r="D115" s="3089" t="s">
        <v>2744</v>
      </c>
      <c r="E115" s="3115">
        <v>0.1</v>
      </c>
      <c r="F115" s="3115">
        <v>15</v>
      </c>
    </row>
    <row r="116" spans="1:6" ht="13.5">
      <c r="A116" s="3115">
        <v>44</v>
      </c>
      <c r="B116" s="3767" t="s">
        <v>2745</v>
      </c>
      <c r="C116" s="3115" t="s">
        <v>2746</v>
      </c>
      <c r="D116" s="3089" t="s">
        <v>2747</v>
      </c>
      <c r="E116" s="3115">
        <v>0.1</v>
      </c>
      <c r="F116" s="3115">
        <v>15</v>
      </c>
    </row>
    <row r="117" spans="1:6" ht="24">
      <c r="A117" s="3115">
        <v>45</v>
      </c>
      <c r="B117" s="3768"/>
      <c r="C117" s="3089" t="s">
        <v>2748</v>
      </c>
      <c r="D117" s="3089" t="s">
        <v>2749</v>
      </c>
      <c r="E117" s="3115">
        <v>0.1</v>
      </c>
      <c r="F117" s="3115">
        <v>15</v>
      </c>
    </row>
    <row r="118" spans="1:6" ht="24">
      <c r="A118" s="3115">
        <v>46</v>
      </c>
      <c r="B118" s="3767" t="s">
        <v>2750</v>
      </c>
      <c r="C118" s="3115" t="s">
        <v>2751</v>
      </c>
      <c r="D118" s="3089" t="s">
        <v>2752</v>
      </c>
      <c r="E118" s="3115">
        <v>0.1</v>
      </c>
      <c r="F118" s="3115">
        <v>15</v>
      </c>
    </row>
    <row r="119" spans="1:6" ht="24">
      <c r="A119" s="3115">
        <v>47</v>
      </c>
      <c r="B119" s="3768"/>
      <c r="C119" s="3115" t="s">
        <v>2753</v>
      </c>
      <c r="D119" s="3089" t="s">
        <v>2754</v>
      </c>
      <c r="E119" s="3115">
        <v>0.1</v>
      </c>
      <c r="F119" s="3115">
        <v>15</v>
      </c>
    </row>
    <row r="120" spans="1:6" ht="13.5">
      <c r="A120" s="3115">
        <v>48</v>
      </c>
      <c r="B120" s="3767" t="s">
        <v>2755</v>
      </c>
      <c r="C120" s="3115" t="s">
        <v>2756</v>
      </c>
      <c r="D120" s="3089" t="s">
        <v>2757</v>
      </c>
      <c r="E120" s="3115">
        <v>0.1</v>
      </c>
      <c r="F120" s="3115">
        <v>15</v>
      </c>
    </row>
    <row r="121" spans="1:6" ht="13.5">
      <c r="A121" s="3115">
        <v>49</v>
      </c>
      <c r="B121" s="3768"/>
      <c r="C121" s="3115" t="s">
        <v>2758</v>
      </c>
      <c r="D121" s="3089" t="s">
        <v>2759</v>
      </c>
      <c r="E121" s="3115">
        <v>0.1</v>
      </c>
      <c r="F121" s="3115">
        <v>15</v>
      </c>
    </row>
    <row r="122" spans="1:6" ht="24">
      <c r="A122" s="3115">
        <v>50</v>
      </c>
      <c r="B122" s="3766" t="s">
        <v>2760</v>
      </c>
      <c r="C122" s="3115" t="s">
        <v>2761</v>
      </c>
      <c r="D122" s="3089" t="s">
        <v>2762</v>
      </c>
      <c r="E122" s="3115">
        <v>0.1</v>
      </c>
      <c r="F122" s="3115">
        <v>15</v>
      </c>
    </row>
    <row r="123" spans="1:6" ht="24">
      <c r="A123" s="3115">
        <v>51</v>
      </c>
      <c r="B123" s="3766"/>
      <c r="C123" s="3115" t="s">
        <v>2763</v>
      </c>
      <c r="D123" s="3089" t="s">
        <v>2764</v>
      </c>
      <c r="E123" s="3115">
        <v>0.1</v>
      </c>
      <c r="F123" s="3115">
        <v>15</v>
      </c>
    </row>
    <row r="124" spans="1:6" ht="24">
      <c r="A124" s="3115">
        <v>52</v>
      </c>
      <c r="B124" s="3766" t="s">
        <v>2765</v>
      </c>
      <c r="C124" s="3115" t="s">
        <v>2766</v>
      </c>
      <c r="D124" s="3089" t="s">
        <v>2767</v>
      </c>
      <c r="E124" s="3115">
        <v>0.1</v>
      </c>
      <c r="F124" s="3115">
        <v>15</v>
      </c>
    </row>
    <row r="125" spans="1:6" ht="24">
      <c r="A125" s="3115">
        <v>53</v>
      </c>
      <c r="B125" s="3766"/>
      <c r="C125" s="3115" t="s">
        <v>2768</v>
      </c>
      <c r="D125" s="3089" t="s">
        <v>2769</v>
      </c>
      <c r="E125" s="3115">
        <v>0.1</v>
      </c>
      <c r="F125" s="3115">
        <v>15</v>
      </c>
    </row>
    <row r="126" spans="1:6" ht="13.5">
      <c r="A126" s="3115">
        <v>54</v>
      </c>
      <c r="B126" s="3115" t="s">
        <v>2770</v>
      </c>
      <c r="C126" s="3115" t="s">
        <v>2771</v>
      </c>
      <c r="D126" s="3089" t="s">
        <v>2772</v>
      </c>
      <c r="E126" s="3115">
        <v>0.1</v>
      </c>
      <c r="F126" s="3115">
        <v>15</v>
      </c>
    </row>
    <row r="127" spans="1:6" ht="13.5">
      <c r="A127" s="3115">
        <v>55</v>
      </c>
      <c r="B127" s="3766" t="s">
        <v>2773</v>
      </c>
      <c r="C127" s="3115" t="s">
        <v>2774</v>
      </c>
      <c r="D127" s="3089" t="s">
        <v>2775</v>
      </c>
      <c r="E127" s="3115">
        <v>0.1</v>
      </c>
      <c r="F127" s="3115">
        <v>15</v>
      </c>
    </row>
    <row r="128" spans="1:6" ht="13.5">
      <c r="A128" s="3115">
        <v>56</v>
      </c>
      <c r="B128" s="3766"/>
      <c r="C128" s="3115" t="s">
        <v>2776</v>
      </c>
      <c r="D128" s="3089" t="s">
        <v>2777</v>
      </c>
      <c r="E128" s="3115">
        <v>0.1</v>
      </c>
      <c r="F128" s="3115">
        <v>15</v>
      </c>
    </row>
    <row r="129" spans="1:6" ht="24">
      <c r="A129" s="3115">
        <v>57</v>
      </c>
      <c r="B129" s="3766"/>
      <c r="C129" s="3115" t="s">
        <v>2778</v>
      </c>
      <c r="D129" s="3089" t="s">
        <v>2779</v>
      </c>
      <c r="E129" s="3115">
        <v>0.1</v>
      </c>
      <c r="F129" s="3115">
        <v>15</v>
      </c>
    </row>
    <row r="130" spans="1:6" ht="24">
      <c r="A130" s="3115">
        <v>58</v>
      </c>
      <c r="B130" s="3766" t="s">
        <v>2780</v>
      </c>
      <c r="C130" s="3115" t="s">
        <v>2781</v>
      </c>
      <c r="D130" s="3089" t="s">
        <v>2782</v>
      </c>
      <c r="E130" s="3115">
        <v>0.1</v>
      </c>
      <c r="F130" s="3115">
        <v>15</v>
      </c>
    </row>
    <row r="131" spans="1:6" ht="13.5">
      <c r="A131" s="3115">
        <v>59</v>
      </c>
      <c r="B131" s="3766"/>
      <c r="C131" s="3115" t="s">
        <v>2783</v>
      </c>
      <c r="D131" s="3089" t="s">
        <v>2784</v>
      </c>
      <c r="E131" s="3115">
        <v>0.1</v>
      </c>
      <c r="F131" s="3115">
        <v>15</v>
      </c>
    </row>
    <row r="132" spans="1:6" ht="13.5">
      <c r="A132" s="3115">
        <v>60</v>
      </c>
      <c r="B132" s="3767" t="s">
        <v>2785</v>
      </c>
      <c r="C132" s="3115" t="s">
        <v>2786</v>
      </c>
      <c r="D132" s="3089" t="s">
        <v>2787</v>
      </c>
      <c r="E132" s="3115">
        <v>0.1</v>
      </c>
      <c r="F132" s="3115">
        <v>15</v>
      </c>
    </row>
    <row r="133" spans="1:6" ht="13.5">
      <c r="A133" s="3115">
        <v>61</v>
      </c>
      <c r="B133" s="3768"/>
      <c r="C133" s="3115" t="s">
        <v>2788</v>
      </c>
      <c r="D133" s="3089" t="s">
        <v>2789</v>
      </c>
      <c r="E133" s="3115">
        <v>0.1</v>
      </c>
      <c r="F133" s="3115">
        <v>15</v>
      </c>
    </row>
    <row r="134" spans="1:6" ht="24">
      <c r="A134" s="3115">
        <v>62</v>
      </c>
      <c r="B134" s="3115" t="s">
        <v>2790</v>
      </c>
      <c r="C134" s="3115" t="s">
        <v>2791</v>
      </c>
      <c r="D134" s="3089" t="s">
        <v>2792</v>
      </c>
      <c r="E134" s="3115">
        <v>0.1</v>
      </c>
      <c r="F134" s="3115">
        <v>15</v>
      </c>
    </row>
    <row r="135" spans="1:6" ht="13.5">
      <c r="A135" s="3115">
        <v>63</v>
      </c>
      <c r="B135" s="3766" t="s">
        <v>2793</v>
      </c>
      <c r="C135" s="3115" t="s">
        <v>2794</v>
      </c>
      <c r="D135" s="3089" t="s">
        <v>2795</v>
      </c>
      <c r="E135" s="3115">
        <v>0.1</v>
      </c>
      <c r="F135" s="3115">
        <v>15</v>
      </c>
    </row>
    <row r="136" spans="1:6" ht="13.5">
      <c r="A136" s="3115">
        <v>64</v>
      </c>
      <c r="B136" s="3766"/>
      <c r="C136" s="3115" t="s">
        <v>2796</v>
      </c>
      <c r="D136" s="3089" t="s">
        <v>2797</v>
      </c>
      <c r="E136" s="3115">
        <v>0.1</v>
      </c>
      <c r="F136" s="3115">
        <v>15</v>
      </c>
    </row>
    <row r="137" spans="1:6" ht="13.5">
      <c r="A137" s="3115">
        <v>65</v>
      </c>
      <c r="B137" s="3115" t="s">
        <v>2798</v>
      </c>
      <c r="C137" s="3115" t="s">
        <v>2799</v>
      </c>
      <c r="D137" s="3089" t="s">
        <v>2800</v>
      </c>
      <c r="E137" s="3115">
        <v>0.1</v>
      </c>
      <c r="F137" s="3115">
        <v>15</v>
      </c>
    </row>
    <row r="138" spans="1:6" ht="13.5">
      <c r="A138" s="3115"/>
      <c r="B138" s="3115"/>
      <c r="C138" s="3115"/>
      <c r="D138" s="3115"/>
      <c r="E138" s="3115" t="s">
        <v>2801</v>
      </c>
      <c r="F138" s="3115"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2802</v>
      </c>
      <c r="B1" s="3124"/>
      <c r="C1" s="3124"/>
      <c r="D1" s="3124"/>
      <c r="E1" s="3124"/>
      <c r="F1" s="3124"/>
      <c r="G1" s="3124"/>
      <c r="H1" s="3124"/>
      <c r="I1" s="3124"/>
      <c r="J1" s="3124"/>
      <c r="K1" s="3124"/>
      <c r="L1" s="3124"/>
      <c r="M1" s="3124"/>
      <c r="N1" s="749"/>
    </row>
    <row r="2" spans="1:20">
      <c r="A2" s="3125" t="s">
        <v>2803</v>
      </c>
      <c r="B2" s="3126" t="s">
        <v>2599</v>
      </c>
      <c r="C2" s="3126" t="s">
        <v>2600</v>
      </c>
      <c r="D2" s="3126" t="s">
        <v>2601</v>
      </c>
      <c r="E2" s="3126" t="s">
        <v>2602</v>
      </c>
      <c r="F2" s="3126" t="s">
        <v>2603</v>
      </c>
      <c r="G2" s="3126" t="s">
        <v>2604</v>
      </c>
      <c r="H2" s="3127" t="s">
        <v>2605</v>
      </c>
      <c r="I2" s="3127" t="s">
        <v>2606</v>
      </c>
      <c r="J2" s="3128" t="s">
        <v>2607</v>
      </c>
      <c r="K2" s="3128" t="s">
        <v>2608</v>
      </c>
      <c r="L2" s="3128" t="s">
        <v>2609</v>
      </c>
      <c r="M2" s="3129" t="s">
        <v>2610</v>
      </c>
      <c r="Q2" s="3139" t="s">
        <v>2808</v>
      </c>
      <c r="R2" s="3139" t="s">
        <v>2809</v>
      </c>
      <c r="S2" s="3139" t="s">
        <v>2810</v>
      </c>
      <c r="T2" s="3139" t="s">
        <v>2811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2804</v>
      </c>
      <c r="B93" s="3124"/>
      <c r="C93" s="3124"/>
      <c r="D93" s="3124"/>
      <c r="E93" s="3124"/>
      <c r="F93" s="3124"/>
      <c r="G93" s="3124"/>
      <c r="H93" s="3124"/>
      <c r="I93" s="3124"/>
      <c r="J93" s="3124"/>
      <c r="K93" s="3124"/>
      <c r="L93" s="3124"/>
      <c r="M93" s="3124"/>
    </row>
    <row r="94" spans="1:20">
      <c r="A94" s="3125" t="s">
        <v>2803</v>
      </c>
      <c r="B94" s="3126" t="s">
        <v>2599</v>
      </c>
      <c r="C94" s="3126" t="s">
        <v>2600</v>
      </c>
      <c r="D94" s="3126" t="s">
        <v>2601</v>
      </c>
      <c r="E94" s="3126" t="s">
        <v>2602</v>
      </c>
      <c r="F94" s="3126" t="s">
        <v>2603</v>
      </c>
      <c r="G94" s="3126" t="s">
        <v>2604</v>
      </c>
      <c r="H94" s="3127" t="s">
        <v>2605</v>
      </c>
      <c r="I94" s="3127" t="s">
        <v>2606</v>
      </c>
      <c r="J94" s="3128" t="s">
        <v>2607</v>
      </c>
      <c r="K94" s="3128" t="s">
        <v>2608</v>
      </c>
      <c r="L94" s="3128" t="s">
        <v>2609</v>
      </c>
      <c r="M94" s="3129" t="s">
        <v>2610</v>
      </c>
      <c r="N94" s="750">
        <f>SUMPRODUCT((A95:A184=ROUNDDOWN(基准地价修正!G3,1))*(B94:M94=基准地价修正!G2)*(B95:M184))</f>
        <v>0</v>
      </c>
      <c r="Q94" s="3139" t="s">
        <v>2808</v>
      </c>
      <c r="R94" s="3139" t="s">
        <v>2809</v>
      </c>
      <c r="S94" s="3139" t="s">
        <v>2810</v>
      </c>
      <c r="T94" s="3139" t="s">
        <v>2811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2805</v>
      </c>
      <c r="B185" s="3124"/>
      <c r="C185" s="3124"/>
      <c r="D185" s="3124"/>
      <c r="E185" s="3124"/>
      <c r="F185" s="3124"/>
      <c r="G185" s="3124"/>
      <c r="H185" s="3124"/>
      <c r="I185" s="3124"/>
      <c r="J185" s="3124"/>
      <c r="K185" s="3124"/>
      <c r="L185" s="3124"/>
      <c r="M185" s="3124"/>
    </row>
    <row r="186" spans="1:20">
      <c r="A186" s="3125" t="s">
        <v>2803</v>
      </c>
      <c r="B186" s="3126" t="s">
        <v>2599</v>
      </c>
      <c r="C186" s="3126" t="s">
        <v>2600</v>
      </c>
      <c r="D186" s="3126" t="s">
        <v>2601</v>
      </c>
      <c r="E186" s="3126" t="s">
        <v>2602</v>
      </c>
      <c r="F186" s="3126" t="s">
        <v>2603</v>
      </c>
      <c r="G186" s="3126" t="s">
        <v>2604</v>
      </c>
      <c r="H186" s="3127" t="s">
        <v>2605</v>
      </c>
      <c r="I186" s="3127" t="s">
        <v>2606</v>
      </c>
      <c r="J186" s="3128" t="s">
        <v>2607</v>
      </c>
      <c r="K186" s="3128" t="s">
        <v>2608</v>
      </c>
      <c r="L186" s="3128" t="s">
        <v>2609</v>
      </c>
      <c r="M186" s="3129" t="s">
        <v>2610</v>
      </c>
      <c r="Q186" s="3139" t="s">
        <v>2808</v>
      </c>
      <c r="R186" s="3139" t="s">
        <v>2809</v>
      </c>
      <c r="S186" s="3139" t="s">
        <v>2810</v>
      </c>
      <c r="T186" s="3139" t="s">
        <v>2811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2806</v>
      </c>
      <c r="B277" s="3124"/>
      <c r="C277" s="3124"/>
      <c r="D277" s="3124"/>
      <c r="E277" s="3124"/>
      <c r="F277" s="3124"/>
      <c r="G277" s="3124"/>
      <c r="H277" s="3124"/>
      <c r="I277" s="3124"/>
      <c r="J277" s="3124"/>
      <c r="K277" s="3124"/>
      <c r="L277" s="3124"/>
      <c r="M277" s="3124"/>
    </row>
    <row r="278" spans="1:21">
      <c r="A278" s="3125" t="s">
        <v>2803</v>
      </c>
      <c r="B278" s="3126" t="s">
        <v>2599</v>
      </c>
      <c r="C278" s="3126" t="s">
        <v>2600</v>
      </c>
      <c r="D278" s="3126" t="s">
        <v>2601</v>
      </c>
      <c r="E278" s="3126" t="s">
        <v>2602</v>
      </c>
      <c r="F278" s="3126" t="s">
        <v>2603</v>
      </c>
      <c r="G278" s="3126" t="s">
        <v>2604</v>
      </c>
      <c r="H278" s="3127" t="s">
        <v>2605</v>
      </c>
      <c r="I278" s="3127" t="s">
        <v>2606</v>
      </c>
      <c r="J278" s="3128" t="s">
        <v>2607</v>
      </c>
      <c r="K278" s="3128" t="s">
        <v>2608</v>
      </c>
      <c r="L278" s="3128" t="s">
        <v>2609</v>
      </c>
      <c r="M278" s="3129" t="s">
        <v>2610</v>
      </c>
      <c r="Q278" s="3139" t="s">
        <v>2808</v>
      </c>
      <c r="R278" s="3139" t="s">
        <v>2809</v>
      </c>
      <c r="S278" s="3139" t="s">
        <v>2812</v>
      </c>
      <c r="T278" s="3139" t="s">
        <v>2813</v>
      </c>
      <c r="U278" s="3139" t="s">
        <v>2811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2807</v>
      </c>
      <c r="B369" s="3137"/>
      <c r="C369" s="3137"/>
      <c r="D369" s="3137"/>
      <c r="E369" s="3137"/>
      <c r="F369" s="3137"/>
      <c r="G369" s="3137"/>
      <c r="H369" s="3137"/>
      <c r="I369" s="3137"/>
      <c r="J369" s="3137"/>
      <c r="K369" s="3137"/>
      <c r="L369" s="3137"/>
      <c r="M369" s="3137"/>
    </row>
    <row r="370" spans="1:20">
      <c r="A370" s="3125" t="s">
        <v>2803</v>
      </c>
      <c r="B370" s="3126" t="s">
        <v>2599</v>
      </c>
      <c r="C370" s="3126" t="s">
        <v>2600</v>
      </c>
      <c r="D370" s="3126" t="s">
        <v>2601</v>
      </c>
      <c r="E370" s="3126" t="s">
        <v>2602</v>
      </c>
      <c r="F370" s="3126" t="s">
        <v>2603</v>
      </c>
      <c r="G370" s="3126" t="s">
        <v>2604</v>
      </c>
      <c r="H370" s="3127" t="s">
        <v>2605</v>
      </c>
      <c r="I370" s="3127" t="s">
        <v>2606</v>
      </c>
      <c r="J370" s="3128" t="s">
        <v>2607</v>
      </c>
      <c r="K370" s="3128" t="s">
        <v>2608</v>
      </c>
      <c r="L370" s="3128" t="s">
        <v>2609</v>
      </c>
      <c r="M370" s="3129" t="s">
        <v>2610</v>
      </c>
      <c r="N370" s="750">
        <f>SUMPRODUCT((A371:A460=ROUNDDOWN(基准地价修正!G3,1))*(B370:M370=基准地价修正!G2)*(B371:M460))</f>
        <v>0</v>
      </c>
      <c r="Q370" s="3139" t="s">
        <v>2808</v>
      </c>
      <c r="R370" s="3139" t="s">
        <v>2809</v>
      </c>
      <c r="S370" s="3139" t="s">
        <v>2810</v>
      </c>
      <c r="T370" s="3139" t="s">
        <v>2811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22755</v>
      </c>
      <c r="C2" s="2" t="s">
        <v>106</v>
      </c>
      <c r="D2" s="199"/>
      <c r="E2" s="199"/>
      <c r="F2" s="199"/>
      <c r="G2" s="199"/>
    </row>
    <row r="3" spans="1:7" s="200" customFormat="1" ht="18" customHeight="1" thickBot="1">
      <c r="A3" s="203" t="s">
        <v>58</v>
      </c>
      <c r="B3" s="204">
        <f ca="1">ROUND(B2*10000/'数据-汇总表'!E3,0)</f>
        <v>131790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35</v>
      </c>
      <c r="D10" s="845">
        <f>'数据-汇总表'!E6</f>
        <v>1726.61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35</v>
      </c>
      <c r="D19" s="849">
        <f>'数据-汇总表'!E3</f>
        <v>1726.61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22724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0.72</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1726.61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0</v>
      </c>
      <c r="D44" s="238"/>
      <c r="E44" s="238"/>
      <c r="F44" s="239"/>
      <c r="G44" s="3642"/>
    </row>
    <row r="45" spans="1:7" s="214" customFormat="1" ht="13.5" customHeight="1">
      <c r="A45" s="777" t="s">
        <v>341</v>
      </c>
      <c r="B45" s="244" t="s">
        <v>85</v>
      </c>
      <c r="C45" s="245">
        <f>C46</f>
        <v>3</v>
      </c>
      <c r="D45" s="235">
        <f>C47</f>
        <v>2E-3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31</v>
      </c>
      <c r="D51" s="232"/>
      <c r="E51" s="232"/>
      <c r="F51" s="264"/>
      <c r="G51" s="234" t="s">
        <v>37</v>
      </c>
    </row>
    <row r="52" spans="1:7" s="208" customFormat="1" ht="16.5" thickBot="1">
      <c r="A52" s="265" t="s">
        <v>38</v>
      </c>
      <c r="B52" s="266"/>
      <c r="C52" s="267">
        <f ca="1">C31+C51</f>
        <v>22755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2573</v>
      </c>
      <c r="E5" s="1491"/>
    </row>
    <row r="6" spans="1:5" ht="15.75">
      <c r="A6" s="1491"/>
      <c r="B6" s="3459"/>
      <c r="C6" s="1494" t="s">
        <v>911</v>
      </c>
      <c r="D6" s="850" t="str">
        <f ca="1">NUMBERSTRING(INT(D5*10000),2)&amp;"元整"</f>
        <v>贰仟伍佰柒拾叁万元整</v>
      </c>
      <c r="E6" s="1491"/>
    </row>
    <row r="7" spans="1:5" ht="15.75">
      <c r="A7" s="1491"/>
      <c r="B7" s="3464"/>
      <c r="C7" s="1495" t="s">
        <v>912</v>
      </c>
      <c r="D7" s="851">
        <f ca="1">结果表!H102</f>
        <v>14902</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2573</v>
      </c>
      <c r="E13" s="1491"/>
    </row>
    <row r="14" spans="1:5" ht="15.75">
      <c r="A14" s="1491"/>
      <c r="B14" s="3459"/>
      <c r="C14" s="1494" t="s">
        <v>911</v>
      </c>
      <c r="D14" s="850" t="str">
        <f ca="1">NUMBERSTRING(INT(D13*10000),2)&amp;"元整"</f>
        <v>贰仟伍佰柒拾叁万元整</v>
      </c>
      <c r="E14" s="1491"/>
    </row>
    <row r="15" spans="1:5" ht="15">
      <c r="A15" s="1491"/>
      <c r="B15" s="3464"/>
      <c r="C15" s="1495" t="s">
        <v>921</v>
      </c>
      <c r="D15" s="859">
        <f ca="1">结果表!H108</f>
        <v>14902</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2845</v>
      </c>
      <c r="B1" s="3780"/>
      <c r="C1" s="3780"/>
      <c r="D1" s="3780"/>
      <c r="E1" s="3780"/>
      <c r="F1" s="3780"/>
      <c r="G1" s="3781"/>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8" t="s">
        <v>2872</v>
      </c>
      <c r="B3" s="3227"/>
      <c r="C3" s="3228" t="s">
        <v>2815</v>
      </c>
      <c r="D3" s="3228" t="s">
        <v>2873</v>
      </c>
      <c r="E3" s="3228" t="s">
        <v>2817</v>
      </c>
      <c r="F3" s="3228" t="s">
        <v>2874</v>
      </c>
      <c r="G3" s="3228" t="s">
        <v>2635</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9"/>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3187</v>
      </c>
      <c r="B1" s="3782"/>
    </row>
    <row r="2" spans="1:7" ht="14.25" thickBot="1">
      <c r="A2" s="3252"/>
      <c r="B2" s="3252"/>
    </row>
    <row r="3" spans="1:7" ht="14.25" thickBot="1">
      <c r="A3" s="3252"/>
      <c r="B3" s="3252"/>
      <c r="C3" s="3253" t="s">
        <v>2815</v>
      </c>
      <c r="D3" s="3253" t="s">
        <v>2873</v>
      </c>
      <c r="E3" s="3253" t="s">
        <v>2817</v>
      </c>
      <c r="F3" s="3253" t="s">
        <v>2874</v>
      </c>
      <c r="G3" s="3253" t="s">
        <v>2635</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3238</v>
      </c>
      <c r="B1" s="3783"/>
      <c r="C1" s="3783"/>
      <c r="D1" s="3783"/>
      <c r="E1" s="3783"/>
      <c r="F1" s="3784"/>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45190</v>
      </c>
      <c r="B1" s="3207" t="s">
        <v>2844</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2814</v>
      </c>
      <c r="E2" s="3144" t="s">
        <v>2815</v>
      </c>
      <c r="F2" s="3144" t="s">
        <v>2816</v>
      </c>
      <c r="G2" s="3144" t="s">
        <v>2817</v>
      </c>
      <c r="H2" s="3144" t="s">
        <v>2818</v>
      </c>
      <c r="I2" s="3144" t="s">
        <v>2635</v>
      </c>
      <c r="J2" s="3145"/>
      <c r="K2" s="3143" t="s">
        <v>2814</v>
      </c>
      <c r="L2" s="3144" t="s">
        <v>2815</v>
      </c>
      <c r="M2" s="3144" t="s">
        <v>2816</v>
      </c>
      <c r="N2" s="3144" t="s">
        <v>2817</v>
      </c>
      <c r="O2" s="3144" t="s">
        <v>2819</v>
      </c>
      <c r="P2" s="3144" t="s">
        <v>2635</v>
      </c>
      <c r="Q2" s="3145"/>
      <c r="R2" s="3143" t="s">
        <v>2814</v>
      </c>
      <c r="S2" s="3144" t="s">
        <v>2815</v>
      </c>
      <c r="T2" s="3144" t="s">
        <v>2816</v>
      </c>
      <c r="U2" s="3144" t="s">
        <v>2820</v>
      </c>
      <c r="V2" s="3144" t="s">
        <v>2821</v>
      </c>
      <c r="W2" s="3144" t="s">
        <v>2635</v>
      </c>
      <c r="X2" s="3145"/>
      <c r="Y2" s="3143" t="s">
        <v>2814</v>
      </c>
      <c r="Z2" s="3144" t="s">
        <v>2815</v>
      </c>
      <c r="AA2" s="3144" t="s">
        <v>2816</v>
      </c>
      <c r="AB2" s="3144" t="s">
        <v>2822</v>
      </c>
      <c r="AC2" s="3144" t="s">
        <v>2821</v>
      </c>
      <c r="AD2" s="3144" t="s">
        <v>2635</v>
      </c>
    </row>
    <row r="3" spans="1:30" s="3158" customFormat="1" ht="12.75">
      <c r="A3" s="3146" t="s">
        <v>2823</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3379</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3378</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85" t="s">
        <v>2832</v>
      </c>
      <c r="S21" s="3786"/>
      <c r="T21" s="3786"/>
      <c r="U21" s="3786"/>
      <c r="V21" s="3786"/>
      <c r="W21" s="3786"/>
      <c r="X21" s="3162"/>
      <c r="Y21" s="3785" t="s">
        <v>2833</v>
      </c>
      <c r="Z21" s="3786"/>
      <c r="AA21" s="3786"/>
      <c r="AB21" s="3786"/>
      <c r="AC21" s="3786"/>
      <c r="AD21" s="3786"/>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1.0396000000000001</v>
      </c>
      <c r="T25" s="3180">
        <f>ROUND(IF([3]项目基本情况!$B$8="出让",SUMPRODUCT(PRODUCT(1+M25:M$36)),SUMPRODUCT(PRODUCT(1+M25:M$35))),4)</f>
        <v>1.0269999999999999</v>
      </c>
      <c r="U25" s="3180">
        <f>ROUND(IF([3]项目基本情况!$B$8="出让",SUMPRODUCT(PRODUCT(1+N25:N$36)),SUMPRODUCT(PRODUCT(1+N25:N$35))),4)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1.0396000000000001</v>
      </c>
      <c r="T26" s="3180">
        <f>ROUND(IF([3]项目基本情况!$B$8="出让",SUMPRODUCT(PRODUCT(1+M26:M$36)),SUMPRODUCT(PRODUCT(1+M26:M$35))),4)</f>
        <v>1.0269999999999999</v>
      </c>
      <c r="U26" s="3180">
        <f>ROUND(IF([3]项目基本情况!$B$8="出让",SUMPRODUCT(PRODUCT(1+N26:N$36)),SUMPRODUCT(PRODUCT(1+N26:N$35))),4)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3377</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ROUND(IF([3]项目基本情况!$B$8="出让",SUMPRODUCT(PRODUCT(1+L27:L$36)),SUMPRODUCT(PRODUCT(1+L27:L$35))),4)</f>
        <v>1.0396000000000001</v>
      </c>
      <c r="T27" s="3189">
        <f>ROUND(IF([3]项目基本情况!$B$8="出让",SUMPRODUCT(PRODUCT(1+M27:M$36)),SUMPRODUCT(PRODUCT(1+M27:M$35))),4)</f>
        <v>1.0269999999999999</v>
      </c>
      <c r="U27" s="3189">
        <f>ROUND(IF([3]项目基本情况!$B$8="出让",SUMPRODUCT(PRODUCT(1+N27:N$36)),SUMPRODUCT(PRODUCT(1+N27:N$35))),4)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3378</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2313</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45">
      <c r="A4" s="1505" t="str">
        <f>项目基本情况!S2</f>
        <v>北京市北京经济技术开发区西环南路26号院20幢工业用房房地产</v>
      </c>
      <c r="B4" s="854">
        <f>项目基本情况!C17</f>
        <v>1726.61</v>
      </c>
      <c r="C4" s="854">
        <f>项目基本情况!C18</f>
        <v>0</v>
      </c>
      <c r="D4" s="854" t="e">
        <f ca="1">结果表!D118</f>
        <v>#REF!</v>
      </c>
      <c r="E4" s="854" t="e">
        <f ca="1">结果表!E118</f>
        <v>#REF!</v>
      </c>
      <c r="F4" s="854" t="e">
        <f ca="1">结果表!F118</f>
        <v>#REF!</v>
      </c>
      <c r="G4" s="854" t="e">
        <f ca="1">结果表!G118</f>
        <v>#REF!</v>
      </c>
      <c r="H4" s="854">
        <f ca="1">结果表!H118</f>
        <v>2573</v>
      </c>
      <c r="I4" s="854">
        <f ca="1">结果表!I118</f>
        <v>14902</v>
      </c>
    </row>
    <row r="5" spans="1:9" ht="30" customHeight="1">
      <c r="A5" s="3471" t="s">
        <v>927</v>
      </c>
      <c r="B5" s="3471"/>
      <c r="C5" s="3471"/>
      <c r="D5" s="3471" t="e">
        <f ca="1">结果表!D119</f>
        <v>#REF!</v>
      </c>
      <c r="E5" s="3471"/>
      <c r="F5" s="3471" t="e">
        <f ca="1">结果表!F119</f>
        <v>#REF!</v>
      </c>
      <c r="G5" s="3471"/>
      <c r="H5" s="3471" t="str">
        <f ca="1">结果表!H119</f>
        <v>贰仟伍佰柒拾叁万元整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2573</v>
      </c>
      <c r="E8" s="3470"/>
      <c r="F8" s="3470"/>
      <c r="G8" s="3470"/>
      <c r="H8" s="3470"/>
      <c r="I8" s="3470"/>
    </row>
    <row r="9" spans="1:9" ht="15">
      <c r="A9" s="3471" t="s">
        <v>927</v>
      </c>
      <c r="B9" s="3471"/>
      <c r="C9" s="3471"/>
      <c r="D9" s="3471" t="str">
        <f ca="1">结果表!D123</f>
        <v>贰仟伍佰柒拾叁万元整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2023-10-11T10:06:48Z</dcterms:modified>
</cp:coreProperties>
</file>