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售价" sheetId="81" r:id="rId47"/>
    <sheet name="租金" sheetId="83"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18" i="31"/>
  <c r="E18" i="31"/>
  <c r="C18" i="31"/>
  <c r="E17" i="31"/>
  <c r="D17" i="31"/>
  <c r="C17" i="31"/>
  <c r="D4" i="31"/>
  <c r="E4" i="31"/>
  <c r="F4" i="31"/>
  <c r="C4" i="31"/>
  <c r="D3" i="31"/>
  <c r="E3" i="31"/>
  <c r="F3" i="31"/>
  <c r="C3" i="31"/>
  <c r="I10" i="34"/>
  <c r="G10" i="34"/>
  <c r="E10" i="34"/>
  <c r="C10" i="34"/>
  <c r="C37" i="34"/>
  <c r="C34" i="34"/>
  <c r="E67" i="34"/>
  <c r="F67" i="34"/>
  <c r="G67" i="34"/>
  <c r="D67" i="34"/>
  <c r="I7" i="34"/>
  <c r="G7" i="34"/>
  <c r="E7" i="34"/>
  <c r="J49" i="67"/>
  <c r="Y6" i="1"/>
  <c r="N6" i="1"/>
  <c r="N19" i="1"/>
  <c r="B25" i="31" l="1"/>
  <c r="B26" i="31"/>
  <c r="B27" i="31"/>
  <c r="B28" i="31"/>
  <c r="B29" i="31"/>
  <c r="B30" i="31"/>
  <c r="B31" i="31"/>
  <c r="B32" i="31"/>
  <c r="B33" i="31"/>
  <c r="B34" i="31"/>
  <c r="B35" i="31"/>
  <c r="B36" i="31"/>
  <c r="B37" i="31"/>
  <c r="B38" i="31"/>
  <c r="B39" i="31"/>
  <c r="B40" i="31"/>
  <c r="B41" i="31"/>
  <c r="B24" i="31"/>
  <c r="A26" i="31"/>
  <c r="A27" i="31"/>
  <c r="A28" i="31"/>
  <c r="A29" i="31"/>
  <c r="A30" i="31"/>
  <c r="A31" i="31"/>
  <c r="A32" i="31"/>
  <c r="A33" i="31"/>
  <c r="A34" i="31"/>
  <c r="A35" i="31"/>
  <c r="A36" i="31"/>
  <c r="A37" i="31"/>
  <c r="A38" i="31"/>
  <c r="A39" i="31"/>
  <c r="A40" i="31"/>
  <c r="A41" i="31"/>
  <c r="A25" i="31"/>
  <c r="F19" i="6"/>
  <c r="I13" i="3"/>
  <c r="J20" i="80"/>
  <c r="D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T40" i="79"/>
  <c r="AD47" i="79"/>
  <c r="S35" i="79"/>
  <c r="AG35" i="79" s="1"/>
  <c r="S33" i="79"/>
  <c r="AG33" i="79" s="1"/>
  <c r="S34" i="79"/>
  <c r="AG34" i="79" s="1"/>
  <c r="U46" i="79"/>
  <c r="AI46" i="79" s="1"/>
  <c r="U50" i="79"/>
  <c r="AI50" i="79" s="1"/>
  <c r="AR18" i="79"/>
  <c r="AR19" i="79" s="1"/>
  <c r="AR20" i="79" s="1"/>
  <c r="AR21" i="79" s="1"/>
  <c r="AR22" i="79" s="1"/>
  <c r="AR23" i="79" s="1"/>
  <c r="AR24" i="79" s="1"/>
  <c r="T33" i="79"/>
  <c r="T34" i="79"/>
  <c r="T35" i="79"/>
  <c r="Z3" i="79"/>
  <c r="AA31" i="79"/>
  <c r="AD31" i="79" s="1"/>
  <c r="S48" i="79"/>
  <c r="AG48"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S28" i="71"/>
  <c r="F28" i="71"/>
  <c r="F27" i="71" s="1"/>
  <c r="F26" i="71" s="1"/>
  <c r="AB27" i="71"/>
  <c r="AA28" i="71"/>
  <c r="D83" i="71"/>
  <c r="C82" i="71"/>
  <c r="D82" i="71"/>
  <c r="N66" i="71"/>
  <c r="D79" i="71"/>
  <c r="C78" i="71"/>
  <c r="D78" i="71" s="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4" i="31"/>
  <c r="S44" i="31" s="1"/>
  <c r="R45" i="31"/>
  <c r="S45" i="31" s="1"/>
  <c r="R46" i="31"/>
  <c r="R47" i="31"/>
  <c r="R48" i="31"/>
  <c r="S48" i="31" s="1"/>
  <c r="R49" i="31"/>
  <c r="S49" i="31" s="1"/>
  <c r="R50" i="31"/>
  <c r="R51" i="31"/>
  <c r="S51" i="31" s="1"/>
  <c r="R52" i="31"/>
  <c r="S52" i="31" s="1"/>
  <c r="R53" i="31"/>
  <c r="S53" i="31" s="1"/>
  <c r="R54" i="31"/>
  <c r="R55" i="31"/>
  <c r="S55" i="31" s="1"/>
  <c r="R56" i="31"/>
  <c r="S56" i="31" s="1"/>
  <c r="R57" i="31"/>
  <c r="S57" i="31" s="1"/>
  <c r="R58" i="31"/>
  <c r="R59" i="31"/>
  <c r="R60" i="31"/>
  <c r="S60" i="31" s="1"/>
  <c r="R61" i="31"/>
  <c r="S61" i="31" s="1"/>
  <c r="R62" i="31"/>
  <c r="R63" i="31"/>
  <c r="R64" i="31"/>
  <c r="S64" i="31" s="1"/>
  <c r="R65" i="31"/>
  <c r="S65" i="31" s="1"/>
  <c r="R66" i="31"/>
  <c r="R67" i="31"/>
  <c r="S67" i="31" s="1"/>
  <c r="R68" i="31"/>
  <c r="R69" i="31"/>
  <c r="S69" i="31" s="1"/>
  <c r="R70" i="31"/>
  <c r="R71" i="31"/>
  <c r="S71" i="31" s="1"/>
  <c r="R72" i="31"/>
  <c r="S72" i="31" s="1"/>
  <c r="R73" i="31"/>
  <c r="S73" i="31" s="1"/>
  <c r="R74" i="31"/>
  <c r="R75" i="31"/>
  <c r="R76" i="31"/>
  <c r="S76" i="31" s="1"/>
  <c r="R77" i="31"/>
  <c r="S77" i="31" s="1"/>
  <c r="R78" i="31"/>
  <c r="R79" i="31"/>
  <c r="R80" i="31"/>
  <c r="S80" i="31" s="1"/>
  <c r="R81" i="31"/>
  <c r="S81" i="31" s="1"/>
  <c r="R82" i="31"/>
  <c r="R83" i="31"/>
  <c r="S83" i="31" s="1"/>
  <c r="R84" i="31"/>
  <c r="R85" i="31"/>
  <c r="S85" i="31" s="1"/>
  <c r="R86" i="31"/>
  <c r="R87" i="31"/>
  <c r="S87" i="31" s="1"/>
  <c r="R88" i="31"/>
  <c r="S88" i="31" s="1"/>
  <c r="R89" i="31"/>
  <c r="S89" i="31" s="1"/>
  <c r="R90" i="31"/>
  <c r="R91" i="31"/>
  <c r="R92" i="31"/>
  <c r="S92" i="31" s="1"/>
  <c r="R93" i="31"/>
  <c r="S93" i="31" s="1"/>
  <c r="R94" i="31"/>
  <c r="R95" i="31"/>
  <c r="R96" i="31"/>
  <c r="S96" i="31" s="1"/>
  <c r="R97" i="31"/>
  <c r="S97" i="31" s="1"/>
  <c r="R98" i="31"/>
  <c r="R99" i="31"/>
  <c r="R100" i="31"/>
  <c r="R101" i="31"/>
  <c r="S101" i="31" s="1"/>
  <c r="R102" i="31"/>
  <c r="R103" i="31"/>
  <c r="S103" i="31" s="1"/>
  <c r="R104" i="31"/>
  <c r="S104" i="31" s="1"/>
  <c r="R105" i="31"/>
  <c r="S105" i="31" s="1"/>
  <c r="R106" i="31"/>
  <c r="R107" i="31"/>
  <c r="S107" i="31" s="1"/>
  <c r="R108" i="31"/>
  <c r="S108" i="31" s="1"/>
  <c r="R109" i="31"/>
  <c r="S109" i="31" s="1"/>
  <c r="R110" i="31"/>
  <c r="R111" i="31"/>
  <c r="R112" i="31"/>
  <c r="S112" i="31" s="1"/>
  <c r="R113" i="31"/>
  <c r="S113" i="31" s="1"/>
  <c r="R114" i="31"/>
  <c r="R115" i="31"/>
  <c r="R116" i="31"/>
  <c r="S116" i="31" s="1"/>
  <c r="R117" i="31"/>
  <c r="S117" i="31" s="1"/>
  <c r="R118" i="31"/>
  <c r="R119" i="31"/>
  <c r="S119" i="31" s="1"/>
  <c r="R120" i="31"/>
  <c r="R121" i="31"/>
  <c r="S121" i="31" s="1"/>
  <c r="R122" i="31"/>
  <c r="R123" i="31"/>
  <c r="R124" i="31"/>
  <c r="S124" i="31" s="1"/>
  <c r="R125" i="31"/>
  <c r="S125" i="31" s="1"/>
  <c r="R126" i="31"/>
  <c r="R127" i="31"/>
  <c r="S127" i="31" s="1"/>
  <c r="R128" i="31"/>
  <c r="S128" i="31" s="1"/>
  <c r="R129" i="31"/>
  <c r="S129" i="31" s="1"/>
  <c r="R130" i="31"/>
  <c r="R131" i="31"/>
  <c r="R132" i="31"/>
  <c r="S132" i="31" s="1"/>
  <c r="R133" i="31"/>
  <c r="S133" i="31" s="1"/>
  <c r="R134" i="31"/>
  <c r="R135" i="31"/>
  <c r="S135" i="31" s="1"/>
  <c r="R136" i="31"/>
  <c r="S136" i="31" s="1"/>
  <c r="R137" i="31"/>
  <c r="S137" i="31" s="1"/>
  <c r="R138" i="31"/>
  <c r="R139" i="31"/>
  <c r="R140" i="31"/>
  <c r="S140" i="31" s="1"/>
  <c r="R141" i="31"/>
  <c r="S141" i="31" s="1"/>
  <c r="R142" i="31"/>
  <c r="R143" i="31"/>
  <c r="S143" i="31" s="1"/>
  <c r="R144" i="31"/>
  <c r="S144" i="31" s="1"/>
  <c r="R145" i="31"/>
  <c r="S145" i="31" s="1"/>
  <c r="R146" i="31"/>
  <c r="R147" i="31"/>
  <c r="R148" i="31"/>
  <c r="S148" i="31" s="1"/>
  <c r="R149" i="31"/>
  <c r="S149" i="31" s="1"/>
  <c r="R150" i="31"/>
  <c r="R151" i="31"/>
  <c r="S151" i="31" s="1"/>
  <c r="R152" i="31"/>
  <c r="S152" i="31" s="1"/>
  <c r="R153" i="31"/>
  <c r="S153" i="31" s="1"/>
  <c r="R154" i="31"/>
  <c r="R155" i="31"/>
  <c r="S155" i="31" s="1"/>
  <c r="R156" i="31"/>
  <c r="S156" i="31" s="1"/>
  <c r="R157" i="31"/>
  <c r="S157" i="31" s="1"/>
  <c r="R158" i="31"/>
  <c r="R159" i="31"/>
  <c r="R160" i="31"/>
  <c r="S160" i="31" s="1"/>
  <c r="R161" i="31"/>
  <c r="S161" i="31" s="1"/>
  <c r="R162" i="31"/>
  <c r="R163" i="31"/>
  <c r="S163" i="31" s="1"/>
  <c r="R164" i="31"/>
  <c r="S164" i="31" s="1"/>
  <c r="R165" i="31"/>
  <c r="S165" i="31" s="1"/>
  <c r="R166" i="31"/>
  <c r="R167" i="31"/>
  <c r="R168" i="31"/>
  <c r="S168" i="31" s="1"/>
  <c r="R169" i="31"/>
  <c r="S169" i="31" s="1"/>
  <c r="R170" i="31"/>
  <c r="R171" i="31"/>
  <c r="S171" i="31" s="1"/>
  <c r="R172" i="31"/>
  <c r="S172" i="31" s="1"/>
  <c r="R173" i="31"/>
  <c r="S173" i="31" s="1"/>
  <c r="R174" i="31"/>
  <c r="R175" i="31"/>
  <c r="R176" i="31"/>
  <c r="S176" i="31" s="1"/>
  <c r="R177" i="31"/>
  <c r="S177" i="31" s="1"/>
  <c r="R178" i="31"/>
  <c r="R179" i="31"/>
  <c r="S179" i="31" s="1"/>
  <c r="R180" i="31"/>
  <c r="S180" i="31" s="1"/>
  <c r="R181" i="31"/>
  <c r="S181" i="31" s="1"/>
  <c r="R182" i="31"/>
  <c r="R183" i="31"/>
  <c r="R184" i="31"/>
  <c r="S184" i="31" s="1"/>
  <c r="R185" i="31"/>
  <c r="S185" i="31" s="1"/>
  <c r="R186" i="31"/>
  <c r="R187" i="31"/>
  <c r="S187" i="31" s="1"/>
  <c r="R188" i="31"/>
  <c r="S188" i="31" s="1"/>
  <c r="R189" i="31"/>
  <c r="S189" i="31" s="1"/>
  <c r="R190" i="31"/>
  <c r="R191" i="31"/>
  <c r="R192" i="31"/>
  <c r="S192" i="31" s="1"/>
  <c r="R193" i="31"/>
  <c r="S193" i="31" s="1"/>
  <c r="R194" i="31"/>
  <c r="R195" i="31"/>
  <c r="S195" i="31" s="1"/>
  <c r="R196" i="31"/>
  <c r="S196" i="31" s="1"/>
  <c r="R197" i="31"/>
  <c r="S197" i="31" s="1"/>
  <c r="R198" i="31"/>
  <c r="R199" i="31"/>
  <c r="R200" i="31"/>
  <c r="S200" i="31" s="1"/>
  <c r="R201" i="31"/>
  <c r="S201" i="31" s="1"/>
  <c r="R202" i="31"/>
  <c r="R203" i="31"/>
  <c r="S203" i="31" s="1"/>
  <c r="R204" i="31"/>
  <c r="S204" i="31" s="1"/>
  <c r="R205" i="31"/>
  <c r="S205" i="31" s="1"/>
  <c r="R206" i="31"/>
  <c r="R207" i="31"/>
  <c r="R208" i="31"/>
  <c r="S208" i="31" s="1"/>
  <c r="R209" i="31"/>
  <c r="S209" i="31" s="1"/>
  <c r="R210" i="31"/>
  <c r="R211" i="31"/>
  <c r="S211" i="31" s="1"/>
  <c r="R212" i="31"/>
  <c r="S212" i="31" s="1"/>
  <c r="R213" i="31"/>
  <c r="S213" i="31" s="1"/>
  <c r="R214" i="31"/>
  <c r="R215" i="31"/>
  <c r="R216" i="31"/>
  <c r="S216" i="31" s="1"/>
  <c r="R217" i="31"/>
  <c r="S217" i="31" s="1"/>
  <c r="R218" i="31"/>
  <c r="R219" i="31"/>
  <c r="S219" i="31" s="1"/>
  <c r="R220" i="31"/>
  <c r="S220" i="31" s="1"/>
  <c r="R221" i="31"/>
  <c r="S221" i="31" s="1"/>
  <c r="R222" i="31"/>
  <c r="R223" i="31"/>
  <c r="S223" i="31" s="1"/>
  <c r="R224" i="31"/>
  <c r="S224" i="31" s="1"/>
  <c r="R225" i="31"/>
  <c r="S225" i="31" s="1"/>
  <c r="R226" i="31"/>
  <c r="R227" i="31"/>
  <c r="R228" i="31"/>
  <c r="S228" i="31" s="1"/>
  <c r="R229" i="31"/>
  <c r="S229" i="31" s="1"/>
  <c r="R230" i="31"/>
  <c r="R231" i="31"/>
  <c r="S231" i="31" s="1"/>
  <c r="R232" i="31"/>
  <c r="S232" i="31" s="1"/>
  <c r="R233" i="31"/>
  <c r="S233" i="31" s="1"/>
  <c r="R234" i="31"/>
  <c r="R235" i="31"/>
  <c r="S235" i="31" s="1"/>
  <c r="R236" i="31"/>
  <c r="S236" i="31" s="1"/>
  <c r="R237" i="31"/>
  <c r="S237" i="31" s="1"/>
  <c r="R238" i="31"/>
  <c r="R239" i="31"/>
  <c r="R240" i="31"/>
  <c r="S240" i="31" s="1"/>
  <c r="R241" i="31"/>
  <c r="S241" i="31" s="1"/>
  <c r="R242" i="31"/>
  <c r="R243" i="31"/>
  <c r="S243" i="31" s="1"/>
  <c r="R244" i="31"/>
  <c r="S244" i="31" s="1"/>
  <c r="R245" i="31"/>
  <c r="S245" i="31" s="1"/>
  <c r="R246" i="31"/>
  <c r="R247" i="3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S433" i="31" s="1"/>
  <c r="R434" i="31"/>
  <c r="R435" i="31"/>
  <c r="R436" i="31"/>
  <c r="S436" i="31" s="1"/>
  <c r="R437" i="31"/>
  <c r="S437" i="31" s="1"/>
  <c r="R438" i="31"/>
  <c r="R439" i="31"/>
  <c r="S439" i="31" s="1"/>
  <c r="R440" i="31"/>
  <c r="S440" i="31" s="1"/>
  <c r="R441" i="31"/>
  <c r="S441" i="31" s="1"/>
  <c r="R442" i="31"/>
  <c r="R443" i="31"/>
  <c r="R444" i="31"/>
  <c r="S444" i="31" s="1"/>
  <c r="R445" i="31"/>
  <c r="S445" i="31" s="1"/>
  <c r="R446" i="31"/>
  <c r="R447" i="31"/>
  <c r="S447" i="31" s="1"/>
  <c r="R448" i="31"/>
  <c r="S448" i="31" s="1"/>
  <c r="R449" i="31"/>
  <c r="S449" i="31" s="1"/>
  <c r="R450" i="31"/>
  <c r="R451" i="31"/>
  <c r="R452" i="31"/>
  <c r="S452" i="31" s="1"/>
  <c r="R453" i="31"/>
  <c r="S453" i="31" s="1"/>
  <c r="R454" i="31"/>
  <c r="R455" i="31"/>
  <c r="S455" i="31" s="1"/>
  <c r="R456" i="31"/>
  <c r="S456" i="31" s="1"/>
  <c r="R457" i="31"/>
  <c r="S457" i="31" s="1"/>
  <c r="R458" i="31"/>
  <c r="R459" i="31"/>
  <c r="R460" i="31"/>
  <c r="S460" i="31" s="1"/>
  <c r="R461" i="31"/>
  <c r="S461" i="31" s="1"/>
  <c r="R462" i="31"/>
  <c r="R463" i="31"/>
  <c r="S463" i="31" s="1"/>
  <c r="R464" i="31"/>
  <c r="S464" i="31" s="1"/>
  <c r="R465" i="31"/>
  <c r="S465" i="31" s="1"/>
  <c r="R466" i="31"/>
  <c r="R467" i="31"/>
  <c r="R468" i="31"/>
  <c r="S468" i="31" s="1"/>
  <c r="R469" i="31"/>
  <c r="S469" i="31" s="1"/>
  <c r="R470" i="31"/>
  <c r="R471" i="31"/>
  <c r="R472" i="31"/>
  <c r="S472" i="31" s="1"/>
  <c r="R473" i="31"/>
  <c r="S473" i="31" s="1"/>
  <c r="R474" i="31"/>
  <c r="R475" i="31"/>
  <c r="S475" i="31" s="1"/>
  <c r="R476" i="31"/>
  <c r="S476" i="31" s="1"/>
  <c r="R477" i="31"/>
  <c r="S477" i="31" s="1"/>
  <c r="R478" i="31"/>
  <c r="R479" i="3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R496" i="31"/>
  <c r="S496" i="31" s="1"/>
  <c r="R497" i="31"/>
  <c r="S497" i="31" s="1"/>
  <c r="R498" i="31"/>
  <c r="R499" i="31"/>
  <c r="R500" i="31"/>
  <c r="S500" i="31" s="1"/>
  <c r="R501" i="31"/>
  <c r="S501" i="31" s="1"/>
  <c r="R502" i="31"/>
  <c r="R503" i="31"/>
  <c r="S503" i="31" s="1"/>
  <c r="R504" i="31"/>
  <c r="S504" i="31" s="1"/>
  <c r="R505" i="31"/>
  <c r="S505" i="31" s="1"/>
  <c r="R506" i="31"/>
  <c r="R507" i="31"/>
  <c r="R508" i="31"/>
  <c r="S508" i="31" s="1"/>
  <c r="R509" i="31"/>
  <c r="S509" i="31" s="1"/>
  <c r="R510" i="31"/>
  <c r="R511" i="31"/>
  <c r="S511" i="31" s="1"/>
  <c r="R512" i="31"/>
  <c r="S512" i="31" s="1"/>
  <c r="R513" i="31"/>
  <c r="S513" i="31" s="1"/>
  <c r="R514" i="31"/>
  <c r="R515" i="3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R42" i="31" s="1"/>
  <c r="S42" i="31" s="1"/>
  <c r="C43" i="31"/>
  <c r="R43" i="31" s="1"/>
  <c r="S43" i="31" s="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H15"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s="1"/>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H22" i="35"/>
  <c r="AB22" i="35"/>
  <c r="W28" i="35"/>
  <c r="U31" i="35"/>
  <c r="W22" i="35"/>
  <c r="S31" i="35"/>
  <c r="U34" i="35"/>
  <c r="F36" i="34"/>
  <c r="S36" i="34" s="1"/>
  <c r="J35" i="34"/>
  <c r="H39" i="33"/>
  <c r="AB39" i="33"/>
  <c r="F26" i="33"/>
  <c r="AA26" i="33"/>
  <c r="U33" i="33"/>
  <c r="U35" i="33"/>
  <c r="W33" i="33"/>
  <c r="W39" i="33"/>
  <c r="H39" i="37"/>
  <c r="AB39" i="37" s="1"/>
  <c r="S27" i="35"/>
  <c r="F11" i="40"/>
  <c r="AA11" i="40"/>
  <c r="H11" i="40"/>
  <c r="AB11" i="40"/>
  <c r="W8" i="40"/>
  <c r="AB3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AC23" i="34" s="1"/>
  <c r="F19" i="34"/>
  <c r="AA19" i="34" s="1"/>
  <c r="H17" i="34"/>
  <c r="U17" i="34" s="1"/>
  <c r="F15" i="34"/>
  <c r="AA15" i="34" s="1"/>
  <c r="J28" i="34"/>
  <c r="W28" i="34" s="1"/>
  <c r="F41" i="33"/>
  <c r="AA41" i="33" s="1"/>
  <c r="S38" i="33"/>
  <c r="E113" i="33"/>
  <c r="F32" i="33"/>
  <c r="AA32" i="33" s="1"/>
  <c r="J19" i="33"/>
  <c r="AC19" i="33" s="1"/>
  <c r="J15" i="33"/>
  <c r="AC15" i="33"/>
  <c r="F11" i="33"/>
  <c r="AA11" i="33" s="1"/>
  <c r="S26" i="33"/>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F23" i="34"/>
  <c r="AA23"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W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AZ152" i="3" s="1"/>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97" i="3"/>
  <c r="AZ10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5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BA379" i="3"/>
  <c r="AZ379" i="3" s="1"/>
  <c r="BL380" i="3"/>
  <c r="G381" i="3"/>
  <c r="BA383" i="3"/>
  <c r="AZ383" i="3" s="1"/>
  <c r="BL384" i="3"/>
  <c r="G385" i="3"/>
  <c r="BA387" i="3"/>
  <c r="AZ387" i="3" s="1"/>
  <c r="BL388" i="3"/>
  <c r="G389" i="3"/>
  <c r="BA391" i="3"/>
  <c r="BL392" i="3"/>
  <c r="AZ392" i="3" s="1"/>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40" i="3"/>
  <c r="AZ256" i="3"/>
  <c r="AZ271" i="3"/>
  <c r="AZ280" i="3"/>
  <c r="AZ50" i="3"/>
  <c r="AZ110" i="3"/>
  <c r="F23" i="39"/>
  <c r="AA23" i="39"/>
  <c r="H27" i="36"/>
  <c r="U27" i="36" s="1"/>
  <c r="F27" i="36"/>
  <c r="AA27" i="36" s="1"/>
  <c r="H33" i="34"/>
  <c r="U33" i="34" s="1"/>
  <c r="F32" i="37"/>
  <c r="AA32" i="37"/>
  <c r="F20" i="36"/>
  <c r="AA20" i="36" s="1"/>
  <c r="J33" i="34"/>
  <c r="H23" i="39"/>
  <c r="U23" i="39" s="1"/>
  <c r="D48" i="9"/>
  <c r="M52" i="9" s="1"/>
  <c r="K9" i="1"/>
  <c r="M9" i="1" s="1"/>
  <c r="D93" i="9"/>
  <c r="K6" i="1"/>
  <c r="AP6" i="1" s="1"/>
  <c r="G29" i="6"/>
  <c r="AC26" i="33"/>
  <c r="W26" i="33"/>
  <c r="AC27" i="34"/>
  <c r="AB34" i="36"/>
  <c r="U34" i="36"/>
  <c r="AC12" i="39"/>
  <c r="W12" i="39"/>
  <c r="AC39" i="40"/>
  <c r="W39" i="40"/>
  <c r="W12" i="33"/>
  <c r="AC12" i="33"/>
  <c r="AA32" i="36"/>
  <c r="S32" i="36"/>
  <c r="AZ473" i="3"/>
  <c r="BL14" i="3"/>
  <c r="U30" i="33"/>
  <c r="AC13" i="34"/>
  <c r="AA47" i="34"/>
  <c r="W28" i="37"/>
  <c r="S19" i="39"/>
  <c r="F12" i="33"/>
  <c r="H12" i="39"/>
  <c r="AB12" i="39" s="1"/>
  <c r="F39" i="40"/>
  <c r="S39" i="40" s="1"/>
  <c r="BA14" i="3"/>
  <c r="AZ14" i="3" s="1"/>
  <c r="AZ254"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W41" i="34"/>
  <c r="AC42" i="34"/>
  <c r="U39" i="34"/>
  <c r="AA45" i="34"/>
  <c r="AA25" i="34"/>
  <c r="U28" i="34"/>
  <c r="S17" i="34"/>
  <c r="AA29"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J23" i="21"/>
  <c r="F85" i="21"/>
  <c r="G85" i="21" s="1"/>
  <c r="H23" i="21"/>
  <c r="S13" i="21"/>
  <c r="AP7" i="1"/>
  <c r="AB45"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W27" i="33"/>
  <c r="W25" i="33"/>
  <c r="AB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B10" i="76"/>
  <c r="F3" i="73"/>
  <c r="E8" i="76"/>
  <c r="F5" i="73"/>
  <c r="F6" i="73"/>
  <c r="E2" i="68"/>
  <c r="B7" i="76"/>
  <c r="E7" i="76"/>
  <c r="E10" i="76"/>
  <c r="E11" i="76"/>
  <c r="B8" i="76"/>
  <c r="E2" i="69"/>
  <c r="F7" i="73"/>
  <c r="E9" i="76"/>
  <c r="F43" i="15"/>
  <c r="M23" i="67"/>
  <c r="L47" i="15"/>
  <c r="F4" i="73"/>
  <c r="F7" i="67"/>
  <c r="F42" i="67"/>
  <c r="M29" i="67"/>
  <c r="F36" i="67"/>
  <c r="C76" i="67"/>
  <c r="F8" i="15"/>
  <c r="M24" i="15"/>
  <c r="AO13" i="1"/>
  <c r="M8" i="67"/>
  <c r="F9" i="67"/>
  <c r="M26" i="67"/>
  <c r="J15" i="67"/>
  <c r="F36" i="15"/>
  <c r="F7" i="15"/>
  <c r="F38" i="15"/>
  <c r="E13" i="76"/>
  <c r="E12" i="76"/>
  <c r="B13" i="76"/>
  <c r="F13" i="67"/>
  <c r="M26" i="15"/>
  <c r="B12" i="76"/>
  <c r="F40" i="67"/>
  <c r="M6" i="15"/>
  <c r="B9" i="76"/>
  <c r="B11" i="76"/>
  <c r="F26" i="67"/>
  <c r="F13" i="15"/>
  <c r="J15" i="15"/>
  <c r="F16" i="67"/>
  <c r="M6" i="67"/>
  <c r="F6" i="67"/>
  <c r="S44" i="34" l="1"/>
  <c r="U43" i="34"/>
  <c r="AC36" i="34"/>
  <c r="U38" i="34"/>
  <c r="AC44" i="34"/>
  <c r="AC43" i="34"/>
  <c r="S37" i="34"/>
  <c r="S35" i="34"/>
  <c r="AB35" i="34"/>
  <c r="U34" i="34"/>
  <c r="AB33" i="34"/>
  <c r="AA33" i="34"/>
  <c r="J19" i="34"/>
  <c r="AB15" i="34"/>
  <c r="U15" i="34"/>
  <c r="J15" i="34"/>
  <c r="E78" i="34"/>
  <c r="F78" i="34" s="1"/>
  <c r="G78" i="34" s="1"/>
  <c r="U27" i="34"/>
  <c r="W23" i="34"/>
  <c r="S23" i="34"/>
  <c r="U21" i="34"/>
  <c r="S19" i="34"/>
  <c r="U19" i="34"/>
  <c r="AC17" i="34"/>
  <c r="AB17" i="34"/>
  <c r="AC39" i="34"/>
  <c r="AB41" i="34"/>
  <c r="S43" i="34"/>
  <c r="AB8" i="34"/>
  <c r="B41" i="1"/>
  <c r="C40" i="68"/>
  <c r="C21" i="68"/>
  <c r="C7" i="40"/>
  <c r="C63" i="40" s="1"/>
  <c r="C7" i="39"/>
  <c r="C67" i="39" s="1"/>
  <c r="J1" i="73"/>
  <c r="C7" i="21"/>
  <c r="C58" i="21" s="1"/>
  <c r="D58" i="21" s="1"/>
  <c r="C7" i="36"/>
  <c r="C46" i="36" s="1"/>
  <c r="D46" i="36" s="1"/>
  <c r="E46" i="36" s="1"/>
  <c r="F46" i="36" s="1"/>
  <c r="G46" i="36" s="1"/>
  <c r="H46" i="36" s="1"/>
  <c r="I46" i="36" s="1"/>
  <c r="M47" i="9"/>
  <c r="C7" i="35"/>
  <c r="C48" i="35" s="1"/>
  <c r="D48" i="35" s="1"/>
  <c r="AB9" i="21"/>
  <c r="U36" i="33"/>
  <c r="AB36" i="33"/>
  <c r="D121" i="9"/>
  <c r="D7" i="52" s="1"/>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s="1"/>
  <c r="AZ407" i="3"/>
  <c r="AZ384" i="3"/>
  <c r="W27" i="40"/>
  <c r="U32" i="37"/>
  <c r="AZ345" i="3"/>
  <c r="AZ303" i="3"/>
  <c r="AZ372" i="3"/>
  <c r="AZ347" i="3"/>
  <c r="AZ337" i="3"/>
  <c r="AZ376" i="3"/>
  <c r="AZ309" i="3"/>
  <c r="AA11" i="39"/>
  <c r="AZ571" i="3"/>
  <c r="AZ579" i="3"/>
  <c r="F9" i="34"/>
  <c r="AA9" i="34" s="1"/>
  <c r="J9" i="34"/>
  <c r="H9" i="34"/>
  <c r="AZ539" i="3"/>
  <c r="AZ529" i="3"/>
  <c r="AZ537" i="3"/>
  <c r="AZ518" i="3"/>
  <c r="AZ526" i="3"/>
  <c r="AZ546" i="3"/>
  <c r="AZ564" i="3"/>
  <c r="AZ580" i="3"/>
  <c r="AZ585" i="3"/>
  <c r="AB45" i="33"/>
  <c r="S11" i="36"/>
  <c r="AB23" i="34"/>
  <c r="J33" i="36"/>
  <c r="AC33" i="36" s="1"/>
  <c r="B72" i="43"/>
  <c r="C15" i="39"/>
  <c r="J12" i="34"/>
  <c r="H12" i="34"/>
  <c r="F12" i="34"/>
  <c r="S12" i="34" s="1"/>
  <c r="J25" i="37"/>
  <c r="S9" i="40"/>
  <c r="AA9" i="40"/>
  <c r="AC31" i="40"/>
  <c r="W31" i="40"/>
  <c r="AZ469" i="3"/>
  <c r="AC27" i="35"/>
  <c r="G587" i="3"/>
  <c r="F9" i="33"/>
  <c r="AA9" i="33" s="1"/>
  <c r="J12" i="35"/>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98" i="3"/>
  <c r="G402" i="3"/>
  <c r="BL403" i="3"/>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G465" i="3"/>
  <c r="BA471" i="3"/>
  <c r="G486" i="3"/>
  <c r="G488" i="3"/>
  <c r="BL317" i="3"/>
  <c r="G318" i="3"/>
  <c r="B79" i="43"/>
  <c r="H23" i="35"/>
  <c r="G551" i="3"/>
  <c r="BL550" i="3"/>
  <c r="G542" i="3"/>
  <c r="BL15" i="3"/>
  <c r="AZ15" i="3" s="1"/>
  <c r="BA398" i="3"/>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BA461" i="3"/>
  <c r="AZ461" i="3" s="1"/>
  <c r="BL464" i="3"/>
  <c r="AZ464" i="3" s="1"/>
  <c r="BL466" i="3"/>
  <c r="G468" i="3"/>
  <c r="BL476" i="3"/>
  <c r="AZ476" i="3" s="1"/>
  <c r="BL483" i="3"/>
  <c r="AZ483" i="3" s="1"/>
  <c r="BA486" i="3"/>
  <c r="BL489" i="3"/>
  <c r="BA315" i="3"/>
  <c r="AZ315" i="3" s="1"/>
  <c r="AZ125" i="3"/>
  <c r="G585" i="3"/>
  <c r="BL587" i="3"/>
  <c r="AZ587" i="3" s="1"/>
  <c r="BL586" i="3"/>
  <c r="AZ586" i="3" s="1"/>
  <c r="BL16" i="3"/>
  <c r="AZ16" i="3" s="1"/>
  <c r="BA401" i="3"/>
  <c r="BA403" i="3"/>
  <c r="AZ403" i="3" s="1"/>
  <c r="BA404" i="3"/>
  <c r="BA405" i="3"/>
  <c r="AZ405" i="3" s="1"/>
  <c r="BL410" i="3"/>
  <c r="G412" i="3"/>
  <c r="AZ419" i="3"/>
  <c r="AZ422" i="3"/>
  <c r="AZ466" i="3"/>
  <c r="BA482" i="3"/>
  <c r="BA484" i="3"/>
  <c r="AZ484" i="3" s="1"/>
  <c r="G491" i="3"/>
  <c r="BA303" i="3"/>
  <c r="BA307" i="3"/>
  <c r="AZ307" i="3" s="1"/>
  <c r="G311" i="3"/>
  <c r="BL314" i="3"/>
  <c r="AZ314" i="3" s="1"/>
  <c r="G315" i="3"/>
  <c r="BA331" i="3"/>
  <c r="AZ331" i="3" s="1"/>
  <c r="BA335" i="3"/>
  <c r="AZ335" i="3" s="1"/>
  <c r="BA339" i="3"/>
  <c r="AZ339" i="3" s="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4" i="3"/>
  <c r="AZ274" i="3" s="1"/>
  <c r="BL274" i="3"/>
  <c r="BA276" i="3"/>
  <c r="BA279" i="3"/>
  <c r="BA281" i="3"/>
  <c r="G286" i="3"/>
  <c r="BL286" i="3"/>
  <c r="AZ286" i="3" s="1"/>
  <c r="BA296" i="3"/>
  <c r="BA116" i="3"/>
  <c r="AZ116" i="3" s="1"/>
  <c r="BA121" i="3"/>
  <c r="BL121" i="3"/>
  <c r="BA124" i="3"/>
  <c r="AZ124" i="3" s="1"/>
  <c r="BA126" i="3"/>
  <c r="BA129" i="3"/>
  <c r="BL133" i="3"/>
  <c r="AZ133" i="3" s="1"/>
  <c r="BL139" i="3"/>
  <c r="AZ139" i="3" s="1"/>
  <c r="G140" i="3"/>
  <c r="BL141" i="3"/>
  <c r="BL143" i="3"/>
  <c r="AZ143" i="3" s="1"/>
  <c r="G146" i="3"/>
  <c r="G147" i="3"/>
  <c r="BL161" i="3"/>
  <c r="G162" i="3"/>
  <c r="BL162" i="3"/>
  <c r="AZ162" i="3" s="1"/>
  <c r="BA177" i="3"/>
  <c r="AZ177" i="3" s="1"/>
  <c r="G190" i="3"/>
  <c r="BA333" i="3"/>
  <c r="BL346" i="3"/>
  <c r="AZ346" i="3" s="1"/>
  <c r="BA384" i="3"/>
  <c r="BA395" i="3"/>
  <c r="AZ395" i="3" s="1"/>
  <c r="BA208" i="3"/>
  <c r="AZ208" i="3" s="1"/>
  <c r="BA211" i="3"/>
  <c r="AZ211" i="3" s="1"/>
  <c r="BL213" i="3"/>
  <c r="BL215" i="3"/>
  <c r="BA222" i="3"/>
  <c r="AZ222" i="3" s="1"/>
  <c r="BA224" i="3"/>
  <c r="AZ224" i="3" s="1"/>
  <c r="BA226" i="3"/>
  <c r="BL255" i="3"/>
  <c r="BL257" i="3"/>
  <c r="AZ257" i="3" s="1"/>
  <c r="BL258" i="3"/>
  <c r="BA262" i="3"/>
  <c r="AZ262" i="3" s="1"/>
  <c r="BL265" i="3"/>
  <c r="AZ265" i="3" s="1"/>
  <c r="BA273" i="3"/>
  <c r="G288"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56" i="3"/>
  <c r="AZ156" i="3" s="1"/>
  <c r="BL157" i="3"/>
  <c r="AZ157" i="3" s="1"/>
  <c r="BL159" i="3"/>
  <c r="AZ159" i="3" s="1"/>
  <c r="BA239" i="3"/>
  <c r="AZ239" i="3" s="1"/>
  <c r="BL239" i="3"/>
  <c r="BA241" i="3"/>
  <c r="BL241" i="3"/>
  <c r="BA244" i="3"/>
  <c r="AZ244" i="3" s="1"/>
  <c r="BL244" i="3"/>
  <c r="BA246"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G172" i="3"/>
  <c r="BL181" i="3"/>
  <c r="BL186" i="3"/>
  <c r="AZ186" i="3" s="1"/>
  <c r="AZ52" i="3"/>
  <c r="AZ65" i="3"/>
  <c r="BA103" i="3"/>
  <c r="AZ103" i="3" s="1"/>
  <c r="BA104" i="3"/>
  <c r="BA106" i="3"/>
  <c r="BL108" i="3"/>
  <c r="U21" i="33"/>
  <c r="AB21" i="33"/>
  <c r="D44" i="71"/>
  <c r="T44" i="71"/>
  <c r="D34" i="71"/>
  <c r="C35" i="71"/>
  <c r="C55" i="71"/>
  <c r="D54" i="71"/>
  <c r="D67" i="71"/>
  <c r="C66" i="71"/>
  <c r="O67" i="71"/>
  <c r="BA150" i="3"/>
  <c r="AZ150" i="3" s="1"/>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BL54" i="3"/>
  <c r="BL55" i="3"/>
  <c r="AZ55" i="3" s="1"/>
  <c r="G57" i="3"/>
  <c r="G58" i="3"/>
  <c r="BA59" i="3"/>
  <c r="G61" i="3"/>
  <c r="BL61" i="3"/>
  <c r="G64" i="3"/>
  <c r="BA64" i="3"/>
  <c r="BA68" i="3"/>
  <c r="BL74" i="3"/>
  <c r="G75" i="3"/>
  <c r="BL75" i="3"/>
  <c r="AZ75" i="3" s="1"/>
  <c r="BA80" i="3"/>
  <c r="BL84" i="3"/>
  <c r="G89" i="3"/>
  <c r="BA90" i="3"/>
  <c r="BA109" i="3"/>
  <c r="BA111" i="3"/>
  <c r="F3" i="35"/>
  <c r="W21" i="21"/>
  <c r="C64" i="71"/>
  <c r="D63" i="7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AZ31" i="3" s="1"/>
  <c r="BA32" i="3"/>
  <c r="BA38" i="3"/>
  <c r="BA41" i="3"/>
  <c r="BA42" i="3"/>
  <c r="BL48" i="3"/>
  <c r="BA51" i="3"/>
  <c r="BL56" i="3"/>
  <c r="BA58" i="3"/>
  <c r="AZ58" i="3" s="1"/>
  <c r="BL59" i="3"/>
  <c r="BL60" i="3"/>
  <c r="BA61" i="3"/>
  <c r="AZ61" i="3" s="1"/>
  <c r="BL69" i="3"/>
  <c r="AZ69" i="3" s="1"/>
  <c r="BL70" i="3"/>
  <c r="AZ70" i="3" s="1"/>
  <c r="BL71" i="3"/>
  <c r="BL72" i="3"/>
  <c r="AZ72" i="3" s="1"/>
  <c r="BL86" i="3"/>
  <c r="AZ86" i="3" s="1"/>
  <c r="BA98" i="3"/>
  <c r="BA100" i="3"/>
  <c r="AZ100" i="3" s="1"/>
  <c r="D31" i="71"/>
  <c r="C32" i="71"/>
  <c r="D50" i="71"/>
  <c r="C51" i="71"/>
  <c r="BL165" i="3"/>
  <c r="G166" i="3"/>
  <c r="BL170" i="3"/>
  <c r="G171" i="3"/>
  <c r="BA173" i="3"/>
  <c r="AZ173" i="3" s="1"/>
  <c r="BA174"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AZ45" i="3" s="1"/>
  <c r="BA48" i="3"/>
  <c r="BA49" i="3"/>
  <c r="AZ49" i="3" s="1"/>
  <c r="BL64" i="3"/>
  <c r="G65" i="3"/>
  <c r="BL65" i="3"/>
  <c r="BL66" i="3"/>
  <c r="BL67" i="3"/>
  <c r="AZ67" i="3" s="1"/>
  <c r="G69" i="3"/>
  <c r="G72" i="3"/>
  <c r="BL73" i="3"/>
  <c r="BA74" i="3"/>
  <c r="AZ74" i="3" s="1"/>
  <c r="BL79" i="3"/>
  <c r="BL81" i="3"/>
  <c r="BA82" i="3"/>
  <c r="AZ82" i="3" s="1"/>
  <c r="BL83" i="3"/>
  <c r="G86" i="3"/>
  <c r="BA87" i="3"/>
  <c r="BA89" i="3"/>
  <c r="BL93" i="3"/>
  <c r="BL94" i="3"/>
  <c r="AZ94" i="3" s="1"/>
  <c r="BL101" i="3"/>
  <c r="BL102" i="3"/>
  <c r="AZ102" i="3" s="1"/>
  <c r="G104" i="3"/>
  <c r="G105" i="3"/>
  <c r="BL106" i="3"/>
  <c r="BA108" i="3"/>
  <c r="F40" i="69"/>
  <c r="C40" i="69"/>
  <c r="AB21" i="37"/>
  <c r="U21" i="37"/>
  <c r="T28" i="71"/>
  <c r="D28" i="71"/>
  <c r="U28" i="71" s="1"/>
  <c r="C27" i="71"/>
  <c r="F66" i="71"/>
  <c r="Q67" i="71"/>
  <c r="BL111" i="3"/>
  <c r="P66" i="71"/>
  <c r="AA27" i="71"/>
  <c r="AB26" i="71"/>
  <c r="C75" i="71"/>
  <c r="C71" i="71"/>
  <c r="O68" i="71"/>
  <c r="D46" i="71"/>
  <c r="C39" i="71"/>
  <c r="Y28" i="71"/>
  <c r="Z28" i="71" s="1"/>
  <c r="X35" i="71"/>
  <c r="AA37" i="71"/>
  <c r="Y30" i="71"/>
  <c r="Z30" i="71" s="1"/>
  <c r="X28" i="71"/>
  <c r="X32" i="71"/>
  <c r="F38" i="71"/>
  <c r="F39" i="71" s="1"/>
  <c r="F40" i="71" s="1"/>
  <c r="V40" i="71" s="1"/>
  <c r="AB38" i="71"/>
  <c r="F75" i="71"/>
  <c r="F74" i="71" s="1"/>
  <c r="B79" i="71"/>
  <c r="B78" i="71"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76" i="71"/>
  <c r="T68" i="71"/>
  <c r="X34" i="71"/>
  <c r="X31" i="71"/>
  <c r="F35" i="71"/>
  <c r="F36" i="71" s="1"/>
  <c r="V36" i="71" s="1"/>
  <c r="AA34" i="71"/>
  <c r="AB35" i="71"/>
  <c r="E22" i="71"/>
  <c r="E21" i="71" s="1"/>
  <c r="E20" i="71" s="1"/>
  <c r="V20" i="7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L19" i="6"/>
  <c r="L27" i="6" s="1"/>
  <c r="M6" i="1"/>
  <c r="O6" i="1"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51" i="15"/>
  <c r="F71" i="15"/>
  <c r="L59" i="15"/>
  <c r="N59" i="15"/>
  <c r="M59" i="15"/>
  <c r="F66" i="15"/>
  <c r="Q71" i="67"/>
  <c r="F64" i="15"/>
  <c r="C27" i="67"/>
  <c r="B13" i="70"/>
  <c r="M7" i="67"/>
  <c r="F50" i="67"/>
  <c r="F68" i="67"/>
  <c r="F64" i="67"/>
  <c r="C36" i="68"/>
  <c r="D9" i="69"/>
  <c r="C36" i="69"/>
  <c r="D9" i="68"/>
  <c r="D6" i="73"/>
  <c r="L47" i="67"/>
  <c r="M28" i="67"/>
  <c r="M24" i="67"/>
  <c r="F37" i="15"/>
  <c r="L48" i="15"/>
  <c r="F6" i="15"/>
  <c r="F16" i="15"/>
  <c r="D5" i="73"/>
  <c r="F37" i="67"/>
  <c r="F43" i="67"/>
  <c r="F26" i="15"/>
  <c r="C76" i="15"/>
  <c r="M9" i="15"/>
  <c r="M23" i="15"/>
  <c r="L48" i="67"/>
  <c r="M22" i="67"/>
  <c r="M29" i="15"/>
  <c r="F42" i="15"/>
  <c r="M28" i="15"/>
  <c r="D4" i="73"/>
  <c r="D7" i="73"/>
  <c r="M9" i="67"/>
  <c r="F8" i="67"/>
  <c r="F38" i="67"/>
  <c r="M8" i="15"/>
  <c r="F9" i="15"/>
  <c r="M22" i="15"/>
  <c r="F40" i="15"/>
  <c r="D3" i="73"/>
  <c r="AC19" i="34" l="1"/>
  <c r="W19" i="34"/>
  <c r="W15" i="34"/>
  <c r="AC15" i="34"/>
  <c r="F48" i="9"/>
  <c r="O52" i="9" s="1"/>
  <c r="F30" i="11"/>
  <c r="M18" i="67"/>
  <c r="M18" i="15"/>
  <c r="F28" i="67"/>
  <c r="C28" i="67" s="1"/>
  <c r="F32" i="67"/>
  <c r="F60" i="67" s="1"/>
  <c r="F28" i="15"/>
  <c r="C28" i="15" s="1"/>
  <c r="D68" i="9"/>
  <c r="F31" i="12"/>
  <c r="C31" i="12" s="1"/>
  <c r="F30" i="69"/>
  <c r="F54" i="9"/>
  <c r="F30" i="68"/>
  <c r="F52" i="9"/>
  <c r="F32" i="15"/>
  <c r="F60" i="15" s="1"/>
  <c r="E26" i="43"/>
  <c r="H26" i="43"/>
  <c r="N370" i="46"/>
  <c r="E28" i="6"/>
  <c r="K14" i="1" s="1"/>
  <c r="K16" i="1" s="1"/>
  <c r="F68" i="15"/>
  <c r="F66" i="67"/>
  <c r="C6" i="67"/>
  <c r="C32" i="67" s="1"/>
  <c r="F31" i="67"/>
  <c r="F51" i="67"/>
  <c r="C49" i="67" s="1"/>
  <c r="J57" i="67"/>
  <c r="J55" i="67" s="1"/>
  <c r="J58" i="67" s="1"/>
  <c r="Q50" i="67" s="1"/>
  <c r="L56" i="67"/>
  <c r="I54" i="67"/>
  <c r="J53" i="67"/>
  <c r="Q52" i="67" s="1"/>
  <c r="Q71" i="15"/>
  <c r="C27" i="15"/>
  <c r="F71" i="67"/>
  <c r="F65" i="67"/>
  <c r="F31" i="15"/>
  <c r="C6" i="15"/>
  <c r="C32" i="15" s="1"/>
  <c r="J53" i="15"/>
  <c r="L56" i="15" s="1"/>
  <c r="J57" i="15"/>
  <c r="J55" i="15" s="1"/>
  <c r="J58" i="15" s="1"/>
  <c r="Q50" i="15" s="1"/>
  <c r="I54" i="15"/>
  <c r="L58" i="15"/>
  <c r="Q73" i="15" s="1"/>
  <c r="F65" i="15"/>
  <c r="L59" i="67"/>
  <c r="Q61" i="67" s="1"/>
  <c r="L58" i="67"/>
  <c r="Q73" i="67" s="1"/>
  <c r="M59" i="67"/>
  <c r="N59" i="67"/>
  <c r="J6" i="15"/>
  <c r="J18" i="15" s="1"/>
  <c r="C70" i="71"/>
  <c r="D70" i="71" s="1"/>
  <c r="D71" i="71"/>
  <c r="C26" i="71"/>
  <c r="D26" i="71" s="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G5" i="3"/>
  <c r="B3" i="3" s="1"/>
  <c r="E286" i="3" s="1"/>
  <c r="C40" i="71"/>
  <c r="D39" i="71"/>
  <c r="D75" i="71"/>
  <c r="C74" i="71"/>
  <c r="D74" i="71" s="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J6" i="67"/>
  <c r="J18" i="67" s="1"/>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s="1"/>
  <c r="AA10" i="39" s="1"/>
  <c r="J7" i="37"/>
  <c r="W7" i="37" s="1"/>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Q74" i="15"/>
  <c r="Q61" i="15"/>
  <c r="AE11" i="1"/>
  <c r="AE9" i="1"/>
  <c r="F27" i="68"/>
  <c r="AE7" i="1"/>
  <c r="AE8" i="1"/>
  <c r="AE12" i="1"/>
  <c r="AE10" i="1"/>
  <c r="C16" i="67"/>
  <c r="G1" i="73"/>
  <c r="C16" i="15"/>
  <c r="T49" i="34" l="1"/>
  <c r="G49" i="34" s="1"/>
  <c r="Q74" i="67"/>
  <c r="F48" i="68"/>
  <c r="C48" i="68"/>
  <c r="C30" i="68"/>
  <c r="F1" i="67"/>
  <c r="F48" i="69"/>
  <c r="C48" i="69"/>
  <c r="C30" i="69"/>
  <c r="C48" i="11"/>
  <c r="C30" i="11"/>
  <c r="J5" i="15"/>
  <c r="J24" i="15" s="1"/>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s="1"/>
  <c r="E3" i="6"/>
  <c r="Q60" i="15"/>
  <c r="Q60" i="67"/>
  <c r="H10" i="39"/>
  <c r="U10" i="39" s="1"/>
  <c r="S10" i="39"/>
  <c r="H10" i="40"/>
  <c r="AB10" i="40" s="1"/>
  <c r="J10" i="39"/>
  <c r="W10" i="39" s="1"/>
  <c r="F10" i="40"/>
  <c r="S10" i="40" s="1"/>
  <c r="Q52" i="15"/>
  <c r="F1" i="15"/>
  <c r="J5" i="67"/>
  <c r="J24" i="67" s="1"/>
  <c r="R36" i="3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41" i="67" s="1"/>
  <c r="M27" i="15"/>
  <c r="M27" i="67"/>
  <c r="F41" i="15"/>
  <c r="R50" i="34" l="1"/>
  <c r="C50" i="34" s="1"/>
  <c r="U18" i="1" s="1"/>
  <c r="G54" i="34"/>
  <c r="H54" i="34" s="1"/>
  <c r="F69" i="67"/>
  <c r="AB10" i="39"/>
  <c r="W10" i="40"/>
  <c r="D116" i="43"/>
  <c r="F25" i="12"/>
  <c r="C26" i="12" s="1"/>
  <c r="D25" i="12" s="1"/>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9"/>
  <c r="C34" i="69"/>
  <c r="D10" i="68"/>
  <c r="C14" i="67"/>
  <c r="C17" i="15"/>
  <c r="C17" i="67"/>
  <c r="E54" i="34" l="1"/>
  <c r="F54" i="34" s="1"/>
  <c r="I54" i="34"/>
  <c r="J54" i="34" s="1"/>
  <c r="C44" i="11"/>
  <c r="D41" i="11" s="1"/>
  <c r="C44" i="68"/>
  <c r="D41" i="68"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U37" i="34" l="1"/>
  <c r="AB37" i="34"/>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35" i="9"/>
  <c r="D34" i="9"/>
  <c r="D20" i="9"/>
  <c r="AO7" i="1"/>
  <c r="AO10" i="1"/>
  <c r="AO12" i="1"/>
  <c r="AO8" i="1"/>
  <c r="AO6" i="1"/>
  <c r="AO9"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S24" i="31"/>
  <c r="R41" i="31"/>
  <c r="S41" i="31" s="1"/>
  <c r="R36" i="31"/>
  <c r="S36" i="31" s="1"/>
  <c r="R35" i="31"/>
  <c r="S35" i="31" s="1"/>
  <c r="R25" i="31"/>
  <c r="S25" i="31" s="1"/>
  <c r="R26" i="31"/>
  <c r="S26" i="31" s="1"/>
  <c r="R33" i="31"/>
  <c r="S33" i="31" s="1"/>
  <c r="R32" i="31"/>
  <c r="S32" i="31" s="1"/>
  <c r="R31" i="31"/>
  <c r="S31" i="31" s="1"/>
  <c r="R38" i="31"/>
  <c r="S38" i="31" s="1"/>
  <c r="R29" i="31"/>
  <c r="S29" i="31" s="1"/>
  <c r="R28" i="31"/>
  <c r="S28" i="31" s="1"/>
  <c r="R27" i="31"/>
  <c r="S27" i="31" s="1"/>
  <c r="R34" i="31"/>
  <c r="S34" i="31" s="1"/>
  <c r="R40" i="31"/>
  <c r="S40" i="31" s="1"/>
  <c r="R39" i="31"/>
  <c r="S39" i="31" s="1"/>
  <c r="R37" i="31"/>
  <c r="S37" i="31" s="1"/>
  <c r="R30" i="31"/>
  <c r="S30" i="31" s="1"/>
  <c r="D6" i="71"/>
  <c r="C5" i="71"/>
  <c r="D5" i="71" s="1"/>
  <c r="M24" i="43" s="1"/>
  <c r="C42" i="40"/>
  <c r="C43" i="40"/>
  <c r="E47" i="40"/>
  <c r="F47" i="40" s="1"/>
  <c r="E46" i="40"/>
  <c r="F46" i="40" s="1"/>
  <c r="I47" i="40"/>
  <c r="J47" i="40" s="1"/>
  <c r="S22" i="31" l="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G4" i="52" s="1"/>
  <c r="B52" i="72" s="1"/>
  <c r="I118" i="9"/>
  <c r="H102" i="9" s="1"/>
  <c r="F118" i="9" l="1"/>
  <c r="F4" i="52" s="1"/>
  <c r="B51" i="72" s="1"/>
  <c r="C5" i="74"/>
  <c r="D7" i="53"/>
  <c r="B21" i="72" s="1"/>
  <c r="I4" i="52"/>
  <c r="C105" i="9"/>
  <c r="H118" i="9"/>
  <c r="E118" i="9"/>
  <c r="F119" i="9" l="1"/>
  <c r="F5" i="52" s="1"/>
  <c r="B53" i="72" s="1"/>
  <c r="C104" i="9"/>
  <c r="H101" i="9"/>
  <c r="H4" i="52"/>
  <c r="H119" i="9"/>
  <c r="H5" i="52" s="1"/>
  <c r="D118" i="9"/>
  <c r="E4" i="52"/>
  <c r="B48" i="72" s="1"/>
  <c r="M48" i="9" l="1"/>
  <c r="D5" i="53"/>
  <c r="D45" i="9"/>
  <c r="H107" i="9"/>
  <c r="D4" i="52"/>
  <c r="B47" i="72" s="1"/>
  <c r="D119" i="9"/>
  <c r="D5" i="52" s="1"/>
  <c r="B49" i="72" s="1"/>
  <c r="H108" i="9" l="1"/>
  <c r="M49" i="9"/>
  <c r="D122" i="9"/>
  <c r="D13" i="53"/>
  <c r="C64" i="9"/>
  <c r="C63" i="9" s="1"/>
  <c r="C67" i="9" s="1"/>
  <c r="C93" i="9"/>
  <c r="C86" i="9" s="1"/>
  <c r="D53" i="9"/>
  <c r="C78" i="9"/>
  <c r="C73" i="9" s="1"/>
  <c r="D55" i="9"/>
  <c r="M53" i="9" s="1"/>
  <c r="C72" i="9"/>
  <c r="D52" i="9"/>
  <c r="C85" i="9"/>
  <c r="B20" i="72"/>
  <c r="D6" i="53"/>
  <c r="B22" i="72" s="1"/>
  <c r="C79" i="9" l="1"/>
  <c r="C80" i="9" s="1"/>
  <c r="E80" i="9" s="1"/>
  <c r="E81" i="9" s="1"/>
  <c r="C95" i="9"/>
  <c r="B30" i="72"/>
  <c r="D14" i="53"/>
  <c r="B32" i="72" s="1"/>
  <c r="D123" i="9"/>
  <c r="D9" i="52" s="1"/>
  <c r="D8" i="52"/>
  <c r="L67" i="9"/>
  <c r="M67" i="9" s="1"/>
  <c r="L65" i="9"/>
  <c r="M65" i="9" s="1"/>
  <c r="L66" i="9"/>
  <c r="M66" i="9" s="1"/>
  <c r="L63" i="9"/>
  <c r="M63" i="9" s="1"/>
  <c r="L68" i="9"/>
  <c r="M68" i="9" s="1"/>
  <c r="L64" i="9"/>
  <c r="M64" i="9" s="1"/>
  <c r="D59" i="9"/>
  <c r="M55" i="9" s="1"/>
  <c r="C68" i="9"/>
  <c r="D54" i="9" s="1"/>
  <c r="C6" i="74"/>
  <c r="D15" i="53"/>
  <c r="B31" i="72" s="1"/>
  <c r="M69" i="9" l="1"/>
  <c r="N69" i="9" s="1"/>
  <c r="C96" i="9"/>
  <c r="E96" i="9" s="1"/>
  <c r="E97"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<sst xmlns="http://schemas.openxmlformats.org/spreadsheetml/2006/main" count="8100" uniqueCount="3522">
  <si>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</si>
  <si>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</si>
  <si>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</si>
  <si>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</si>
  <si>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</si>
  <si>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</si>
  <si>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</si>
  <si>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</si>
  <si>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</si>
  <si>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</si>
  <si>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</si>
  <si>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</si>
  <si>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</si>
  <si>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</si>
  <si>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</si>
  <si>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</si>
  <si>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</si>
  <si>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</si>
  <si>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</si>
  <si>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</si>
  <si>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</si>
  <si>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</si>
  <si>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</si>
  <si>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</si>
  <si>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</si>
  <si>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</si>
  <si>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</si>
  <si>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</si>
  <si>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</si>
  <si>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</si>
  <si>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</si>
  <si>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</si>
  <si>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</si>
  <si>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</si>
  <si>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</si>
  <si>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</si>
  <si>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</si>
  <si>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</si>
  <si>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</si>
  <si>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</si>
  <si>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</si>
  <si>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</si>
  <si>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</si>
  <si>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</si>
  <si>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</si>
  <si>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</si>
  <si>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</si>
  <si>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</si>
  <si>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</si>
  <si>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</si>
  <si>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</si>
  <si>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</si>
  <si>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</si>
  <si>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</si>
  <si>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</si>
  <si>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</si>
  <si>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</si>
  <si>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</si>
  <si>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</si>
  <si>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</si>
  <si>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</si>
  <si>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</si>
  <si>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</si>
  <si>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</si>
  <si>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</si>
  <si>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</si>
  <si>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</si>
  <si>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</si>
  <si>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</si>
  <si>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</si>
  <si>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</si>
  <si>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</si>
  <si>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</si>
  <si>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</si>
  <si>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</si>
  <si>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</si>
  <si>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</si>
  <si>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</si>
  <si>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</si>
  <si>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</si>
  <si>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</si>
  <si>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</si>
  <si>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</si>
  <si>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</si>
  <si>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</si>
  <si>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</si>
  <si>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</si>
  <si>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</si>
  <si>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</si>
  <si>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</si>
  <si>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</si>
  <si>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</si>
  <si>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</si>
  <si>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</si>
  <si>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</si>
  <si>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</si>
  <si>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</si>
  <si>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</si>
  <si>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</si>
  <si>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</si>
  <si>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</si>
  <si>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</si>
  <si>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</si>
  <si>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</si>
  <si>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</si>
  <si>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</si>
  <si>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</si>
  <si>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</si>
  <si>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</si>
  <si>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</si>
  <si>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</si>
  <si>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</si>
  <si>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</si>
  <si>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</si>
  <si>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</si>
  <si>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</si>
  <si>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</si>
  <si>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</si>
  <si>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</si>
  <si>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</si>
  <si>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</si>
  <si>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</si>
  <si>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</si>
  <si>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</si>
  <si>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</si>
  <si>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</si>
  <si>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</si>
  <si>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</si>
  <si>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</si>
  <si>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</si>
  <si>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</si>
  <si>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</si>
  <si>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</si>
  <si>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</si>
  <si>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</si>
  <si>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</si>
  <si>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</si>
  <si>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</si>
  <si>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</si>
  <si>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</si>
  <si>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</si>
  <si>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</si>
  <si>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</si>
  <si>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</si>
  <si>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</si>
  <si>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</si>
  <si>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</si>
  <si>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</si>
  <si>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</si>
  <si>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</si>
  <si>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</si>
  <si>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</si>
  <si>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</si>
  <si>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</si>
  <si>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</si>
  <si>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</si>
  <si>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</si>
  <si>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</si>
  <si>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</si>
  <si>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</si>
  <si>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</si>
  <si>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</si>
  <si>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</si>
  <si>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</si>
  <si>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</si>
  <si>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</si>
  <si>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</si>
  <si>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</si>
  <si>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</si>
  <si>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</si>
  <si>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</si>
  <si>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</si>
  <si>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</si>
  <si>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</si>
  <si>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</si>
  <si>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</si>
  <si>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</si>
  <si>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</si>
  <si>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</si>
  <si>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</si>
  <si>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</si>
  <si>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</si>
  <si>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</si>
  <si>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</si>
  <si>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</si>
  <si>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</si>
  <si>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</si>
  <si>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</si>
  <si>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</si>
  <si>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</si>
  <si>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</si>
  <si>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</si>
  <si>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</si>
  <si>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</si>
  <si>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</si>
  <si>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</si>
  <si>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</si>
  <si>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</si>
  <si>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</si>
  <si>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</si>
  <si>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</si>
  <si>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</si>
  <si>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</si>
  <si>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</si>
  <si>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</si>
  <si>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</si>
  <si>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</si>
  <si>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</si>
  <si>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</si>
  <si>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</si>
  <si>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</si>
  <si>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</si>
  <si>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</si>
  <si>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</si>
  <si>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</si>
  <si>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</si>
  <si>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</si>
  <si>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</si>
  <si>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</si>
  <si>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</si>
  <si>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</si>
  <si>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</si>
  <si>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</si>
  <si>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</si>
  <si>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</si>
  <si>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</si>
  <si>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</si>
  <si>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</si>
  <si>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</si>
  <si>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</si>
  <si>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</si>
  <si>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</si>
  <si>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</si>
  <si>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</si>
  <si>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</si>
  <si>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</si>
  <si>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</si>
  <si>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</si>
  <si>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</si>
  <si>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</si>
  <si>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</si>
  <si>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</si>
  <si>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</si>
  <si>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</si>
  <si>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</si>
  <si>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</si>
  <si>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</si>
  <si>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</si>
  <si>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</si>
  <si>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</si>
  <si>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</si>
  <si>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</si>
  <si>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</si>
  <si>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</si>
  <si>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</si>
  <si>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</si>
  <si>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</si>
  <si>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</si>
  <si>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</si>
  <si>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</si>
  <si>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</si>
  <si>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</si>
  <si>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</si>
  <si>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</si>
  <si>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</si>
  <si>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</si>
  <si>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</si>
  <si>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</si>
  <si>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</si>
  <si>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</si>
  <si>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</si>
  <si>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</si>
  <si>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</si>
  <si>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</si>
  <si>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</si>
  <si>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</si>
  <si>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</si>
  <si>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</si>
  <si>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</si>
  <si>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</si>
  <si>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</si>
  <si>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</si>
  <si>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</si>
  <si>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</si>
  <si>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</si>
  <si>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</si>
  <si>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</si>
  <si>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</si>
  <si>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</si>
  <si>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</si>
  <si>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</si>
  <si>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</si>
  <si>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</si>
  <si>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</si>
  <si>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</si>
  <si>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</si>
  <si>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</si>
  <si>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</si>
  <si>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</si>
  <si>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</si>
  <si>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</si>
  <si>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</si>
  <si>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</si>
  <si>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</si>
  <si>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</si>
  <si>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</si>
  <si>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</si>
  <si>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</si>
  <si>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</si>
  <si>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</si>
  <si>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</si>
  <si>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</si>
  <si>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</si>
  <si>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</si>
  <si>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</si>
  <si>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</si>
  <si>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</si>
  <si>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</si>
  <si>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</si>
  <si>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</si>
  <si>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</si>
  <si>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</si>
  <si>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</si>
  <si>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</si>
  <si>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</si>
  <si>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</si>
  <si>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</si>
  <si>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</si>
  <si>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</si>
  <si>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</si>
  <si>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</si>
  <si>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</si>
  <si>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</si>
  <si>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</si>
  <si>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</si>
  <si>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</si>
  <si>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</si>
  <si>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</si>
  <si>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</si>
  <si>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</si>
  <si>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</si>
  <si>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</si>
  <si>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</si>
  <si>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</si>
  <si>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</si>
  <si>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</si>
  <si>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</si>
  <si>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</si>
  <si>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</si>
  <si>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</si>
  <si>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</si>
  <si>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</si>
  <si>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</si>
  <si>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</si>
  <si>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</si>
  <si>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</si>
  <si>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</si>
  <si>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</si>
  <si>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</si>
  <si>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</si>
  <si>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</si>
  <si>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</si>
  <si>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</si>
  <si>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</si>
  <si>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</si>
  <si>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</si>
  <si>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</si>
  <si>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</si>
  <si>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</si>
  <si>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</si>
  <si>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</si>
  <si>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</si>
  <si>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</si>
  <si>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</si>
  <si>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</si>
  <si>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</si>
  <si>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</si>
  <si>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</si>
  <si>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</si>
  <si>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</si>
  <si>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</si>
  <si>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</si>
  <si>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</si>
  <si>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</si>
  <si>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</si>
  <si>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</si>
  <si>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</si>
  <si>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</si>
  <si>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</si>
  <si>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</si>
  <si>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</si>
  <si>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</si>
  <si>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</si>
  <si>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</si>
  <si>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</si>
  <si>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</si>
  <si>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</si>
  <si>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</si>
  <si>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</si>
  <si>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</si>
  <si>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</si>
  <si>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</si>
  <si>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</si>
  <si>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</si>
  <si>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</si>
  <si>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</si>
  <si>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</si>
  <si>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</si>
  <si>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</si>
  <si>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</si>
  <si>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</si>
  <si>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</si>
  <si>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</si>
  <si>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</si>
  <si>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</si>
  <si>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</si>
  <si>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</si>
  <si>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</si>
  <si>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</si>
  <si>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</si>
  <si>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</si>
  <si>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</si>
  <si>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</si>
  <si>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</si>
  <si>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</si>
  <si>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</si>
  <si>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</si>
  <si>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</si>
  <si>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</si>
  <si>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</si>
  <si>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</si>
  <si>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</si>
  <si>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</si>
  <si>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</si>
  <si>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</si>
  <si>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</si>
  <si>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</si>
  <si>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</si>
  <si>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</si>
  <si>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</si>
  <si>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</si>
  <si>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</si>
  <si>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</si>
  <si>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</si>
  <si>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</si>
  <si>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</si>
  <si>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</si>
  <si>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</si>
  <si>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</si>
  <si>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</si>
  <si>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</si>
  <si>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</si>
  <si>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</si>
  <si>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</si>
  <si>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</si>
  <si>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</si>
  <si>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</si>
  <si>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</si>
  <si>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</si>
  <si>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</si>
  <si>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</si>
  <si>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</si>
  <si>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</si>
  <si>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</si>
  <si>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</si>
  <si>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</si>
  <si>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</si>
  <si>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</si>
  <si>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</si>
  <si>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</si>
  <si>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</si>
  <si>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</si>
  <si>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</si>
  <si>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</si>
  <si>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</si>
  <si>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</si>
  <si>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</si>
  <si>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</si>
  <si>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</si>
  <si>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</si>
  <si>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</si>
  <si>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</si>
  <si>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</si>
  <si>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</si>
  <si>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</si>
  <si>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</si>
  <si>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</si>
  <si>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</si>
  <si>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</si>
  <si>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</si>
  <si>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</si>
  <si>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</si>
  <si>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</si>
  <si>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</si>
  <si>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</si>
  <si>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</si>
  <si>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</si>
  <si>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</si>
  <si>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</si>
  <si>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</si>
  <si>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</si>
  <si>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</si>
  <si>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</si>
  <si>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</si>
  <si>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</si>
  <si>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</si>
  <si>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</si>
  <si>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</si>
  <si>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</si>
  <si>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</si>
  <si>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</si>
  <si>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</si>
  <si>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</si>
  <si>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</si>
  <si>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</si>
  <si>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</si>
  <si>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</si>
  <si>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</si>
  <si>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</si>
  <si>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</si>
  <si>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</si>
  <si>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</si>
  <si>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</si>
  <si>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</si>
  <si>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</si>
  <si>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</si>
  <si>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</si>
  <si>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</si>
  <si>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</si>
  <si>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</si>
  <si>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</si>
  <si>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</si>
  <si>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</si>
  <si>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</si>
  <si>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</si>
  <si>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</si>
  <si>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</si>
  <si>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</si>
  <si>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</si>
  <si>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</si>
  <si>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</si>
  <si>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</si>
  <si>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</si>
  <si>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</si>
  <si>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</si>
  <si>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</si>
  <si>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</si>
  <si>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</si>
  <si>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</si>
  <si>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</si>
  <si>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</si>
  <si>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</si>
  <si>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</si>
  <si>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</si>
  <si>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</si>
  <si>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</si>
  <si>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</si>
  <si>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</si>
  <si>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</si>
  <si>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</si>
  <si>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</si>
  <si>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</si>
  <si>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</si>
  <si>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</si>
  <si>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</si>
  <si>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</si>
  <si>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</si>
  <si>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</si>
  <si>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</si>
  <si>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</si>
  <si>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</si>
  <si>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</si>
  <si>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</si>
  <si>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</si>
  <si>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</si>
  <si>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</si>
  <si>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</si>
  <si>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</si>
  <si>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</si>
  <si>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</si>
  <si>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</si>
  <si>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</si>
  <si>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</si>
  <si>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</si>
  <si>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</si>
  <si>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</si>
  <si>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</si>
  <si>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</si>
  <si>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</si>
  <si>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</si>
  <si>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</si>
  <si>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</si>
  <si>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</si>
  <si>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</si>
  <si>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</si>
  <si>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</si>
  <si>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</si>
  <si>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</si>
  <si>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</si>
  <si>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</si>
  <si>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</si>
  <si>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</si>
  <si>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</si>
  <si>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</si>
  <si>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</si>
  <si>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</si>
  <si>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</si>
  <si>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</si>
  <si>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</si>
  <si>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</si>
  <si>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</si>
  <si>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</si>
  <si>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</si>
  <si>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</si>
  <si>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</si>
  <si>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</si>
  <si>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</si>
  <si>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</si>
  <si>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</si>
  <si>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</si>
  <si>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</si>
  <si>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</si>
  <si>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</si>
  <si>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</si>
  <si>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</si>
  <si>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</si>
  <si>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</si>
  <si>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</si>
  <si>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</si>
  <si>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</si>
  <si>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</si>
  <si>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</si>
  <si>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</si>
  <si>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</si>
  <si>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</si>
  <si>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</si>
  <si>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</si>
  <si>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</si>
  <si>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</si>
  <si>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</si>
  <si>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</si>
  <si>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</si>
  <si>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</si>
  <si>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</si>
  <si>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</si>
  <si>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</si>
  <si>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</si>
  <si>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</si>
  <si>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</si>
  <si>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</si>
  <si>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</si>
  <si>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</si>
  <si>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</si>
  <si>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</si>
  <si>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</si>
  <si>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</si>
  <si>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</si>
  <si>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</si>
  <si>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</si>
  <si>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</si>
  <si>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</si>
  <si>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</si>
  <si>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</si>
  <si>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</si>
  <si>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</si>
  <si>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</si>
  <si>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</si>
  <si>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</si>
  <si>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</si>
  <si>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</si>
  <si>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</si>
  <si>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</si>
  <si>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</si>
  <si>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</si>
  <si>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</si>
  <si>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</si>
  <si>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</si>
  <si>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</si>
  <si>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</si>
  <si>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</si>
  <si>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</si>
  <si>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</si>
  <si>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</si>
  <si>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</si>
  <si>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</si>
  <si>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</si>
  <si>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</si>
  <si>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</si>
  <si>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</si>
  <si>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</si>
  <si>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</si>
  <si>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</si>
  <si>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</si>
  <si>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</si>
  <si>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</si>
  <si>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</si>
  <si>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</si>
  <si>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</si>
  <si>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</si>
  <si>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</si>
  <si>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</si>
  <si>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</si>
  <si>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</si>
  <si>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</si>
  <si>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</si>
  <si>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</si>
  <si>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</si>
  <si>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</si>
  <si>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</si>
  <si>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</si>
  <si>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</si>
  <si>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</si>
  <si>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</si>
  <si>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</si>
  <si>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</si>
  <si>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</si>
  <si>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</si>
  <si>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</si>
  <si>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</si>
  <si>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</si>
  <si>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</si>
  <si>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</si>
  <si>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</si>
  <si>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</si>
  <si>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</si>
  <si>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</si>
  <si>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</si>
  <si>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</si>
  <si>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</si>
  <si>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</si>
  <si>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</si>
  <si>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</si>
  <si>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</si>
  <si>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</si>
  <si>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</si>
  <si>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</si>
  <si>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</si>
  <si>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</si>
  <si>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</si>
  <si>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</si>
  <si>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</si>
  <si>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</si>
  <si>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</si>
  <si>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</si>
  <si>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</si>
  <si>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</si>
  <si>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</si>
  <si>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</si>
  <si>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</si>
  <si>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</si>
  <si>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</si>
  <si>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</si>
  <si>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</si>
  <si>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</si>
  <si>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</si>
  <si>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</si>
  <si>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</si>
  <si>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</si>
  <si>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</si>
  <si>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</si>
  <si>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</si>
  <si>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</si>
  <si>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</si>
  <si>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</si>
  <si>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</si>
  <si>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</si>
  <si>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</si>
  <si>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</si>
  <si>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</si>
  <si>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</si>
  <si>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</si>
  <si>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</si>
  <si>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</si>
  <si>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</si>
  <si>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</si>
  <si>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</si>
  <si>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</si>
  <si>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</si>
  <si>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</si>
  <si>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</si>
  <si>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</si>
  <si>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</si>
  <si>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</si>
  <si>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</si>
  <si>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</si>
  <si>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</si>
  <si>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</si>
  <si>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</si>
  <si>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</si>
  <si>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</si>
  <si>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</si>
  <si>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</si>
  <si>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</si>
  <si>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</si>
  <si>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</si>
  <si>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</si>
  <si>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</si>
  <si>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</si>
  <si>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</si>
  <si>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</si>
  <si>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</si>
  <si>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</si>
  <si>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</si>
  <si>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</si>
  <si>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</si>
  <si>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</si>
  <si>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</si>
  <si>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</si>
  <si>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</si>
  <si>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</si>
  <si>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</si>
  <si>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</si>
  <si>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</si>
  <si>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</si>
  <si>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</si>
  <si>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</si>
  <si>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</si>
  <si>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</si>
  <si>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</si>
  <si>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</si>
  <si>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</si>
  <si>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</si>
  <si>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</si>
  <si>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</si>
  <si>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</si>
  <si>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</si>
  <si>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</si>
  <si>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</si>
  <si>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</si>
  <si>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</si>
  <si>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</si>
  <si>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</si>
  <si>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</si>
  <si>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</si>
  <si>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</si>
  <si>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</si>
  <si>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</si>
  <si>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</si>
  <si>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</si>
  <si>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</si>
  <si>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</si>
  <si>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</si>
  <si>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</si>
  <si>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</si>
  <si>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</si>
  <si>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</si>
  <si>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</si>
  <si>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</si>
  <si>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</si>
  <si>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</si>
  <si>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</si>
  <si>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</si>
  <si>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</si>
  <si>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</si>
  <si>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</si>
  <si>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</si>
  <si>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</si>
  <si>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</si>
  <si>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</si>
  <si>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</si>
  <si>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</si>
  <si>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</si>
  <si>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</si>
  <si>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</si>
  <si>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</si>
  <si>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</si>
  <si>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</si>
  <si>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</si>
  <si>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</si>
  <si>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</si>
  <si>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</si>
  <si>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</si>
  <si>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</si>
  <si>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</si>
  <si>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</si>
  <si>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</si>
  <si>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</si>
  <si>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</si>
  <si>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</si>
  <si>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</si>
  <si>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</si>
  <si>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</si>
  <si>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</si>
  <si>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</si>
  <si>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</si>
  <si>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</si>
  <si>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</si>
  <si>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</si>
  <si>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</si>
  <si>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</si>
  <si>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</si>
  <si>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</si>
  <si>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</si>
  <si>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</si>
  <si>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</si>
  <si>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</si>
  <si>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</si>
  <si>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</si>
  <si>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</si>
  <si>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</si>
  <si>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</si>
  <si>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</si>
  <si>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</si>
  <si>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</si>
  <si>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</si>
  <si>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</si>
  <si>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</si>
  <si>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</si>
  <si>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</si>
  <si>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</si>
  <si>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</si>
  <si>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</si>
  <si>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</si>
  <si>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</si>
  <si>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</si>
  <si>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</si>
  <si>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</si>
  <si>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</si>
  <si>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</si>
  <si>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</si>
  <si>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</si>
  <si>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</si>
  <si>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</si>
  <si>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</si>
  <si>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</si>
  <si>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</si>
  <si>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</si>
  <si>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</si>
  <si>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</si>
  <si>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</si>
  <si>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</si>
  <si>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</si>
  <si>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</si>
  <si>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</si>
  <si>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</si>
  <si>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</si>
  <si>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</si>
  <si>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</si>
  <si>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</si>
  <si>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</si>
  <si>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</si>
  <si>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</si>
  <si>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</si>
  <si>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</si>
  <si>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</si>
  <si>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</si>
  <si>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</si>
  <si>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</si>
  <si>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</si>
  <si>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</si>
  <si>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</si>
  <si>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</si>
  <si>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</si>
  <si>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</si>
  <si>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</si>
  <si>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</si>
  <si>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</si>
  <si>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</si>
  <si>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</si>
  <si>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</si>
  <si>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</si>
  <si>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</si>
  <si>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</si>
  <si>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</si>
  <si>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</si>
  <si>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</si>
  <si>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</si>
  <si>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</si>
  <si>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</si>
  <si>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</si>
  <si>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</si>
  <si>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</si>
  <si>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</si>
  <si>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</si>
  <si>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</si>
  <si>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</si>
  <si>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</si>
  <si>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</si>
  <si>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</si>
  <si>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</si>
  <si>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</si>
  <si>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</si>
  <si>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</si>
  <si>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</si>
  <si>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</si>
  <si>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</si>
  <si>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</si>
  <si>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</si>
  <si>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</si>
  <si>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</si>
  <si>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</si>
  <si>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</si>
  <si>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</si>
  <si>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</si>
  <si>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</si>
  <si>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</si>
  <si>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</si>
  <si>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</si>
  <si>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</si>
  <si>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</si>
  <si>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</si>
  <si>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</si>
  <si>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</si>
  <si>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</si>
  <si>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</si>
  <si>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</si>
  <si>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</si>
  <si>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</si>
  <si>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</si>
  <si>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</si>
  <si>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</si>
  <si>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</si>
  <si>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</si>
  <si>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</si>
  <si>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</si>
  <si>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</si>
  <si>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</si>
  <si>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</si>
  <si>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</si>
  <si>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</si>
  <si>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</si>
  <si>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</si>
  <si>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</si>
  <si>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</si>
  <si>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</si>
  <si>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</si>
  <si>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</si>
  <si>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</si>
  <si>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</si>
  <si>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</si>
  <si>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</si>
  <si>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</si>
  <si>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</si>
  <si>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</si>
  <si>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</si>
  <si>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</si>
  <si>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</si>
  <si>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</si>
  <si>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</si>
  <si>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</si>
  <si>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</si>
  <si>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</si>
  <si>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</si>
  <si>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</si>
  <si>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</si>
  <si>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</si>
  <si>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</si>
  <si>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</si>
  <si>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</si>
  <si>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</si>
  <si>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</si>
  <si>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</si>
  <si>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</si>
  <si>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</si>
  <si>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</si>
  <si>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</si>
  <si>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</si>
  <si>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</si>
  <si>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</si>
  <si>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</si>
  <si>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</si>
  <si>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</si>
  <si>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</si>
  <si>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</si>
  <si>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</si>
  <si>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</si>
  <si>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</si>
  <si>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</si>
  <si>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</si>
  <si>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</si>
  <si>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</si>
  <si>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</si>
  <si>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</si>
  <si>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</si>
  <si>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</si>
  <si>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</si>
  <si>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</si>
  <si>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</si>
  <si>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</si>
  <si>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</si>
  <si>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</si>
  <si>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</si>
  <si>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</si>
  <si>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</si>
  <si>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</si>
  <si>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</si>
  <si>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</si>
  <si>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</si>
  <si>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</si>
  <si>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</si>
  <si>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</si>
  <si>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</si>
  <si>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</si>
  <si>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</si>
  <si>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</si>
  <si>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</si>
  <si>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</si>
  <si>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</si>
  <si>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</si>
  <si>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</si>
  <si>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</si>
  <si>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</si>
  <si>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</si>
  <si>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</si>
  <si>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</si>
  <si>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</si>
  <si>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</si>
  <si>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</si>
  <si>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</si>
  <si>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</si>
  <si>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</si>
  <si>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</si>
  <si>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</si>
  <si>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</si>
  <si>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</si>
  <si>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</si>
  <si>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</si>
  <si>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</si>
  <si>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</si>
  <si>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</si>
  <si>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</si>
  <si>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</si>
  <si>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</si>
  <si>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</si>
  <si>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</si>
  <si>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</si>
  <si>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</si>
  <si>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</si>
  <si>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</si>
  <si>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</si>
  <si>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</si>
  <si>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</si>
  <si>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</si>
  <si>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</si>
  <si>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</si>
  <si>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</si>
  <si>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</si>
  <si>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</si>
  <si>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</si>
  <si>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</si>
  <si>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</si>
  <si>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</si>
  <si>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</si>
  <si>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</si>
  <si>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</si>
  <si>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</si>
  <si>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</si>
  <si>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</si>
  <si>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</si>
  <si>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</si>
  <si>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</si>
  <si>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</si>
  <si>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</si>
  <si>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</si>
  <si>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</si>
  <si>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</si>
  <si>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</si>
  <si>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</si>
  <si>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</si>
  <si>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</si>
  <si>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</si>
  <si>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</si>
  <si>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</si>
  <si>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</si>
  <si>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</si>
  <si>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</si>
  <si>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</si>
  <si>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</si>
  <si>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</si>
  <si>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</si>
  <si>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</si>
  <si>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</si>
  <si>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</si>
  <si>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</si>
  <si>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</si>
  <si>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</si>
  <si>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</si>
  <si>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</si>
  <si>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</si>
  <si>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</si>
  <si>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</si>
  <si>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</si>
  <si>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</si>
  <si>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</si>
  <si>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</si>
  <si>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</si>
  <si>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</si>
  <si>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</si>
  <si>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</si>
  <si>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</si>
  <si>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</si>
  <si>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</si>
  <si>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</si>
  <si>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</si>
  <si>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</si>
  <si>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</si>
  <si>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</si>
  <si>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</si>
  <si>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</si>
  <si>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</si>
  <si>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</si>
  <si>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</si>
  <si>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</si>
  <si>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</si>
  <si>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</si>
  <si>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</si>
  <si>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</si>
  <si>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</si>
  <si>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</si>
  <si>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</si>
  <si>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</si>
  <si>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</si>
  <si>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</si>
  <si>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</si>
  <si>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</si>
  <si>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</si>
  <si>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</si>
  <si>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</si>
  <si>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</si>
  <si>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</si>
  <si>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</si>
  <si>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</si>
  <si>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</si>
  <si>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</si>
  <si>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</si>
  <si>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</si>
  <si>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</si>
  <si>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</si>
  <si>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</si>
  <si>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</si>
  <si>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</si>
  <si>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</si>
  <si>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</si>
  <si>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</si>
  <si>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</si>
  <si>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</si>
  <si>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</si>
  <si>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</si>
  <si>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</si>
  <si>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</si>
  <si>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</si>
  <si>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</si>
  <si>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</si>
  <si>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</si>
  <si>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</si>
  <si>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</si>
  <si>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</si>
  <si>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</si>
  <si>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</si>
  <si>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</si>
  <si>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</si>
  <si>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</si>
  <si>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</si>
  <si>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</si>
  <si>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</si>
  <si>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</si>
  <si>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</si>
  <si>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</si>
  <si>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</si>
  <si>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</si>
  <si>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</si>
  <si>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</si>
  <si>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</si>
  <si>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</si>
  <si>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</si>
  <si>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</si>
  <si>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</si>
  <si>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</si>
  <si>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</si>
  <si>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</si>
  <si>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</si>
  <si>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</si>
  <si>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</si>
  <si>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</si>
  <si>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</si>
  <si>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</si>
  <si>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</si>
  <si>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</si>
  <si>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</si>
  <si>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</si>
  <si>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</si>
  <si>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</si>
  <si>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</si>
  <si>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</si>
  <si>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</si>
  <si>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</si>
  <si>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</si>
  <si>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</si>
  <si>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</si>
  <si>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</si>
  <si>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</si>
  <si>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</si>
  <si>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</si>
  <si>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</si>
  <si>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</si>
  <si>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</si>
  <si>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</si>
  <si>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</si>
  <si>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</si>
  <si>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</si>
  <si>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</si>
  <si>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</si>
  <si>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</si>
  <si>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</si>
  <si>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</si>
  <si>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</si>
  <si>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</si>
  <si>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</si>
  <si>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</si>
  <si>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</si>
  <si>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</si>
  <si>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</si>
  <si>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</si>
  <si>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</si>
  <si>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</si>
  <si>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</si>
  <si>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</si>
  <si>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</si>
  <si>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</si>
  <si>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</si>
  <si>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</si>
  <si>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</si>
  <si>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</si>
  <si>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</si>
  <si>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</si>
  <si>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</si>
  <si>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</si>
  <si>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</si>
  <si>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</si>
  <si>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</si>
  <si>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</si>
  <si>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</si>
  <si>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</si>
  <si>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</si>
  <si>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</si>
  <si>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</si>
  <si>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</si>
  <si>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</si>
  <si>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</si>
  <si>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</si>
  <si>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</si>
  <si>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</si>
  <si>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</si>
  <si>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</si>
  <si>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</si>
  <si>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</si>
  <si>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</si>
  <si>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</si>
  <si>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</si>
  <si>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</si>
  <si>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</si>
  <si>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</si>
  <si>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</si>
  <si>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</si>
  <si>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</si>
  <si>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</si>
  <si>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</si>
  <si>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</si>
  <si>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</si>
  <si>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</si>
  <si>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</si>
  <si>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</si>
  <si>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</si>
  <si>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</si>
  <si>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</si>
  <si>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</si>
  <si>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</si>
  <si>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</si>
  <si>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</si>
  <si>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</si>
  <si>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</si>
  <si>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</si>
  <si>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</si>
  <si>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</si>
  <si>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</si>
  <si>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</si>
  <si>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</si>
  <si>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</si>
  <si>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</si>
  <si>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</si>
  <si>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</si>
  <si>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</si>
  <si>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</si>
  <si>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</si>
  <si>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</si>
  <si>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</si>
  <si>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</si>
  <si>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</si>
  <si>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</si>
  <si>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</si>
  <si>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</si>
  <si>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</si>
  <si>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</si>
  <si>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</si>
  <si>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</si>
  <si>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</si>
  <si>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</si>
  <si>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</si>
  <si>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</si>
  <si>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</si>
  <si>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</si>
  <si>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</si>
  <si>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</si>
  <si>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</si>
  <si>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</si>
  <si>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</si>
  <si>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</si>
  <si>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</si>
  <si>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</si>
  <si>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</si>
  <si>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</si>
  <si>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</si>
  <si>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</si>
  <si>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</si>
  <si>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</si>
  <si>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</si>
  <si>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</si>
  <si>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</si>
  <si>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</si>
  <si>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</si>
  <si>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</si>
  <si>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</si>
  <si>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</si>
  <si>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</si>
  <si>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</si>
  <si>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</si>
  <si>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</si>
  <si>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</si>
  <si>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</si>
  <si>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</si>
  <si>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</si>
  <si>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</si>
  <si>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</si>
  <si>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</si>
  <si>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</si>
  <si>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</si>
  <si>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</si>
  <si>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</si>
  <si>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</si>
  <si>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</si>
  <si>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</si>
  <si>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</si>
  <si>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</si>
  <si>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</si>
  <si>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</si>
  <si>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</si>
  <si>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</si>
  <si>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</si>
  <si>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</si>
  <si>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</si>
  <si>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</si>
  <si>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</si>
  <si>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</si>
  <si>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</si>
  <si>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</si>
  <si>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</si>
  <si>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</si>
  <si>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</si>
  <si>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</si>
  <si>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</si>
  <si>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</si>
  <si>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</si>
  <si>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</si>
  <si>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</si>
  <si>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</si>
  <si>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</si>
  <si>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</si>
  <si>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</si>
  <si>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</si>
  <si>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</si>
  <si>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</si>
  <si>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</si>
  <si>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</si>
  <si>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</si>
  <si>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</si>
  <si>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</si>
  <si>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</si>
  <si>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</si>
  <si>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</si>
  <si>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</si>
  <si>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</si>
  <si>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</si>
  <si>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</si>
  <si>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</si>
  <si>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</si>
  <si>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</si>
  <si>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</si>
  <si>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</si>
  <si>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</si>
  <si>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</si>
  <si>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</si>
  <si>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</si>
  <si>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</si>
  <si>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</si>
  <si>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</si>
  <si>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</si>
  <si>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</si>
  <si>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</si>
  <si>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</si>
  <si>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</si>
  <si>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</si>
  <si>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</si>
  <si>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</si>
  <si>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</si>
  <si>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</si>
  <si>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</si>
  <si>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</si>
  <si>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</si>
  <si>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</si>
  <si>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</si>
  <si>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</si>
  <si>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</si>
  <si>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</si>
  <si>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</si>
  <si>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</si>
  <si>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</si>
  <si>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</si>
  <si>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</si>
  <si>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</si>
  <si>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</si>
  <si>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</si>
  <si>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</si>
  <si>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</si>
  <si>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</si>
  <si>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</si>
  <si>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</si>
  <si>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</si>
  <si>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</si>
  <si>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</si>
  <si>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</si>
  <si>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</si>
  <si>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</si>
  <si>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</si>
  <si>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</si>
  <si>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</si>
  <si>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</si>
  <si>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</si>
  <si>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</si>
  <si>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</si>
  <si>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</si>
  <si>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</si>
  <si>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</si>
  <si>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</si>
  <si>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</si>
  <si>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</si>
  <si>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</si>
  <si>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</si>
  <si>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</si>
  <si>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</si>
  <si>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</si>
  <si>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</si>
  <si>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</si>
  <si>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</si>
  <si>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</si>
  <si>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</si>
  <si>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</si>
  <si>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</si>
  <si>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</si>
  <si>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</si>
  <si>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</si>
  <si>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</si>
  <si>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</si>
  <si>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</si>
  <si>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</si>
  <si>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</si>
  <si>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</si>
  <si>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</si>
  <si>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</si>
  <si>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</si>
  <si>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</si>
  <si>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</si>
  <si>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</si>
  <si>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</si>
  <si>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</si>
  <si>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</si>
  <si>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</si>
  <si>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</si>
  <si>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</si>
  <si>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</si>
  <si>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</si>
  <si>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</si>
  <si>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</si>
  <si>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</si>
  <si>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</si>
  <si>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</si>
  <si>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</si>
  <si>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</si>
  <si>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</si>
  <si>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</si>
  <si>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</si>
  <si>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</si>
  <si>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</si>
  <si>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</si>
  <si>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</si>
  <si>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</si>
  <si>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</si>
  <si>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</si>
  <si>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</si>
  <si>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</si>
  <si>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</si>
  <si>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</si>
  <si>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</si>
  <si>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</si>
  <si>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</si>
  <si>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</si>
  <si>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</si>
  <si>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</si>
  <si>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</si>
  <si>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</si>
  <si>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</si>
  <si>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</si>
  <si>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</si>
  <si>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</si>
  <si>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</si>
  <si>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</si>
  <si>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</si>
  <si>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</si>
  <si>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</si>
  <si>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</si>
  <si>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</si>
  <si>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</si>
  <si>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</si>
  <si>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</si>
  <si>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</si>
  <si>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</si>
  <si>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</si>
  <si>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</si>
  <si>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</si>
  <si>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</si>
  <si>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</si>
  <si>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</si>
  <si>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</si>
  <si>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</si>
  <si>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</si>
  <si>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</si>
  <si>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</si>
  <si>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</si>
  <si>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</si>
  <si>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</si>
  <si>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</si>
  <si>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</si>
  <si>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</si>
  <si>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</si>
  <si>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</si>
  <si>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</si>
  <si>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</si>
  <si>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</si>
  <si>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</si>
  <si>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</si>
  <si>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</si>
  <si>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</si>
  <si>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</si>
  <si>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</si>
  <si>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</si>
  <si>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</si>
  <si>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</si>
  <si>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</si>
  <si>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</si>
  <si>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</si>
  <si>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</si>
  <si>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</si>
  <si>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</si>
  <si>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</si>
  <si>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</si>
  <si>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</si>
  <si>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</si>
  <si>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</si>
  <si>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</si>
  <si>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</si>
  <si>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</si>
  <si>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</si>
  <si>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</si>
  <si>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</si>
  <si>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</si>
  <si>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</si>
  <si>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</si>
  <si>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</si>
  <si>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</si>
  <si>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</si>
  <si>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</si>
  <si>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</si>
  <si>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</si>
  <si>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</si>
  <si>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</si>
  <si>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</si>
  <si>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</si>
  <si>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</si>
  <si>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</si>
  <si>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</si>
  <si>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</si>
  <si>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</si>
  <si>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</si>
  <si>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</si>
  <si>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</si>
  <si>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</si>
  <si>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</si>
  <si>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</si>
  <si>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</si>
  <si>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</si>
  <si>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</si>
  <si>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</si>
  <si>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</si>
  <si>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</si>
  <si>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</si>
  <si>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</si>
  <si>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</si>
  <si>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</si>
  <si>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</si>
  <si>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</si>
  <si>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</si>
  <si>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</si>
  <si>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</si>
  <si>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</si>
  <si>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</si>
  <si>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</si>
  <si>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</si>
  <si>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</si>
  <si>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</si>
  <si>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</si>
  <si>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</si>
  <si>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</si>
  <si>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</si>
  <si>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</si>
  <si>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</si>
  <si>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</si>
  <si>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</si>
  <si>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</si>
  <si>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</si>
  <si>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</si>
  <si>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</si>
  <si>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</si>
  <si>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</si>
  <si>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</si>
  <si>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</si>
  <si>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</si>
  <si>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</si>
  <si>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</si>
  <si>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</si>
  <si>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</si>
  <si>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</si>
  <si>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</si>
  <si>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</si>
  <si>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</si>
  <si>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</si>
  <si>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</si>
  <si>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</si>
  <si>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</si>
  <si>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</si>
  <si>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</si>
  <si>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</si>
  <si>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</si>
  <si>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</si>
  <si>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</si>
  <si>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</si>
  <si>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</si>
  <si>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</si>
  <si>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</si>
  <si>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</si>
  <si>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</si>
  <si>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</si>
  <si>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</si>
  <si>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</si>
  <si>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</si>
  <si>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</si>
  <si>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</si>
  <si>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</si>
  <si>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</si>
  <si>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</si>
  <si>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</si>
  <si>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</si>
  <si>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</si>
  <si>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</si>
  <si>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</si>
  <si>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</si>
  <si>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</si>
  <si>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</si>
  <si>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</si>
  <si>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</si>
  <si>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</si>
  <si>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</si>
  <si>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</si>
  <si>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</si>
  <si>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</si>
  <si>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</si>
  <si>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</si>
  <si>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</si>
  <si>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</si>
  <si>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</si>
  <si>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</si>
  <si>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</si>
  <si>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</si>
  <si>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</si>
  <si>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</si>
  <si>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</si>
  <si>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</si>
  <si>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</si>
  <si>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</si>
  <si>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</si>
  <si>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</si>
  <si>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</si>
  <si>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</si>
  <si>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</si>
  <si>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</si>
  <si>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</si>
  <si>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</si>
  <si>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</si>
  <si>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</si>
  <si>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</si>
  <si>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</si>
  <si>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</si>
  <si>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</si>
  <si>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</si>
  <si>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</si>
  <si>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</si>
  <si>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</si>
  <si>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</si>
  <si>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</si>
  <si>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</si>
  <si>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</si>
  <si>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</si>
  <si>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</si>
  <si>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</si>
  <si>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</si>
  <si>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</si>
  <si>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</si>
  <si>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</si>
  <si>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</si>
  <si>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</si>
  <si>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</si>
  <si>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</si>
  <si>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</si>
  <si>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</si>
  <si>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</si>
  <si>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</si>
  <si>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</si>
  <si>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</si>
  <si>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</si>
  <si>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</si>
  <si>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</si>
  <si>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</si>
  <si>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</si>
  <si>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</si>
  <si>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</si>
  <si>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</si>
  <si>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</si>
  <si>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</si>
  <si>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</si>
  <si>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</si>
  <si>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</si>
  <si>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</si>
  <si>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</si>
  <si>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</si>
  <si>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</si>
  <si>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</si>
  <si>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</si>
  <si>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</si>
  <si>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</si>
  <si>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</si>
  <si>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</si>
  <si>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</si>
  <si>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</si>
  <si>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</si>
  <si>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</si>
  <si>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</si>
  <si>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</si>
  <si>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</si>
  <si>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</si>
  <si>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</si>
  <si>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</si>
  <si>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</si>
  <si>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</si>
  <si>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</si>
  <si>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</si>
  <si>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</si>
  <si>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</si>
  <si>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</si>
  <si>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</si>
  <si>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</si>
  <si>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</si>
  <si>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</si>
  <si>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</si>
  <si>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</si>
  <si>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</si>
  <si>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</si>
  <si>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</si>
  <si>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</si>
  <si>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</si>
  <si>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</si>
  <si>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</si>
  <si>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</si>
  <si>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</si>
  <si>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</si>
  <si>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</si>
  <si>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</si>
  <si>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</si>
  <si>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</si>
  <si>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</si>
  <si>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</si>
  <si>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</si>
  <si>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</si>
  <si>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</si>
  <si>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</si>
  <si>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</si>
  <si>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</si>
  <si>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</si>
  <si>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</si>
  <si>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</si>
  <si>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</si>
  <si>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</si>
  <si>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</si>
  <si>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</si>
  <si>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</si>
  <si>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</si>
  <si>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</si>
  <si>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</si>
  <si>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</si>
  <si>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</si>
  <si>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</si>
  <si>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</si>
  <si>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</si>
  <si>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</si>
  <si>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</si>
  <si>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</si>
  <si>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</si>
  <si>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</si>
  <si>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</si>
  <si>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</si>
  <si>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</si>
  <si>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</si>
  <si>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</si>
  <si>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</si>
  <si>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</si>
  <si>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</si>
  <si>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</si>
  <si>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</si>
  <si>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</si>
  <si>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</si>
  <si>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</si>
  <si>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</si>
  <si>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</si>
  <si>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</si>
  <si>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</si>
  <si>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</si>
  <si>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</si>
  <si>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</si>
  <si>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</si>
  <si>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</si>
  <si>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</si>
  <si>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</si>
  <si>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</si>
  <si>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</si>
  <si>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</si>
  <si>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</si>
  <si>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</si>
  <si>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</si>
  <si>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</si>
  <si>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</si>
  <si>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</si>
  <si>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</si>
  <si>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</si>
  <si>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</si>
  <si>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</si>
  <si>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</si>
  <si>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</si>
  <si>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</si>
  <si>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</si>
  <si>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</si>
  <si>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</si>
  <si>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</si>
  <si>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</si>
  <si>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</si>
  <si>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</si>
  <si>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</si>
  <si>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</si>
  <si>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</si>
  <si>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</si>
  <si>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</si>
  <si>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</si>
  <si>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</si>
  <si>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</si>
  <si>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</si>
  <si>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</si>
  <si>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</si>
  <si>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</si>
  <si>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</si>
  <si>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</si>
  <si>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</si>
  <si>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</si>
  <si>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</si>
  <si>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</si>
  <si>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</si>
  <si>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</si>
  <si>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</si>
  <si>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</si>
  <si>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</si>
  <si>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</si>
  <si>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</si>
  <si>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</si>
  <si>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</si>
  <si>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</si>
  <si>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</si>
  <si>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</si>
  <si>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</si>
  <si>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</si>
  <si>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</si>
  <si>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</si>
  <si>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</si>
  <si>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</si>
  <si>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</si>
  <si>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</si>
  <si>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</si>
  <si>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</si>
  <si>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</si>
  <si>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</si>
  <si>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</si>
  <si>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</si>
  <si>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</si>
  <si>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</si>
  <si>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</si>
  <si>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</si>
  <si>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</si>
  <si>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</si>
  <si>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</si>
  <si>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</si>
  <si>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</si>
  <si>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</si>
  <si>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</si>
  <si>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</si>
  <si>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</si>
  <si>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</si>
  <si>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</si>
  <si>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</si>
  <si>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</si>
  <si>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</si>
  <si>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</si>
  <si>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</si>
  <si>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</si>
  <si>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</si>
  <si>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</si>
  <si>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</si>
  <si>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</si>
  <si>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</si>
  <si>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</si>
  <si>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</si>
  <si>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</si>
  <si>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</si>
  <si>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</si>
  <si>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</si>
  <si>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</si>
  <si>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</si>
  <si>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</si>
  <si>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</si>
  <si>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</si>
  <si>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</si>
  <si>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</si>
  <si>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</si>
  <si>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</si>
  <si>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</si>
  <si>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</si>
  <si>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</si>
  <si>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</si>
  <si>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</si>
  <si>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</si>
  <si>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</si>
  <si>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</si>
  <si>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</si>
  <si>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</si>
  <si>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</si>
  <si>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</si>
  <si>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</si>
  <si>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</si>
  <si>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</si>
  <si>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</si>
  <si>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</si>
  <si>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</si>
  <si>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</si>
  <si>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</si>
  <si>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</si>
  <si>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</si>
  <si>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</si>
  <si>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</si>
  <si>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</si>
  <si>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</si>
  <si>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</si>
  <si>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</si>
  <si>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</si>
  <si>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</si>
  <si>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</si>
  <si>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</si>
  <si>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</si>
  <si>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</si>
  <si>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</si>
  <si>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</si>
  <si>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</si>
  <si>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</si>
  <si>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</si>
  <si>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</si>
  <si>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</si>
  <si>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</si>
  <si>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</si>
  <si>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</si>
  <si>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</si>
  <si>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</si>
  <si>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</si>
  <si>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</si>
  <si>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</si>
  <si>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</si>
  <si>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</si>
  <si>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</si>
  <si>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</si>
  <si>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</si>
  <si>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</si>
  <si>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</si>
  <si>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</si>
  <si>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</si>
  <si>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</si>
  <si>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</si>
  <si>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</si>
  <si>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</si>
  <si>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</si>
  <si>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</si>
  <si>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</si>
  <si>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</si>
  <si>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</si>
  <si>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</si>
  <si>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</si>
  <si>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</si>
  <si>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</si>
  <si>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</si>
  <si>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</si>
  <si>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</si>
  <si>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</si>
  <si>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</si>
  <si>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</si>
  <si>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</si>
  <si>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</si>
  <si>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</si>
  <si>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</si>
  <si>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</si>
  <si>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</si>
  <si>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</si>
  <si>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</si>
  <si>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</si>
  <si>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</si>
  <si>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</si>
  <si>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</si>
  <si>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</si>
  <si>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</si>
  <si>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</si>
  <si>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</si>
  <si>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</si>
  <si>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</si>
  <si>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</si>
  <si>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</si>
  <si>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</si>
  <si>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</si>
  <si>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</si>
  <si>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</si>
  <si>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</si>
  <si>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</si>
  <si>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</si>
  <si>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</si>
  <si>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</si>
  <si>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</si>
  <si>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</si>
  <si>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</si>
  <si>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</si>
  <si>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</si>
  <si>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</si>
  <si>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</si>
  <si>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</si>
  <si>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</si>
  <si>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</si>
  <si>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</si>
  <si>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</si>
  <si>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</si>
  <si>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</si>
  <si>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</si>
  <si>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</si>
  <si>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</si>
  <si>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</si>
  <si>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</si>
  <si>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</si>
  <si>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</si>
  <si>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</si>
  <si>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</si>
  <si>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</si>
  <si>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</si>
  <si>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</si>
  <si>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</si>
  <si>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</si>
  <si>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</si>
  <si>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</si>
  <si>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</si>
  <si>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</si>
  <si>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</si>
  <si>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</si>
  <si>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</si>
  <si>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</si>
  <si>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</si>
  <si>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</si>
  <si>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</si>
  <si>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</si>
  <si>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</si>
  <si>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</si>
  <si>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</si>
  <si>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</si>
  <si>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</si>
  <si>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</si>
  <si>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</si>
  <si>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</si>
  <si>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</si>
  <si>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</si>
  <si>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</si>
  <si>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</si>
  <si>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</si>
  <si>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</si>
  <si>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</si>
  <si>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</si>
  <si>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</si>
  <si>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</si>
  <si>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</si>
  <si>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</si>
  <si>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</si>
  <si>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</si>
  <si>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</si>
  <si>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</si>
  <si>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</si>
  <si>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</si>
  <si>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</si>
  <si>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</si>
  <si>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</si>
  <si>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</si>
  <si>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</si>
  <si>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</si>
  <si>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</si>
  <si>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</si>
  <si>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</si>
  <si>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</si>
  <si>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</si>
  <si>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</si>
  <si>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</si>
  <si>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</si>
  <si>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</si>
  <si>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</si>
  <si>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</si>
  <si>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</si>
  <si>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</si>
  <si>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</si>
  <si>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</si>
  <si>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</si>
  <si>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</si>
  <si>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</si>
  <si>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</si>
  <si>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</si>
  <si>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</si>
  <si>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</si>
  <si>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</si>
  <si>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</si>
  <si>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</si>
  <si>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</si>
  <si>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</si>
  <si>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</si>
  <si>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</si>
  <si>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</si>
  <si>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</si>
  <si>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</si>
  <si>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</si>
  <si>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</si>
  <si>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</si>
  <si>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</si>
  <si>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</si>
  <si>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</si>
  <si>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</si>
  <si>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</si>
  <si>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</si>
  <si>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</si>
  <si>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</si>
  <si>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</si>
  <si>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</si>
  <si>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</si>
  <si>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</si>
  <si>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</si>
  <si>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</si>
  <si>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</si>
  <si>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</si>
  <si>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</si>
  <si>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</si>
  <si>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</si>
  <si>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</si>
  <si>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</si>
  <si>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</si>
  <si>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</si>
  <si>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</si>
  <si>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</si>
  <si>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</si>
  <si>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</si>
  <si>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</si>
  <si>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</si>
  <si>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</si>
  <si>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</si>
  <si>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</si>
  <si>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</si>
  <si>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</si>
  <si>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</si>
  <si>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</si>
  <si>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</si>
  <si>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</si>
  <si>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</si>
  <si>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</si>
  <si>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</si>
  <si>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</si>
  <si>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</si>
  <si>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</si>
  <si>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</si>
  <si>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</si>
  <si>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</si>
  <si>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</si>
  <si>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</si>
  <si>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</si>
  <si>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</si>
  <si>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</si>
  <si>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</si>
  <si>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</si>
  <si>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</si>
  <si>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</si>
  <si>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</si>
  <si>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</si>
  <si>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</si>
  <si>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</si>
  <si>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</si>
  <si>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</si>
  <si>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</si>
  <si>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</si>
  <si>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</si>
  <si>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</si>
  <si>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</si>
  <si>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</si>
  <si>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</si>
  <si>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</si>
  <si>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</si>
  <si>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</si>
  <si>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</si>
  <si>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</si>
  <si>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</si>
  <si>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</si>
  <si>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</si>
  <si>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</si>
  <si>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</si>
  <si>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</si>
  <si>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</si>
  <si>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</si>
  <si>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</si>
  <si>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</si>
  <si>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</si>
  <si>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</si>
  <si>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</si>
  <si>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</si>
  <si>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</si>
  <si>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</si>
  <si>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</si>
  <si>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</si>
  <si>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</si>
  <si>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</si>
  <si>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</si>
  <si>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</si>
  <si>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</si>
  <si>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</si>
  <si>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</si>
  <si>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</si>
  <si>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</si>
  <si>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</si>
  <si>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</si>
  <si>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</si>
  <si>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</si>
  <si>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</si>
  <si>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</si>
  <si>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</si>
  <si>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</si>
  <si>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</si>
  <si>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</si>
  <si>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</si>
  <si>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</si>
  <si>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</si>
  <si>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</si>
  <si>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</si>
  <si>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</si>
  <si>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</si>
  <si>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</si>
  <si>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</si>
  <si>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</si>
  <si>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</si>
  <si>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</si>
  <si>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</si>
  <si>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</si>
  <si>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</si>
  <si>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</si>
  <si>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</si>
  <si>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</si>
  <si>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</si>
  <si>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</si>
  <si>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</si>
  <si>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</si>
  <si>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</si>
  <si>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</si>
  <si>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</si>
  <si>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</si>
  <si>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</si>
  <si>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</si>
  <si>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</si>
  <si>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</si>
  <si>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</si>
  <si>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</si>
  <si>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</si>
  <si>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</si>
  <si>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</si>
  <si>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</si>
  <si>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</si>
  <si>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</si>
  <si>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</si>
  <si>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</si>
  <si>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</si>
  <si>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</si>
  <si>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</si>
  <si>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</si>
  <si>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</si>
  <si>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</si>
  <si>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</si>
  <si>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</si>
  <si>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</si>
  <si>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</si>
  <si>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</si>
  <si>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</si>
  <si>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</si>
  <si>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</si>
  <si>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</si>
  <si>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</si>
  <si>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</si>
  <si>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</si>
  <si>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</si>
  <si>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</si>
  <si>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</si>
  <si>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</si>
  <si>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</si>
  <si>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</si>
  <si>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</si>
  <si>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</si>
  <si>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</si>
  <si>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</si>
  <si>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</si>
  <si>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</si>
  <si>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</si>
  <si>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</si>
  <si>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</si>
  <si>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</si>
  <si>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</si>
  <si>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</si>
  <si>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</si>
  <si>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</si>
  <si>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</si>
  <si>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</si>
  <si>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</si>
  <si>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</si>
  <si>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</si>
  <si>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</si>
  <si>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</si>
  <si>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</si>
  <si>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</si>
  <si>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</si>
  <si>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</si>
  <si>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</si>
  <si>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</si>
  <si>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</si>
  <si>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</si>
  <si>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</si>
  <si>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</si>
  <si>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</si>
  <si>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</si>
  <si>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</si>
  <si>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</si>
  <si>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</si>
  <si>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</si>
  <si>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</si>
  <si>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</si>
  <si>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</si>
  <si>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</si>
  <si>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</si>
  <si>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</si>
  <si>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</si>
  <si>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</si>
  <si>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</si>
  <si>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</si>
  <si>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</si>
  <si>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</si>
  <si>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</si>
  <si>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</si>
  <si>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</si>
  <si>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</si>
  <si>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</si>
  <si>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</si>
  <si>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</si>
  <si>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</si>
  <si>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</si>
  <si>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</si>
  <si>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</si>
  <si>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</si>
  <si>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</si>
  <si>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</si>
  <si>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</si>
  <si>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</si>
  <si>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</si>
  <si>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</si>
  <si>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</si>
  <si>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</si>
  <si>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</si>
  <si>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</si>
  <si>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</si>
  <si>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</si>
  <si>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</si>
  <si>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</si>
  <si>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</si>
  <si>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</si>
  <si>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</si>
  <si>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</si>
  <si>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</si>
  <si>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</si>
  <si>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</si>
  <si>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</si>
  <si>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</si>
  <si>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</si>
  <si>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</si>
  <si>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</si>
  <si>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</si>
  <si>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</si>
  <si>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</si>
  <si>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</si>
  <si>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</si>
  <si>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</si>
  <si>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</si>
  <si>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</si>
  <si>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</si>
  <si>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</si>
  <si>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</si>
  <si>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</si>
  <si>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</si>
  <si>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</si>
  <si>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</si>
  <si>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</si>
  <si>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</si>
  <si>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</si>
  <si>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</si>
  <si>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</si>
  <si>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</si>
  <si>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</si>
  <si>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</si>
  <si>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</si>
  <si>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</si>
  <si>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</si>
  <si>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</si>
  <si>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</si>
  <si>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</si>
  <si>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</si>
  <si>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</si>
  <si>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</si>
  <si>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</si>
  <si>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</si>
  <si>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</si>
  <si>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</si>
  <si>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</si>
  <si>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</si>
  <si>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</si>
  <si>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</si>
  <si>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</si>
  <si>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</si>
  <si>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</si>
  <si>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</si>
  <si>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</si>
  <si>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</si>
  <si>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</si>
  <si>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</si>
  <si>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</si>
  <si>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</si>
  <si>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</si>
  <si>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</si>
  <si>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</si>
  <si>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</si>
  <si>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</si>
  <si>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</si>
  <si>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</si>
  <si>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</si>
  <si>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</si>
  <si>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</si>
  <si>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</si>
  <si>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</si>
  <si>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</si>
  <si>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</si>
  <si>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</si>
  <si>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</si>
  <si>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</si>
  <si>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</si>
  <si>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</si>
  <si>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</si>
  <si>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</si>
  <si>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</si>
  <si>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</si>
  <si>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</si>
  <si>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</si>
  <si>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</si>
  <si>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</si>
  <si>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</si>
  <si>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</si>
  <si>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</si>
  <si>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</si>
  <si>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</si>
  <si>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</si>
  <si>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</si>
  <si>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</si>
  <si>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</si>
  <si>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</si>
  <si>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</si>
  <si>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</si>
  <si>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</si>
  <si>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</si>
  <si>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</si>
  <si>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</si>
  <si>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</si>
  <si>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</si>
  <si>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</si>
  <si>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</si>
  <si>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</si>
  <si>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</si>
  <si>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</si>
  <si>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</si>
  <si>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</si>
  <si>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</si>
  <si>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</si>
  <si>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</si>
  <si>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</si>
  <si>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</si>
  <si>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</si>
  <si>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</si>
  <si>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</si>
  <si>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</si>
  <si>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</si>
  <si>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</si>
  <si>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</si>
  <si>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</si>
  <si>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</si>
  <si>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</si>
  <si>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</si>
  <si>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</si>
  <si>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</si>
  <si>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</si>
  <si>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</si>
  <si>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</si>
  <si>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</si>
  <si>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</si>
  <si>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</si>
  <si>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</si>
  <si>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</si>
  <si>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</si>
  <si>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</si>
  <si>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</si>
  <si>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</si>
  <si>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</si>
  <si>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</si>
  <si>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</si>
  <si>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</si>
  <si>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</si>
  <si>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</si>
  <si>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</si>
  <si>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</si>
  <si>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</si>
  <si>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</si>
  <si>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</si>
  <si>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</si>
  <si>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</si>
  <si>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</si>
  <si>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</si>
  <si>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</si>
  <si>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</si>
  <si>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</si>
  <si>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</si>
  <si>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</si>
  <si>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</si>
  <si>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</si>
  <si>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</si>
  <si>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</si>
  <si>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</si>
  <si>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</si>
  <si>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</si>
  <si>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</si>
  <si>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</si>
  <si>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</si>
  <si>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</si>
  <si>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</si>
  <si>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</si>
  <si>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</si>
  <si>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</si>
  <si>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</si>
  <si>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</si>
  <si>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</si>
  <si>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</si>
  <si>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</si>
  <si>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</si>
  <si>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</si>
  <si>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</si>
  <si>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</si>
  <si>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</si>
  <si>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</si>
  <si>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</si>
  <si>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</si>
  <si>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</si>
  <si>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</si>
  <si>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</si>
  <si>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</si>
  <si>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</si>
  <si>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</si>
  <si>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</si>
  <si>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</si>
  <si>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</si>
  <si>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</si>
  <si>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</si>
  <si>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</si>
  <si>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</si>
  <si>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</si>
  <si>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</si>
  <si>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</si>
  <si>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</si>
  <si>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</si>
  <si>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</si>
  <si>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</si>
  <si>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</si>
  <si>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</si>
  <si>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</si>
  <si>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</si>
  <si>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</si>
  <si>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</si>
  <si>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</si>
  <si>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</si>
  <si>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</si>
  <si>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</si>
  <si>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</si>
  <si>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</si>
  <si>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</si>
  <si>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</si>
  <si>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</si>
  <si>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</si>
  <si>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</si>
  <si>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</si>
  <si>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</si>
  <si>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</si>
  <si>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</si>
  <si>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</si>
  <si>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</si>
  <si>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</si>
  <si>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</si>
  <si>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</si>
  <si>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</si>
  <si>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</si>
  <si>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</si>
  <si>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</si>
  <si>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</si>
  <si>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</si>
  <si>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</si>
  <si>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</si>
  <si>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</si>
  <si>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</si>
  <si>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</si>
  <si>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</si>
  <si>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</si>
  <si>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</si>
  <si>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</si>
  <si>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</si>
  <si>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</si>
  <si>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</si>
  <si>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</si>
  <si>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</si>
  <si>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</si>
  <si>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</si>
  <si>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</si>
  <si>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</si>
  <si>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</si>
  <si>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</si>
  <si>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</si>
  <si>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</si>
  <si>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</si>
  <si>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</si>
  <si>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</si>
  <si>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</si>
  <si>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</si>
  <si>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</si>
  <si>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</si>
  <si>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</si>
  <si>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</si>
  <si>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</si>
  <si>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</si>
  <si>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</si>
  <si>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</si>
  <si>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</si>
  <si>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</si>
  <si>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</si>
  <si>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</si>
  <si>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</si>
  <si>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</si>
  <si>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</si>
  <si>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</si>
  <si>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</si>
  <si>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</si>
  <si>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</si>
  <si>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</si>
  <si>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</si>
  <si>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</si>
  <si>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</si>
  <si>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</si>
  <si>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</si>
  <si>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</si>
  <si>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</si>
  <si>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</si>
  <si>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</si>
  <si>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</si>
  <si>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</si>
  <si>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</si>
  <si>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</si>
  <si>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</si>
  <si>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</si>
  <si>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</si>
  <si>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</si>
  <si>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</si>
  <si>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</si>
  <si>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</si>
  <si>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</si>
  <si>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</si>
  <si>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</si>
  <si>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</si>
  <si>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</si>
  <si>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</si>
  <si>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</si>
  <si>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</si>
  <si>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</si>
  <si>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</si>
  <si>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</si>
  <si>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</si>
  <si>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</si>
  <si>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</si>
  <si>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</si>
  <si>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</si>
  <si>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</si>
  <si>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</si>
  <si>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</si>
  <si>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</si>
  <si>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</si>
  <si>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</si>
  <si>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</si>
  <si>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</si>
  <si>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</si>
  <si>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</si>
  <si>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</si>
  <si>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</si>
  <si>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</si>
  <si>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</si>
  <si>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</si>
  <si>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</si>
  <si>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</si>
  <si>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</si>
  <si>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</si>
  <si>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</si>
  <si>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</si>
  <si>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</si>
  <si>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</si>
  <si>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</si>
  <si>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</si>
  <si>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</si>
  <si>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</si>
  <si>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</si>
  <si>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</si>
  <si>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</si>
  <si>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</si>
  <si>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</si>
  <si>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</si>
  <si>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</si>
  <si>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</si>
  <si>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</si>
  <si>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</si>
  <si>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</si>
  <si>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</si>
  <si>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</si>
  <si>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</si>
  <si>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</si>
  <si>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</si>
  <si>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</si>
  <si>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</si>
  <si>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</si>
  <si>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</si>
  <si>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</si>
  <si>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</si>
  <si>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</si>
  <si>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</si>
  <si>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</si>
  <si>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</si>
  <si>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</si>
  <si>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</si>
  <si>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</si>
  <si>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</si>
  <si>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</si>
  <si>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</si>
  <si>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</si>
  <si>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</si>
  <si>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</si>
  <si>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</si>
  <si>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</si>
  <si>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</si>
  <si>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</si>
  <si>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</si>
  <si>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</si>
  <si>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</si>
  <si>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</si>
  <si>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</si>
  <si>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</si>
  <si>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</si>
  <si>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</si>
  <si>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</si>
  <si>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</si>
  <si>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</si>
  <si>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</si>
  <si>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</si>
  <si>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</si>
  <si>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</si>
  <si>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</si>
  <si>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</si>
  <si>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</si>
  <si>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</si>
  <si>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</si>
  <si>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</si>
  <si>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</si>
  <si>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</si>
  <si>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</si>
  <si>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</si>
  <si>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</si>
  <si>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</si>
  <si>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</si>
  <si>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</si>
  <si>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</si>
  <si>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</si>
  <si>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</si>
  <si>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</si>
  <si>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</si>
  <si>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</si>
  <si>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</si>
  <si>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</si>
  <si>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</si>
  <si>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</si>
  <si>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</si>
  <si>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</si>
  <si>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</si>
  <si>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</si>
  <si>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</si>
  <si>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</si>
  <si>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</si>
  <si>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</si>
  <si>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</si>
  <si>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</si>
  <si>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</si>
  <si>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</si>
  <si>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</si>
  <si>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</si>
  <si>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</si>
  <si>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</si>
  <si>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</si>
  <si>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</si>
  <si>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</si>
  <si>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</si>
  <si>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</si>
  <si>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</si>
  <si>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</si>
  <si>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</si>
  <si>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</si>
  <si>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</si>
  <si>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</si>
  <si>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</si>
  <si>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</si>
  <si>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</si>
  <si>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</si>
  <si>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</si>
  <si>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</si>
  <si>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</si>
  <si>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</si>
  <si>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</si>
  <si>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</si>
  <si>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</si>
  <si>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</si>
  <si>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</si>
  <si>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</si>
  <si>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</si>
  <si>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</si>
  <si>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</si>
  <si>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</si>
  <si>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</si>
  <si>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</si>
  <si>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</si>
  <si>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</si>
  <si>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</si>
  <si>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</si>
  <si>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</si>
  <si>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</si>
  <si>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</si>
  <si>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</si>
  <si>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</si>
  <si>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</si>
  <si>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</si>
  <si>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</si>
  <si>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</si>
  <si>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</si>
  <si>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</si>
  <si>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</si>
  <si>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</si>
  <si>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</si>
  <si>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</si>
  <si>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</si>
  <si>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</si>
  <si>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</si>
  <si>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</si>
  <si>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</si>
  <si>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</si>
  <si>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</si>
  <si>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</si>
  <si>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</si>
  <si>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</si>
  <si>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</si>
  <si>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</si>
  <si>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</si>
  <si>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</si>
  <si>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</si>
  <si>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</si>
  <si>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</si>
  <si>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</si>
  <si>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</si>
  <si>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</si>
  <si>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</si>
  <si>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</si>
  <si>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</si>
  <si>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</si>
  <si>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</si>
  <si>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</si>
  <si>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</si>
  <si>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</si>
  <si>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</si>
  <si>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</si>
  <si>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</si>
  <si>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</si>
  <si>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</si>
  <si>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</si>
  <si>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</si>
  <si>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</si>
  <si>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</si>
  <si>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</si>
  <si>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</si>
  <si>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</si>
  <si>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</si>
  <si>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</si>
  <si>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</si>
  <si>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</si>
  <si>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</si>
  <si>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</si>
  <si>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</si>
  <si>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</si>
  <si>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</si>
  <si>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</si>
  <si>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</si>
  <si>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</si>
  <si>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</si>
  <si>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</si>
  <si>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</si>
  <si>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</si>
  <si>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</si>
  <si>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</si>
  <si>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</si>
  <si>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</si>
  <si>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</si>
  <si>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</si>
  <si>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</si>
  <si>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</si>
  <si>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</si>
  <si>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</si>
  <si>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</si>
  <si>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</si>
  <si>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</si>
  <si>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</si>
  <si>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</si>
  <si>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</si>
  <si>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</si>
  <si>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</si>
  <si>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</si>
  <si>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</si>
  <si>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</si>
  <si>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</si>
  <si>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</si>
  <si>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</si>
  <si>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</si>
  <si>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</si>
  <si>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</si>
  <si>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</si>
  <si>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</si>
  <si>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</si>
  <si>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</si>
  <si>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</si>
  <si>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</si>
  <si>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</si>
  <si>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</si>
  <si>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</si>
  <si>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</si>
  <si>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</si>
  <si>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</si>
  <si>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</si>
  <si>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</si>
  <si>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</si>
  <si>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</si>
  <si>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</si>
  <si>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</si>
  <si>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</si>
  <si>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</si>
  <si>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</si>
  <si>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</si>
  <si>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</si>
  <si>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</si>
  <si>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</si>
  <si>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</si>
  <si>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</si>
  <si>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</si>
  <si>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</si>
  <si>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</si>
  <si>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</si>
  <si>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</si>
  <si>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</si>
  <si>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</si>
  <si>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</si>
  <si>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</si>
  <si>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</si>
  <si>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</si>
  <si>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</si>
  <si>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</si>
  <si>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</si>
  <si>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</si>
  <si>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</si>
  <si>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</si>
  <si>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</si>
  <si>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</si>
  <si>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</si>
  <si>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</si>
  <si>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</si>
  <si>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</si>
  <si>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</si>
  <si>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</si>
  <si>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</si>
  <si>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</si>
  <si>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</si>
  <si>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</si>
  <si>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</si>
  <si>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</si>
  <si>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</si>
  <si>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</si>
  <si>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</si>
  <si>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</si>
  <si>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</si>
  <si>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</si>
  <si>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</si>
  <si>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</si>
  <si>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</si>
  <si>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</si>
  <si>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</si>
  <si>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</si>
  <si>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</si>
  <si>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</si>
  <si>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</si>
  <si>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</si>
  <si>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</si>
  <si>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</si>
  <si>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</si>
  <si>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</si>
  <si>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</si>
  <si>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</si>
  <si>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</si>
  <si>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</si>
  <si>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</si>
  <si>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</si>
  <si>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</si>
  <si>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</si>
  <si>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</si>
  <si>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</si>
  <si>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</si>
  <si>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</si>
  <si>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</si>
  <si>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</si>
  <si>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</si>
  <si>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</si>
  <si>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</si>
  <si>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</si>
  <si>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</si>
  <si>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</si>
  <si>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</si>
  <si>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</si>
  <si>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</si>
  <si>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</si>
  <si>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</si>
  <si>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</si>
  <si>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</si>
  <si>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</si>
  <si>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</si>
  <si>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</si>
  <si>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</si>
  <si>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</si>
  <si>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</si>
  <si>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</si>
  <si>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</si>
  <si>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</si>
  <si>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</si>
  <si>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</si>
  <si>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</si>
  <si>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</si>
  <si>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</si>
  <si>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</si>
  <si>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</si>
  <si>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</si>
  <si>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</si>
  <si>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</si>
  <si>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</si>
  <si>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</si>
  <si>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</si>
  <si>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</si>
  <si>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</si>
  <si>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</si>
  <si>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</si>
  <si>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</si>
  <si>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</si>
  <si>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</si>
  <si>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</si>
  <si>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</si>
  <si>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</si>
  <si>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</si>
  <si>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</si>
  <si>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</si>
  <si>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</si>
  <si>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</si>
  <si>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</si>
  <si>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</si>
  <si>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</si>
  <si>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</si>
  <si>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</si>
  <si>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</si>
  <si>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</si>
  <si>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</si>
  <si>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</si>
  <si>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</si>
  <si>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</si>
  <si>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</si>
  <si>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</si>
  <si>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</si>
  <si>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</si>
  <si>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</si>
  <si>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</si>
  <si>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</si>
  <si>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</si>
  <si>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</si>
  <si>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</si>
  <si>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</si>
  <si>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</si>
  <si>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</si>
  <si>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</si>
  <si>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</si>
  <si>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</si>
  <si>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</si>
  <si>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</si>
  <si>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</si>
  <si>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</si>
  <si>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</si>
  <si>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</si>
  <si>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</si>
  <si>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</si>
  <si>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</si>
  <si>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</si>
  <si>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</si>
  <si>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</si>
  <si>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</si>
  <si>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</si>
  <si>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</si>
  <si>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</si>
  <si>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</si>
  <si>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</si>
  <si>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</si>
  <si>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</si>
  <si>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</si>
  <si>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</si>
  <si>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</si>
  <si>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</si>
  <si>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</si>
  <si>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</si>
  <si>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</si>
  <si>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</si>
  <si>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</si>
  <si>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</si>
  <si>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</si>
  <si>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</si>
  <si>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</si>
  <si>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</si>
  <si>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</si>
  <si>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</si>
  <si>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</si>
  <si>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</si>
  <si>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</si>
  <si>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</si>
  <si>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</si>
  <si>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</si>
  <si>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</si>
  <si>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</si>
  <si>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</si>
  <si>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</si>
  <si>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</si>
  <si>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</si>
  <si>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</si>
  <si>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</si>
  <si>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</si>
  <si>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</si>
  <si>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</si>
  <si>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</si>
  <si>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</si>
  <si>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</si>
  <si>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</si>
  <si>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</si>
  <si>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</si>
  <si>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</si>
  <si>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</si>
  <si>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</si>
  <si>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</si>
  <si>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</si>
  <si>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</si>
  <si>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</si>
  <si>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</si>
  <si>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</si>
  <si>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</si>
  <si>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</si>
  <si>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</si>
  <si>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</si>
  <si>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</si>
  <si>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</si>
  <si>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</si>
  <si>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</si>
  <si>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</si>
  <si>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</si>
  <si>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</si>
  <si>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</si>
  <si>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</si>
  <si>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</si>
  <si>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</si>
  <si>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</si>
  <si>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</si>
  <si>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</si>
  <si>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</si>
  <si>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</si>
  <si>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</si>
  <si>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</si>
  <si>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</si>
  <si>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</si>
  <si>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</si>
  <si>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</si>
  <si>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</si>
  <si>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</si>
  <si>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</si>
  <si>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</si>
  <si>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</si>
  <si>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</si>
  <si>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</si>
  <si>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</si>
  <si>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</si>
  <si>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</si>
  <si>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</si>
  <si>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</si>
  <si>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</si>
  <si>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</si>
  <si>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</si>
  <si>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</si>
  <si>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</si>
  <si>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</si>
  <si>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</si>
  <si>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</si>
  <si>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</si>
  <si>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</si>
  <si>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</si>
  <si>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</si>
  <si>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</si>
  <si>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</si>
  <si>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</si>
  <si>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</si>
  <si>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</si>
  <si>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</si>
  <si>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</si>
  <si>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</si>
  <si>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</si>
  <si>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</si>
  <si>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</si>
  <si>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</si>
  <si>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</si>
  <si>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</si>
  <si>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</si>
  <si>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</si>
  <si>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</si>
  <si>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</si>
  <si>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</si>
  <si>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</si>
  <si>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</si>
  <si>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</si>
  <si>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</si>
  <si>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</si>
  <si>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</si>
  <si>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</si>
  <si>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</si>
  <si>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</si>
  <si>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</si>
  <si>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</si>
  <si>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</si>
  <si>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</si>
  <si>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14</t>
    </r>
    <r>
      <rPr>
        <sz val="10"/>
        <color theme="9" tint="-0.249977111117893"/>
        <rFont val="宋体"/>
        <family val="3"/>
        <charset val="134"/>
      </rPr>
      <t>层</t>
    </r>
    <r>
      <rPr>
        <sz val="10"/>
        <color theme="9" tint="-0.249977111117893"/>
        <rFont val="Arial"/>
        <family val="2"/>
      </rPr>
      <t>51706</t>
    </r>
    <r>
      <rPr>
        <sz val="10"/>
        <color theme="9" tint="-0.249977111117893"/>
        <rFont val="宋体"/>
        <family val="3"/>
        <charset val="134"/>
      </rPr>
      <t>等</t>
    </r>
    <r>
      <rPr>
        <sz val="10"/>
        <color theme="9" tint="-0.249977111117893"/>
        <rFont val="Arial"/>
        <family val="2"/>
      </rPr>
      <t>18</t>
    </r>
    <r>
      <rPr>
        <sz val="10"/>
        <color theme="9" tint="-0.249977111117893"/>
        <rFont val="宋体"/>
        <family val="3"/>
        <charset val="134"/>
      </rPr>
      <t>套办公用房</t>
    </r>
    <phoneticPr fontId="7" type="noConversion"/>
  </si>
  <si>
    <t>成新度</t>
  </si>
  <si>
    <t>现房</t>
  </si>
  <si>
    <t>综合项目（商业、办公）</t>
  </si>
  <si>
    <t>序号</t>
    <phoneticPr fontId="135" type="noConversion"/>
  </si>
  <si>
    <t>证号</t>
    <phoneticPr fontId="135" type="noConversion"/>
  </si>
  <si>
    <t>东城区南竹杆胡同2号1幢14层51706</t>
    <phoneticPr fontId="135" type="noConversion"/>
  </si>
  <si>
    <t>坐落</t>
    <phoneticPr fontId="135" type="noConversion"/>
  </si>
  <si>
    <r>
      <t>京（2</t>
    </r>
    <r>
      <rPr>
        <sz val="11"/>
        <color theme="1"/>
        <rFont val="宋体"/>
        <family val="3"/>
        <charset val="134"/>
        <scheme val="minor"/>
      </rPr>
      <t>023）东不动产权第0017430号</t>
    </r>
    <phoneticPr fontId="135" type="noConversion"/>
  </si>
  <si>
    <t>用途</t>
    <phoneticPr fontId="135" type="noConversion"/>
  </si>
  <si>
    <t>办公</t>
    <phoneticPr fontId="135" type="noConversion"/>
  </si>
  <si>
    <t>房屋总层数</t>
    <phoneticPr fontId="135" type="noConversion"/>
  </si>
  <si>
    <t>所在楼层</t>
    <phoneticPr fontId="135" type="noConversion"/>
  </si>
  <si>
    <t>建筑面积</t>
    <phoneticPr fontId="135" type="noConversion"/>
  </si>
  <si>
    <t>权利人</t>
    <phoneticPr fontId="135" type="noConversion"/>
  </si>
  <si>
    <t>北京晟衡科技有限公司</t>
    <phoneticPr fontId="135" type="noConversion"/>
  </si>
  <si>
    <t>东城区南竹杆胡同2号1幢14层51707</t>
  </si>
  <si>
    <t>东城区南竹杆胡同2号1幢14层51708</t>
  </si>
  <si>
    <t>东城区南竹杆胡同2号1幢14层51709</t>
  </si>
  <si>
    <t>东城区南竹杆胡同2号1幢14层51710</t>
  </si>
  <si>
    <t>东城区南竹杆胡同2号1幢14层51711</t>
  </si>
  <si>
    <t>东城区南竹杆胡同2号1幢14层51712</t>
  </si>
  <si>
    <t>东城区南竹杆胡同2号1幢14层51715</t>
    <phoneticPr fontId="135" type="noConversion"/>
  </si>
  <si>
    <t>东城区南竹杆胡同2号1幢14层51716</t>
  </si>
  <si>
    <t>东城区南竹杆胡同2号1幢14层51717</t>
  </si>
  <si>
    <t>东城区南竹杆胡同2号1幢14层51718</t>
  </si>
  <si>
    <t>东城区南竹杆胡同2号1幢14层51719</t>
  </si>
  <si>
    <t>东城区南竹杆胡同2号1幢14层51720</t>
  </si>
  <si>
    <t>东城区南竹杆胡同2号1幢14层51721</t>
  </si>
  <si>
    <t>东城区南竹杆胡同2号1幢14层51722</t>
  </si>
  <si>
    <t>东城区南竹杆胡同2号1幢14层51723</t>
  </si>
  <si>
    <t>东城区南竹杆胡同2号1幢14层51725</t>
    <phoneticPr fontId="135" type="noConversion"/>
  </si>
  <si>
    <t>东城区南竹杆胡同2号1幢14层51726</t>
  </si>
  <si>
    <t>15（-3）</t>
    <phoneticPr fontId="135" type="noConversion"/>
  </si>
  <si>
    <t>部位及房号</t>
    <phoneticPr fontId="135" type="noConversion"/>
  </si>
  <si>
    <t>幢号</t>
    <phoneticPr fontId="135" type="noConversion"/>
  </si>
  <si>
    <t>1幢</t>
    <phoneticPr fontId="135" type="noConversion"/>
  </si>
  <si>
    <r>
      <t>京（2023）东不动产权第0017429号</t>
    </r>
    <r>
      <rPr>
        <sz val="11"/>
        <color theme="1"/>
        <rFont val="宋体"/>
        <family val="2"/>
        <charset val="134"/>
        <scheme val="minor"/>
      </rPr>
      <t/>
    </r>
    <phoneticPr fontId="135" type="noConversion"/>
  </si>
  <si>
    <t>京（2023）东不动产权第0017426号</t>
    <phoneticPr fontId="135" type="noConversion"/>
  </si>
  <si>
    <t>京（2023）东不动产权第0017425号</t>
    <phoneticPr fontId="135" type="noConversion"/>
  </si>
  <si>
    <t>京（2023）东不动产权第0017433号</t>
    <phoneticPr fontId="135" type="noConversion"/>
  </si>
  <si>
    <t>京（2023）东不动产权第0017428号</t>
    <phoneticPr fontId="135" type="noConversion"/>
  </si>
  <si>
    <t>京（2023）东不动产权第0017432号</t>
    <phoneticPr fontId="135" type="noConversion"/>
  </si>
  <si>
    <t>京（2023）东不动产权第0017360号</t>
    <phoneticPr fontId="135" type="noConversion"/>
  </si>
  <si>
    <t>京（2023）东不动产权第0017362号</t>
    <phoneticPr fontId="135" type="noConversion"/>
  </si>
  <si>
    <t>京（2023）东不动产权第0017381号</t>
    <phoneticPr fontId="135" type="noConversion"/>
  </si>
  <si>
    <t>京（2023）东不动产权第0017361号</t>
    <phoneticPr fontId="135" type="noConversion"/>
  </si>
  <si>
    <t>京（2023）东不动产权第0017373号</t>
    <phoneticPr fontId="135" type="noConversion"/>
  </si>
  <si>
    <t>京（2023）东不动产权第0017374号</t>
    <phoneticPr fontId="135" type="noConversion"/>
  </si>
  <si>
    <t>京（2023）东不动产权第0017372号</t>
    <phoneticPr fontId="135" type="noConversion"/>
  </si>
  <si>
    <t>京（2023）东不动产权第0017384号</t>
    <phoneticPr fontId="135" type="noConversion"/>
  </si>
  <si>
    <t>京（2023）东不动产权第0017378号</t>
    <phoneticPr fontId="135" type="noConversion"/>
  </si>
  <si>
    <t>京（2023）东不动产权第0017349号</t>
    <phoneticPr fontId="135" type="noConversion"/>
  </si>
  <si>
    <t>京（2023）东不动产权第0017341号</t>
    <phoneticPr fontId="135" type="noConversion"/>
  </si>
  <si>
    <t>合计</t>
    <phoneticPr fontId="135" type="noConversion"/>
  </si>
  <si>
    <t>是</t>
  </si>
  <si>
    <t>地上</t>
  </si>
  <si>
    <t>办公-基准户型51706</t>
  </si>
  <si>
    <t>办公-基准户型51706</t>
    <phoneticPr fontId="8" type="noConversion"/>
  </si>
  <si>
    <t>基准户型-51706</t>
    <phoneticPr fontId="25" type="noConversion"/>
  </si>
  <si>
    <t>收益法 (元)</t>
  </si>
  <si>
    <t>押一</t>
  </si>
  <si>
    <t>钢混</t>
  </si>
  <si>
    <t>非生产用房</t>
  </si>
  <si>
    <t>否</t>
  </si>
  <si>
    <t>售价</t>
  </si>
  <si>
    <t>单套模式</t>
  </si>
  <si>
    <t>正常</t>
  </si>
  <si>
    <t>办公</t>
    <phoneticPr fontId="32" type="noConversion"/>
  </si>
  <si>
    <t>挂牌</t>
  </si>
  <si>
    <t>挂牌</t>
    <phoneticPr fontId="32"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</si>
  <si>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</si>
  <si>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</si>
  <si>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</si>
  <si>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</si>
  <si>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</si>
  <si>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高区</t>
  </si>
  <si>
    <t>高区</t>
    <phoneticPr fontId="32" type="noConversion"/>
  </si>
  <si>
    <t>中区</t>
  </si>
  <si>
    <t>中区</t>
    <phoneticPr fontId="32" type="noConversion"/>
  </si>
  <si>
    <t>低区</t>
    <phoneticPr fontId="32" type="noConversion"/>
  </si>
  <si>
    <t>办公楼</t>
  </si>
  <si>
    <t>办公楼</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</si>
  <si>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</si>
  <si>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</si>
  <si>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</si>
  <si>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</si>
  <si>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</si>
  <si>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</si>
  <si>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标准层高</t>
  </si>
  <si>
    <t>标准层高</t>
    <phoneticPr fontId="32" type="noConversion"/>
  </si>
  <si>
    <t>专业</t>
  </si>
  <si>
    <t>专业</t>
    <phoneticPr fontId="32" type="noConversion"/>
  </si>
  <si>
    <t>较好</t>
  </si>
  <si>
    <t>七通</t>
  </si>
  <si>
    <t>租售比</t>
    <phoneticPr fontId="4" type="noConversion"/>
  </si>
  <si>
    <t>比较法-办公</t>
  </si>
  <si>
    <t>楼面单价</t>
  </si>
  <si>
    <t>成本比率</t>
  </si>
  <si>
    <t>万邦大厦</t>
    <phoneticPr fontId="4" type="noConversion"/>
  </si>
  <si>
    <t>朝外MEN</t>
    <phoneticPr fontId="4" type="noConversion"/>
  </si>
  <si>
    <t>华声国际大厦</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</si>
</sst>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NumberFormat="1" applyFont="1" applyAlignment="1" applyProtection="1">
      <alignment horizontal="left" vertical="center"/>
      <protection locked="0"/>
    </xf>
    <xf numFmtId="2" fontId="145" fillId="13" borderId="0" xfId="9" applyNumberFormat="1" applyFont="1" applyFill="1" applyAlignment="1" applyProtection="1">
      <alignment horizontal="right" vertical="center"/>
    </xf>
    <xf numFmtId="2" fontId="145" fillId="21" borderId="0" xfId="9" applyNumberFormat="1" applyFont="1" applyFill="1" applyAlignment="1" applyProtection="1">
      <alignment horizontal="right" vertical="center"/>
    </xf>
    <xf numFmtId="0" fontId="145" fillId="13" borderId="0" xfId="9" applyNumberFormat="1" applyFont="1" applyFill="1" applyAlignment="1" applyProtection="1">
      <alignment horizontal="right" vertical="center"/>
    </xf>
    <xf numFmtId="0" fontId="145"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8" fillId="6" borderId="1"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24"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9" xfId="0" applyFont="1" applyFill="1" applyBorder="1" applyAlignment="1" applyProtection="1">
      <alignment horizontal="left" vertical="center"/>
    </xf>
    <xf numFmtId="0" fontId="108" fillId="6" borderId="75" xfId="0" applyNumberFormat="1" applyFont="1" applyFill="1" applyBorder="1" applyAlignment="1" applyProtection="1">
      <alignment horizontal="left" vertical="center"/>
    </xf>
    <xf numFmtId="0" fontId="108" fillId="6" borderId="73" xfId="0" applyNumberFormat="1" applyFont="1" applyFill="1" applyBorder="1" applyAlignment="1" applyProtection="1">
      <alignment horizontal="left" vertical="center"/>
    </xf>
    <xf numFmtId="0" fontId="108" fillId="6" borderId="76"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0" fontId="108" fillId="6" borderId="32"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183" fontId="48" fillId="8" borderId="1" xfId="0" applyNumberFormat="1" applyFont="1" applyFill="1" applyBorder="1" applyAlignment="1" applyProtection="1">
      <alignment horizontal="center" vertical="center" shrinkToFit="1"/>
      <protection locked="0"/>
    </xf>
    <xf numFmtId="0" fontId="96" fillId="0" borderId="0" xfId="0" applyFont="1" applyAlignment="1">
      <alignment horizontal="left" vertical="center"/>
    </xf>
    <xf numFmtId="0" fontId="97" fillId="0" borderId="0" xfId="0" applyFont="1" applyAlignment="1">
      <alignment horizontal="left" vertical="center"/>
    </xf>
    <xf numFmtId="0" fontId="177" fillId="0" borderId="1" xfId="0" applyFont="1" applyFill="1" applyBorder="1" applyAlignment="1" applyProtection="1">
      <alignment horizontal="center" vertical="center"/>
      <protection locked="0"/>
    </xf>
    <xf numFmtId="0" fontId="54" fillId="0" borderId="1" xfId="0" applyFont="1" applyFill="1" applyBorder="1" applyAlignment="1" applyProtection="1">
      <alignment horizontal="center"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5009524"/>
        </a:xfrm>
        <a:prstGeom prst="rect">
          <a:avLst/>
        </a:prstGeom>
      </xdr:spPr>
    </xdr:pic>
    <xdr:clientData/>
  </xdr:twoCellAnchor>
  <xdr:twoCellAnchor editAs="oneCell">
    <xdr:from>
      <xdr:col>6</xdr:col>
      <xdr:colOff>95250</xdr:colOff>
      <xdr:row>0</xdr:row>
      <xdr:rowOff>76200</xdr:rowOff>
    </xdr:from>
    <xdr:to>
      <xdr:col>12</xdr:col>
      <xdr:colOff>37593</xdr:colOff>
      <xdr:row>23</xdr:row>
      <xdr:rowOff>9041</xdr:rowOff>
    </xdr:to>
    <xdr:pic>
      <xdr:nvPicPr>
        <xdr:cNvPr id="3" name="图片 2"/>
        <xdr:cNvPicPr>
          <a:picLocks noChangeAspect="1"/>
        </xdr:cNvPicPr>
      </xdr:nvPicPr>
      <xdr:blipFill>
        <a:blip xmlns:r="http://schemas.openxmlformats.org/officeDocument/2006/relationships" r:embed="rId2"/>
        <a:stretch>
          <a:fillRect/>
        </a:stretch>
      </xdr:blipFill>
      <xdr:spPr>
        <a:xfrm>
          <a:off x="4210050" y="76200"/>
          <a:ext cx="4057143" cy="3876191"/>
        </a:xfrm>
        <a:prstGeom prst="rect">
          <a:avLst/>
        </a:prstGeom>
      </xdr:spPr>
    </xdr:pic>
    <xdr:clientData/>
  </xdr:twoCellAnchor>
  <xdr:twoCellAnchor editAs="oneCell">
    <xdr:from>
      <xdr:col>12</xdr:col>
      <xdr:colOff>19050</xdr:colOff>
      <xdr:row>0</xdr:row>
      <xdr:rowOff>0</xdr:rowOff>
    </xdr:from>
    <xdr:to>
      <xdr:col>17</xdr:col>
      <xdr:colOff>571003</xdr:colOff>
      <xdr:row>7</xdr:row>
      <xdr:rowOff>37945</xdr:rowOff>
    </xdr:to>
    <xdr:pic>
      <xdr:nvPicPr>
        <xdr:cNvPr id="4" name="图片 3"/>
        <xdr:cNvPicPr>
          <a:picLocks noChangeAspect="1"/>
        </xdr:cNvPicPr>
      </xdr:nvPicPr>
      <xdr:blipFill>
        <a:blip xmlns:r="http://schemas.openxmlformats.org/officeDocument/2006/relationships" r:embed="rId3"/>
        <a:stretch>
          <a:fillRect/>
        </a:stretch>
      </xdr:blipFill>
      <xdr:spPr>
        <a:xfrm>
          <a:off x="8248650" y="0"/>
          <a:ext cx="3980953" cy="1238095"/>
        </a:xfrm>
        <a:prstGeom prst="rect">
          <a:avLst/>
        </a:prstGeom>
      </xdr:spPr>
    </xdr:pic>
    <xdr:clientData/>
  </xdr:twoCellAnchor>
  <xdr:twoCellAnchor editAs="oneCell">
    <xdr:from>
      <xdr:col>12</xdr:col>
      <xdr:colOff>0</xdr:colOff>
      <xdr:row>8</xdr:row>
      <xdr:rowOff>0</xdr:rowOff>
    </xdr:from>
    <xdr:to>
      <xdr:col>17</xdr:col>
      <xdr:colOff>599572</xdr:colOff>
      <xdr:row>25</xdr:row>
      <xdr:rowOff>152017</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1371600"/>
          <a:ext cx="4028572" cy="3066667"/>
        </a:xfrm>
        <a:prstGeom prst="rect">
          <a:avLst/>
        </a:prstGeom>
      </xdr:spPr>
    </xdr:pic>
    <xdr:clientData/>
  </xdr:twoCellAnchor>
  <xdr:twoCellAnchor editAs="oneCell">
    <xdr:from>
      <xdr:col>0</xdr:col>
      <xdr:colOff>0</xdr:colOff>
      <xdr:row>31</xdr:row>
      <xdr:rowOff>0</xdr:rowOff>
    </xdr:from>
    <xdr:to>
      <xdr:col>5</xdr:col>
      <xdr:colOff>551953</xdr:colOff>
      <xdr:row>52</xdr:row>
      <xdr:rowOff>113836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314950"/>
          <a:ext cx="3980953" cy="3714286"/>
        </a:xfrm>
        <a:prstGeom prst="rect">
          <a:avLst/>
        </a:prstGeom>
      </xdr:spPr>
    </xdr:pic>
    <xdr:clientData/>
  </xdr:twoCellAnchor>
  <xdr:twoCellAnchor editAs="oneCell">
    <xdr:from>
      <xdr:col>5</xdr:col>
      <xdr:colOff>619125</xdr:colOff>
      <xdr:row>34</xdr:row>
      <xdr:rowOff>38100</xdr:rowOff>
    </xdr:from>
    <xdr:to>
      <xdr:col>11</xdr:col>
      <xdr:colOff>647182</xdr:colOff>
      <xdr:row>50</xdr:row>
      <xdr:rowOff>37757</xdr:rowOff>
    </xdr:to>
    <xdr:pic>
      <xdr:nvPicPr>
        <xdr:cNvPr id="7" name="图片 6"/>
        <xdr:cNvPicPr>
          <a:picLocks noChangeAspect="1"/>
        </xdr:cNvPicPr>
      </xdr:nvPicPr>
      <xdr:blipFill>
        <a:blip xmlns:r="http://schemas.openxmlformats.org/officeDocument/2006/relationships" r:embed="rId6"/>
        <a:stretch>
          <a:fillRect/>
        </a:stretch>
      </xdr:blipFill>
      <xdr:spPr>
        <a:xfrm>
          <a:off x="4048125" y="5867400"/>
          <a:ext cx="4142857" cy="2742857"/>
        </a:xfrm>
        <a:prstGeom prst="rect">
          <a:avLst/>
        </a:prstGeom>
      </xdr:spPr>
    </xdr:pic>
    <xdr:clientData/>
  </xdr:twoCellAnchor>
  <xdr:twoCellAnchor editAs="oneCell">
    <xdr:from>
      <xdr:col>6</xdr:col>
      <xdr:colOff>0</xdr:colOff>
      <xdr:row>26</xdr:row>
      <xdr:rowOff>0</xdr:rowOff>
    </xdr:from>
    <xdr:to>
      <xdr:col>12</xdr:col>
      <xdr:colOff>9010</xdr:colOff>
      <xdr:row>33</xdr:row>
      <xdr:rowOff>123660</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4457700"/>
          <a:ext cx="4123810"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31</xdr:row>
      <xdr:rowOff>8860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5323810"/>
        </a:xfrm>
        <a:prstGeom prst="rect">
          <a:avLst/>
        </a:prstGeom>
      </xdr:spPr>
    </xdr:pic>
    <xdr:clientData/>
  </xdr:twoCellAnchor>
  <xdr:twoCellAnchor editAs="oneCell">
    <xdr:from>
      <xdr:col>8</xdr:col>
      <xdr:colOff>0</xdr:colOff>
      <xdr:row>0</xdr:row>
      <xdr:rowOff>0</xdr:rowOff>
    </xdr:from>
    <xdr:to>
      <xdr:col>16</xdr:col>
      <xdr:colOff>56458</xdr:colOff>
      <xdr:row>30</xdr:row>
      <xdr:rowOff>142215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5542858" cy="5285715"/>
        </a:xfrm>
        <a:prstGeom prst="rect">
          <a:avLst/>
        </a:prstGeom>
      </xdr:spPr>
    </xdr:pic>
    <xdr:clientData/>
  </xdr:twoCellAnchor>
  <xdr:twoCellAnchor editAs="oneCell">
    <xdr:from>
      <xdr:col>0</xdr:col>
      <xdr:colOff>0</xdr:colOff>
      <xdr:row>32</xdr:row>
      <xdr:rowOff>0</xdr:rowOff>
    </xdr:from>
    <xdr:to>
      <xdr:col>7</xdr:col>
      <xdr:colOff>637496</xdr:colOff>
      <xdr:row>62</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5438096" cy="5257143"/>
        </a:xfrm>
        <a:prstGeom prst="rect">
          <a:avLst/>
        </a:prstGeom>
      </xdr:spPr>
    </xdr:pic>
    <xdr:clientData/>
  </xdr:twoCellAnchor>
  <xdr:twoCellAnchor editAs="oneCell">
    <xdr:from>
      <xdr:col>8</xdr:col>
      <xdr:colOff>0</xdr:colOff>
      <xdr:row>32</xdr:row>
      <xdr:rowOff>0</xdr:rowOff>
    </xdr:from>
    <xdr:to>
      <xdr:col>16</xdr:col>
      <xdr:colOff>85029</xdr:colOff>
      <xdr:row>63</xdr:row>
      <xdr:rowOff>37431</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5486400"/>
          <a:ext cx="5571429" cy="5352381"/>
        </a:xfrm>
        <a:prstGeom prst="rect">
          <a:avLst/>
        </a:prstGeom>
      </xdr:spPr>
    </xdr:pic>
    <xdr:clientData/>
  </xdr:twoCellAnchor>
  <xdr:twoCellAnchor editAs="oneCell">
    <xdr:from>
      <xdr:col>0</xdr:col>
      <xdr:colOff>0</xdr:colOff>
      <xdr:row>65</xdr:row>
      <xdr:rowOff>0</xdr:rowOff>
    </xdr:from>
    <xdr:to>
      <xdr:col>8</xdr:col>
      <xdr:colOff>46934</xdr:colOff>
      <xdr:row>95</xdr:row>
      <xdr:rowOff>113643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5533334" cy="5257143"/>
        </a:xfrm>
        <a:prstGeom prst="rect">
          <a:avLst/>
        </a:prstGeom>
      </xdr:spPr>
    </xdr:pic>
    <xdr:clientData/>
  </xdr:twoCellAnchor>
  <xdr:twoCellAnchor editAs="oneCell">
    <xdr:from>
      <xdr:col>0</xdr:col>
      <xdr:colOff>0</xdr:colOff>
      <xdr:row>96</xdr:row>
      <xdr:rowOff>0</xdr:rowOff>
    </xdr:from>
    <xdr:to>
      <xdr:col>7</xdr:col>
      <xdr:colOff>551781</xdr:colOff>
      <xdr:row>114</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59200"/>
          <a:ext cx="5352381" cy="3190476"/>
        </a:xfrm>
        <a:prstGeom prst="rect">
          <a:avLst/>
        </a:prstGeom>
      </xdr:spPr>
    </xdr:pic>
    <xdr:clientData/>
  </xdr:twoCellAnchor>
  <xdr:twoCellAnchor editAs="oneCell">
    <xdr:from>
      <xdr:col>7</xdr:col>
      <xdr:colOff>666750</xdr:colOff>
      <xdr:row>79</xdr:row>
      <xdr:rowOff>66675</xdr:rowOff>
    </xdr:from>
    <xdr:to>
      <xdr:col>15</xdr:col>
      <xdr:colOff>437493</xdr:colOff>
      <xdr:row>110</xdr:row>
      <xdr:rowOff>27916</xdr:rowOff>
    </xdr:to>
    <xdr:pic>
      <xdr:nvPicPr>
        <xdr:cNvPr id="10" name="图片 9"/>
        <xdr:cNvPicPr>
          <a:picLocks noChangeAspect="1"/>
        </xdr:cNvPicPr>
      </xdr:nvPicPr>
      <xdr:blipFill>
        <a:blip xmlns:r="http://schemas.openxmlformats.org/officeDocument/2006/relationships" r:embed="rId7"/>
        <a:stretch>
          <a:fillRect/>
        </a:stretch>
      </xdr:blipFill>
      <xdr:spPr>
        <a:xfrm>
          <a:off x="5467350" y="13611225"/>
          <a:ext cx="5257143" cy="5276191"/>
        </a:xfrm>
        <a:prstGeom prst="rect">
          <a:avLst/>
        </a:prstGeom>
      </xdr:spPr>
    </xdr:pic>
    <xdr:clientData/>
  </xdr:twoCellAnchor>
  <xdr:twoCellAnchor editAs="oneCell">
    <xdr:from>
      <xdr:col>0</xdr:col>
      <xdr:colOff>0</xdr:colOff>
      <xdr:row>117</xdr:row>
      <xdr:rowOff>0</xdr:rowOff>
    </xdr:from>
    <xdr:to>
      <xdr:col>7</xdr:col>
      <xdr:colOff>599400</xdr:colOff>
      <xdr:row>148</xdr:row>
      <xdr:rowOff>27908</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5546050"/>
          <a:ext cx="5400000" cy="5342858"/>
        </a:xfrm>
        <a:prstGeom prst="rect">
          <a:avLst/>
        </a:prstGeom>
      </xdr:spPr>
    </xdr:pic>
    <xdr:clientData/>
  </xdr:twoCellAnchor>
  <xdr:twoCellAnchor editAs="oneCell">
    <xdr:from>
      <xdr:col>8</xdr:col>
      <xdr:colOff>0</xdr:colOff>
      <xdr:row>117</xdr:row>
      <xdr:rowOff>0</xdr:rowOff>
    </xdr:from>
    <xdr:to>
      <xdr:col>16</xdr:col>
      <xdr:colOff>65981</xdr:colOff>
      <xdr:row>147</xdr:row>
      <xdr:rowOff>94596</xdr:rowOff>
    </xdr:to>
    <xdr:pic>
      <xdr:nvPicPr>
        <xdr:cNvPr id="12" name="图片 11"/>
        <xdr:cNvPicPr>
          <a:picLocks noChangeAspect="1"/>
        </xdr:cNvPicPr>
      </xdr:nvPicPr>
      <xdr:blipFill>
        <a:blip xmlns:r="http://schemas.openxmlformats.org/officeDocument/2006/relationships" r:embed="rId9"/>
        <a:stretch>
          <a:fillRect/>
        </a:stretch>
      </xdr:blipFill>
      <xdr:spPr>
        <a:xfrm>
          <a:off x="5486400" y="25546050"/>
          <a:ext cx="5552381" cy="5238096"/>
        </a:xfrm>
        <a:prstGeom prst="rect">
          <a:avLst/>
        </a:prstGeom>
      </xdr:spPr>
    </xdr:pic>
    <xdr:clientData/>
  </xdr:twoCellAnchor>
  <xdr:twoCellAnchor editAs="oneCell">
    <xdr:from>
      <xdr:col>0</xdr:col>
      <xdr:colOff>0</xdr:colOff>
      <xdr:row>149</xdr:row>
      <xdr:rowOff>0</xdr:rowOff>
    </xdr:from>
    <xdr:to>
      <xdr:col>7</xdr:col>
      <xdr:colOff>589877</xdr:colOff>
      <xdr:row>180</xdr:row>
      <xdr:rowOff>132669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31032450"/>
          <a:ext cx="5390477" cy="5447619"/>
        </a:xfrm>
        <a:prstGeom prst="rect">
          <a:avLst/>
        </a:prstGeom>
      </xdr:spPr>
    </xdr:pic>
    <xdr:clientData/>
  </xdr:twoCellAnchor>
  <xdr:twoCellAnchor editAs="oneCell">
    <xdr:from>
      <xdr:col>0</xdr:col>
      <xdr:colOff>0</xdr:colOff>
      <xdr:row>181</xdr:row>
      <xdr:rowOff>85725</xdr:rowOff>
    </xdr:from>
    <xdr:to>
      <xdr:col>7</xdr:col>
      <xdr:colOff>389877</xdr:colOff>
      <xdr:row>212</xdr:row>
      <xdr:rowOff>94585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31118175"/>
          <a:ext cx="5190477" cy="5323810"/>
        </a:xfrm>
        <a:prstGeom prst="rect">
          <a:avLst/>
        </a:prstGeom>
      </xdr:spPr>
    </xdr:pic>
    <xdr:clientData/>
  </xdr:twoCellAnchor>
  <xdr:twoCellAnchor editAs="oneCell">
    <xdr:from>
      <xdr:col>7</xdr:col>
      <xdr:colOff>542925</xdr:colOff>
      <xdr:row>180</xdr:row>
      <xdr:rowOff>66675</xdr:rowOff>
    </xdr:from>
    <xdr:to>
      <xdr:col>15</xdr:col>
      <xdr:colOff>380335</xdr:colOff>
      <xdr:row>206</xdr:row>
      <xdr:rowOff>56594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5343525" y="36414075"/>
          <a:ext cx="5323810" cy="4447619"/>
        </a:xfrm>
        <a:prstGeom prst="rect">
          <a:avLst/>
        </a:prstGeom>
      </xdr:spPr>
    </xdr:pic>
    <xdr:clientData/>
  </xdr:twoCellAnchor>
  <xdr:twoCellAnchor editAs="oneCell">
    <xdr:from>
      <xdr:col>0</xdr:col>
      <xdr:colOff>0</xdr:colOff>
      <xdr:row>214</xdr:row>
      <xdr:rowOff>0</xdr:rowOff>
    </xdr:from>
    <xdr:to>
      <xdr:col>7</xdr:col>
      <xdr:colOff>618448</xdr:colOff>
      <xdr:row>245</xdr:row>
      <xdr:rowOff>37431</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42176700"/>
          <a:ext cx="5419048" cy="5352381"/>
        </a:xfrm>
        <a:prstGeom prst="rect">
          <a:avLst/>
        </a:prstGeom>
      </xdr:spPr>
    </xdr:pic>
    <xdr:clientData/>
  </xdr:twoCellAnchor>
  <xdr:twoCellAnchor editAs="oneCell">
    <xdr:from>
      <xdr:col>8</xdr:col>
      <xdr:colOff>0</xdr:colOff>
      <xdr:row>214</xdr:row>
      <xdr:rowOff>9525</xdr:rowOff>
    </xdr:from>
    <xdr:to>
      <xdr:col>15</xdr:col>
      <xdr:colOff>656543</xdr:colOff>
      <xdr:row>244</xdr:row>
      <xdr:rowOff>85073</xdr:rowOff>
    </xdr:to>
    <xdr:pic>
      <xdr:nvPicPr>
        <xdr:cNvPr id="17" name="图片 16"/>
        <xdr:cNvPicPr>
          <a:picLocks noChangeAspect="1"/>
        </xdr:cNvPicPr>
      </xdr:nvPicPr>
      <xdr:blipFill>
        <a:blip xmlns:r="http://schemas.openxmlformats.org/officeDocument/2006/relationships" r:embed="rId14"/>
        <a:stretch>
          <a:fillRect/>
        </a:stretch>
      </xdr:blipFill>
      <xdr:spPr>
        <a:xfrm>
          <a:off x="5486400" y="42186225"/>
          <a:ext cx="5457143" cy="5219048"/>
        </a:xfrm>
        <a:prstGeom prst="rect">
          <a:avLst/>
        </a:prstGeom>
      </xdr:spPr>
    </xdr:pic>
    <xdr:clientData/>
  </xdr:twoCellAnchor>
  <xdr:twoCellAnchor editAs="oneCell">
    <xdr:from>
      <xdr:col>8</xdr:col>
      <xdr:colOff>85725</xdr:colOff>
      <xdr:row>64</xdr:row>
      <xdr:rowOff>9525</xdr:rowOff>
    </xdr:from>
    <xdr:to>
      <xdr:col>13</xdr:col>
      <xdr:colOff>523392</xdr:colOff>
      <xdr:row>78</xdr:row>
      <xdr:rowOff>94939</xdr:rowOff>
    </xdr:to>
    <xdr:pic>
      <xdr:nvPicPr>
        <xdr:cNvPr id="18" name="图片 17"/>
        <xdr:cNvPicPr>
          <a:picLocks noChangeAspect="1"/>
        </xdr:cNvPicPr>
      </xdr:nvPicPr>
      <xdr:blipFill>
        <a:blip xmlns:r="http://schemas.openxmlformats.org/officeDocument/2006/relationships" r:embed="rId15"/>
        <a:stretch>
          <a:fillRect/>
        </a:stretch>
      </xdr:blipFill>
      <xdr:spPr>
        <a:xfrm>
          <a:off x="5572125" y="10982325"/>
          <a:ext cx="3866667" cy="2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北京市东城区南竹杆胡同2号1幢14层51706等18套办公用房房地产抵押价值预评估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受贵公司委托，我公司对北京市东城区南竹杆胡同2号1幢14层51706等18套办公用房房地产抵押价值进行了预评估。</v>
      </c>
    </row>
    <row r="7" spans="1:2" s="1202" customFormat="1">
      <c r="A7" s="1200" t="s">
        <v>566</v>
      </c>
      <c r="B7" s="1201" t="str">
        <f>'预评函-1'!A7</f>
        <v>估价对象为北京市东城区南竹杆胡同2号1幢14层51706等18套办公用房房地产，为所有。根据《国有土地使用证》[]，估价对象（分摊）出让国有建设用地使用权面积为0平方米，建筑面积为255.02平方米。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南竹杆胡同2号1幢14层51706等18套办公用房房地产,属开发建设的综合项目（商业、办公），该项目尚在开发建设中。根据《国有土地使用证》[]，估价对象（分摊）出让国有建设用地使用权面积为0平方米，规划建筑面积为255.02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2025年10月24日（评估专业人员实地查勘之日）</v>
      </c>
    </row>
    <row r="13" spans="1:2" s="1202" customFormat="1">
      <c r="A13" s="1200" t="s">
        <v>529</v>
      </c>
      <c r="B13" s="1201" t="str">
        <f>'预评函-1'!A18</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827</v>
      </c>
    </row>
    <row r="21" spans="1:2" s="1202" customFormat="1">
      <c r="A21" s="1200" t="s">
        <v>537</v>
      </c>
      <c r="B21" s="1201">
        <f ca="1">'预评函-2'!D7</f>
        <v>32429</v>
      </c>
    </row>
    <row r="22" spans="1:2" s="1202" customFormat="1">
      <c r="A22" s="1200" t="s">
        <v>538</v>
      </c>
      <c r="B22" s="1201" t="str">
        <f ca="1">'预评函-2'!D6</f>
        <v>捌佰贰拾柒万元整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827</v>
      </c>
    </row>
    <row r="31" spans="1:2" s="1202" customFormat="1">
      <c r="A31" s="1200" t="s">
        <v>576</v>
      </c>
      <c r="B31" s="1201">
        <f ca="1">'预评函-2'!D15</f>
        <v>32429</v>
      </c>
    </row>
    <row r="32" spans="1:2" s="1202" customFormat="1">
      <c r="A32" s="1200" t="s">
        <v>543</v>
      </c>
      <c r="B32" s="1201" t="str">
        <f ca="1">'预评函-2'!D14</f>
        <v>捌佰贰拾柒万元整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北京市东城区南竹杆胡同2号1幢14层51706等18套办公用房房地产</v>
      </c>
    </row>
    <row r="42" spans="1:2" s="1202" customFormat="1">
      <c r="A42" s="1200" t="s">
        <v>590</v>
      </c>
      <c r="B42" s="1201" t="str">
        <f>'预评函-3'!B2</f>
        <v>建筑面积</v>
      </c>
    </row>
    <row r="43" spans="1:2" s="1202" customFormat="1">
      <c r="A43" s="1200" t="s">
        <v>591</v>
      </c>
      <c r="B43" s="1201">
        <f>'预评函-3'!B4</f>
        <v>255.02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624</v>
      </c>
    </row>
    <row r="48" spans="1:2" s="1202" customFormat="1">
      <c r="A48" s="1200" t="s">
        <v>549</v>
      </c>
      <c r="B48" s="1201">
        <f ca="1">'预评函-3'!E4</f>
        <v>24451</v>
      </c>
    </row>
    <row r="49" spans="1:2" s="1202" customFormat="1">
      <c r="A49" s="1200" t="s">
        <v>550</v>
      </c>
      <c r="B49" s="1201" t="str">
        <f ca="1">'预评函-3'!D5</f>
        <v>陆佰贰拾肆万元整</v>
      </c>
    </row>
    <row r="50" spans="1:2" s="1202" customFormat="1">
      <c r="A50" s="1200" t="s">
        <v>574</v>
      </c>
      <c r="B50" s="1201" t="str">
        <f>'预评函-3'!F2</f>
        <v>在建建筑物价值</v>
      </c>
    </row>
    <row r="51" spans="1:2" s="1202" customFormat="1">
      <c r="A51" s="1200" t="s">
        <v>551</v>
      </c>
      <c r="B51" s="1201">
        <f ca="1">'预评函-3'!F4</f>
        <v>203</v>
      </c>
    </row>
    <row r="52" spans="1:2" s="1202" customFormat="1">
      <c r="A52" s="1200" t="s">
        <v>552</v>
      </c>
      <c r="B52" s="1201">
        <f ca="1">'预评函-3'!G4</f>
        <v>7978</v>
      </c>
    </row>
    <row r="53" spans="1:2" s="1202" customFormat="1">
      <c r="A53" s="1200" t="s">
        <v>580</v>
      </c>
      <c r="B53" s="1201" t="str">
        <f ca="1">'预评函-3'!F5</f>
        <v>贰佰零叁万元整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3" t="s">
        <v>385</v>
      </c>
      <c r="C54" s="1550" t="s">
        <v>583</v>
      </c>
    </row>
    <row r="55" spans="1:4">
      <c r="A55" s="3517"/>
      <c r="B55" s="1553" t="s">
        <v>386</v>
      </c>
      <c r="C55" s="1550" t="s">
        <v>584</v>
      </c>
    </row>
    <row r="56" spans="1:4">
      <c r="A56" s="3517"/>
      <c r="B56" s="1553" t="s">
        <v>387</v>
      </c>
      <c r="C56" s="1550" t="s">
        <v>588</v>
      </c>
    </row>
    <row r="57" spans="1:4">
      <c r="A57" s="351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18" t="s">
        <v>2579</v>
      </c>
      <c r="J2" s="3518"/>
      <c r="K2" s="3518"/>
      <c r="L2" s="3518"/>
      <c r="M2" s="3518"/>
      <c r="N2" s="3518"/>
      <c r="O2" s="3518"/>
      <c r="P2" s="3518"/>
      <c r="Q2" s="3518"/>
      <c r="R2" s="3518"/>
    </row>
    <row r="3" spans="1:18">
      <c r="A3" s="3019" t="s">
        <v>2500</v>
      </c>
      <c r="B3" s="3020">
        <f>项目基本情况!D3</f>
        <v>45954</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1.1499999999999999</v>
      </c>
      <c r="D5" s="3024">
        <f>IF(ISERROR(ROUND(POWER(1+E5,A5-C5)*(POWER(1+E5,C5)-1)/(POWER(1+E5,A5)-1),3)),0,ROUND(POWER(1+E5,A5-C5)*(POWER(1+E5,C5)-1)/(POWER(1+E5,A5)-1),4))</f>
        <v>5.57E-2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11.16</v>
      </c>
      <c r="D6" s="3024">
        <f>IF(ISERROR(ROUND(POWER(1+E6,A6-C6)*(POWER(1+E6,C6)-1)/(POWER(1+E6,A6)-1),3)),0,ROUND(POWER(1+E6,A6-C6)*(POWER(1+E6,C6)-1)/(POWER(1+E6,A6)-1),4))</f>
        <v>0.41249999999999998</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31.17</v>
      </c>
      <c r="D7" s="3024">
        <f>IF(ISERROR(ROUND(POWER(1+E7,A7-C7)*(POWER(1+E7,C7)-1)/(POWER(1+E7,A7)-1),3)),0,ROUND(POWER(1+E7,A7-C7)*(POWER(1+E7,C7)-1)/(POWER(1+E7,A7)-1),4))</f>
        <v>0.75390000000000001</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1" sqref="B1:I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7" t="str">
        <f>IF(B10="北京市","北京市",C10)&amp;F10&amp;IF(结果表!G1="在建","出让国有建设用地使用权及在建建筑物",IF(结果表!G1="土地","出让国有建设用地使用权",))&amp;B9&amp;"预评估"</f>
        <v>北京市东城区南竹杆胡同2号1幢14层51706等18套办公用房房地产抵押价值预评估</v>
      </c>
      <c r="C1" s="3528"/>
      <c r="D1" s="3528"/>
      <c r="E1" s="3528"/>
      <c r="F1" s="3528"/>
      <c r="G1" s="3528"/>
      <c r="H1" s="3528"/>
      <c r="I1" s="352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北京市东城区南竹杆胡同2号1幢14层51706等18套办公用房房地产抵押价值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北京市东城区南竹杆胡同2号1幢14层51706等18套办公用房房地产</v>
      </c>
      <c r="T2" s="1744"/>
      <c r="U2" s="1744"/>
      <c r="V2" s="1744"/>
      <c r="W2" s="1744"/>
      <c r="X2" s="1744"/>
      <c r="Y2" s="1744"/>
      <c r="Z2" s="1744"/>
      <c r="AA2" s="1744"/>
      <c r="AB2" s="1744"/>
    </row>
    <row r="3" spans="1:30">
      <c r="A3" s="302" t="s">
        <v>2169</v>
      </c>
      <c r="B3" s="2372">
        <v>45954</v>
      </c>
      <c r="C3" s="2373" t="s">
        <v>2170</v>
      </c>
      <c r="D3" s="2372">
        <f>B3</f>
        <v>45954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0"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1"/>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t="s">
        <v>3420</v>
      </c>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5"/>
      <c r="D13" s="855"/>
      <c r="E13" s="3818">
        <v>58732</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37"/>
      <c r="C16" s="3538"/>
      <c r="D16" s="3539"/>
      <c r="E16" s="2412" t="s">
        <v>2193</v>
      </c>
      <c r="F16" s="3540"/>
      <c r="G16" s="3541"/>
      <c r="H16" s="3541"/>
      <c r="I16" s="3542"/>
      <c r="J16" s="2438"/>
      <c r="K16" s="2616"/>
      <c r="L16" s="2450"/>
      <c r="M16" s="2450"/>
      <c r="N16" s="2508"/>
      <c r="O16" s="2450"/>
      <c r="P16" s="2508"/>
      <c r="Q16" s="2438"/>
      <c r="R16" s="2438"/>
    </row>
    <row r="17" spans="1:28">
      <c r="A17" s="313" t="s">
        <v>2194</v>
      </c>
      <c r="B17" s="302" t="s">
        <v>2195</v>
      </c>
      <c r="C17" s="8">
        <f>'数据-汇总表'!E3</f>
        <v>255.02</v>
      </c>
      <c r="D17" s="2321" t="s">
        <v>2196</v>
      </c>
      <c r="E17" s="3543" t="s">
        <v>2197</v>
      </c>
      <c r="F17" s="3544"/>
      <c r="G17" s="3544"/>
      <c r="H17" s="3544"/>
      <c r="I17" s="354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6" t="s">
        <v>2201</v>
      </c>
      <c r="F18" s="3547"/>
      <c r="G18" s="3547"/>
      <c r="H18" s="3547"/>
      <c r="I18" s="354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3" t="s">
        <v>2205</v>
      </c>
      <c r="C20" s="3534"/>
      <c r="D20" s="3535" t="s">
        <v>2206</v>
      </c>
      <c r="E20" s="3536"/>
      <c r="F20" s="2646" t="s">
        <v>1056</v>
      </c>
      <c r="G20" s="2663"/>
      <c r="H20" s="2663"/>
      <c r="I20" s="2663"/>
      <c r="J20" s="2438"/>
      <c r="K20" s="353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2213</v>
      </c>
      <c r="B27" s="320" t="s">
        <v>2214</v>
      </c>
      <c r="C27" s="2415" t="s">
        <v>3423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2217</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2218</v>
      </c>
      <c r="B31" s="2421" t="s">
        <v>3422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9" t="s">
        <v>2227</v>
      </c>
      <c r="T34" s="2427" t="str">
        <f>NUMBERSTRING(7-K34,1)&amp;"通"</f>
        <v>七通</v>
      </c>
      <c r="U34" s="2438"/>
      <c r="V34" s="2438"/>
    </row>
    <row r="35" spans="1:30">
      <c r="A35" s="2428"/>
      <c r="B35" s="3526" t="s">
        <v>2228</v>
      </c>
      <c r="C35" s="3526"/>
      <c r="D35" s="3526"/>
      <c r="E35" s="352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255.02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255.02</v>
      </c>
      <c r="H5" s="13">
        <f t="shared" ref="H5:AT5" si="0">SUM(H13:H656)</f>
        <v>255.02</v>
      </c>
      <c r="I5" s="13">
        <f t="shared" si="0"/>
        <v>255.02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255.02</v>
      </c>
      <c r="BA5" s="15">
        <f t="shared" si="1"/>
        <v>255.02</v>
      </c>
      <c r="BB5" s="15">
        <f t="shared" si="1"/>
        <v>255.02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3476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3475</v>
      </c>
      <c r="E13" s="13">
        <f>IF($C$3="是",ROUND($A$3*G13/$B$3,2),ROUND($A$3*(G13-AT13)/$B$3,2))</f>
        <v>0</v>
      </c>
      <c r="F13" s="29"/>
      <c r="G13" s="30">
        <f>H13+AC13+AT13</f>
        <v>255.02</v>
      </c>
      <c r="H13" s="17">
        <f>SUMIF(I$12:AB$12,"总值",I13:AB13)</f>
        <v>255.02</v>
      </c>
      <c r="I13" s="1625">
        <f>面积!J2</f>
        <v>255.02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255.02</v>
      </c>
      <c r="BA13" s="13">
        <f>SUM(BB13:BK13)</f>
        <v>255.02</v>
      </c>
      <c r="BB13" s="13">
        <f>IF($D13="是",I13-J13,0)</f>
        <v>255.02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J2" sqref="J2:J19"/>
    </sheetView>
  </sheetViews>
  <sheetFormatPr defaultRowHeight="13.5"/>
  <cols>
    <col min="1" max="1" width="5.875" style="3253" customWidth="1"/>
    <col min="2" max="2" width="31.5" style="3253" customWidth="1"/>
    <col min="3" max="3" width="20.125" style="3253" customWidth="1"/>
    <col min="4" max="4" width="31.25" style="3253" customWidth="1"/>
    <col min="5" max="6" width="6.375" style="3253" customWidth="1"/>
    <col min="7" max="7" width="10.625" style="3253" customWidth="1"/>
    <col min="8" max="8" width="9" style="3253"/>
    <col min="9" max="9" width="10.25" style="3253" customWidth="1"/>
    <col min="10" max="16384" width="9" style="3253"/>
  </cols>
  <sheetData>
    <row r="1" spans="1:10">
      <c r="A1" s="3819" t="s">
        <v>3424</v>
      </c>
      <c r="B1" s="3819" t="s">
        <v>3425</v>
      </c>
      <c r="C1" s="3819" t="s">
        <v>3434</v>
      </c>
      <c r="D1" s="3819" t="s">
        <v>3427</v>
      </c>
      <c r="E1" s="3819" t="s">
        <v>3429</v>
      </c>
      <c r="F1" s="3819" t="s">
        <v>3455</v>
      </c>
      <c r="G1" s="3819" t="s">
        <v>3431</v>
      </c>
      <c r="H1" s="3819" t="s">
        <v>3432</v>
      </c>
      <c r="I1" s="3819" t="s">
        <v>3454</v>
      </c>
      <c r="J1" s="3819" t="s">
        <v>3433</v>
      </c>
    </row>
    <row r="2" spans="1:10">
      <c r="A2" s="3253">
        <v>1</v>
      </c>
      <c r="B2" s="3819" t="s">
        <v>3428</v>
      </c>
      <c r="C2" s="3819" t="s">
        <v>3435</v>
      </c>
      <c r="D2" s="3819" t="s">
        <v>3426</v>
      </c>
      <c r="E2" s="3819" t="s">
        <v>3430</v>
      </c>
      <c r="F2" s="3819" t="s">
        <v>3456</v>
      </c>
      <c r="G2" s="3819" t="s">
        <v>3453</v>
      </c>
      <c r="H2" s="3253">
        <v>14</v>
      </c>
      <c r="I2" s="3253">
        <v>51706</v>
      </c>
      <c r="J2" s="3253">
        <v>255.02</v>
      </c>
    </row>
    <row r="3" spans="1:10">
      <c r="A3" s="3253">
        <v>2</v>
      </c>
      <c r="B3" s="3819" t="s">
        <v>3457</v>
      </c>
      <c r="C3" s="3819" t="s">
        <v>3435</v>
      </c>
      <c r="D3" s="3819" t="s">
        <v>3436</v>
      </c>
      <c r="E3" s="3819" t="s">
        <v>3430</v>
      </c>
      <c r="F3" s="3819" t="s">
        <v>3456</v>
      </c>
      <c r="G3" s="3819" t="s">
        <v>3453</v>
      </c>
      <c r="H3" s="3253">
        <v>14</v>
      </c>
      <c r="I3" s="3253">
        <v>51707</v>
      </c>
      <c r="J3" s="3253">
        <v>132.68</v>
      </c>
    </row>
    <row r="4" spans="1:10">
      <c r="A4" s="3253">
        <v>3</v>
      </c>
      <c r="B4" s="3819" t="s">
        <v>3458</v>
      </c>
      <c r="C4" s="3819" t="s">
        <v>3435</v>
      </c>
      <c r="D4" s="3819" t="s">
        <v>3437</v>
      </c>
      <c r="E4" s="3819" t="s">
        <v>3430</v>
      </c>
      <c r="F4" s="3819" t="s">
        <v>3456</v>
      </c>
      <c r="G4" s="3819" t="s">
        <v>3453</v>
      </c>
      <c r="H4" s="3253">
        <v>14</v>
      </c>
      <c r="I4" s="3253">
        <v>51708</v>
      </c>
      <c r="J4" s="3253">
        <v>104.71</v>
      </c>
    </row>
    <row r="5" spans="1:10">
      <c r="A5" s="3253">
        <v>4</v>
      </c>
      <c r="B5" s="3819" t="s">
        <v>3459</v>
      </c>
      <c r="C5" s="3819" t="s">
        <v>3435</v>
      </c>
      <c r="D5" s="3819" t="s">
        <v>3438</v>
      </c>
      <c r="E5" s="3819" t="s">
        <v>3430</v>
      </c>
      <c r="F5" s="3819" t="s">
        <v>3456</v>
      </c>
      <c r="G5" s="3819" t="s">
        <v>3453</v>
      </c>
      <c r="H5" s="3253">
        <v>14</v>
      </c>
      <c r="I5" s="3253">
        <v>51709</v>
      </c>
      <c r="J5" s="3253">
        <v>69.98</v>
      </c>
    </row>
    <row r="6" spans="1:10">
      <c r="A6" s="3253">
        <v>5</v>
      </c>
      <c r="B6" s="3819" t="s">
        <v>3460</v>
      </c>
      <c r="C6" s="3819" t="s">
        <v>3435</v>
      </c>
      <c r="D6" s="3819" t="s">
        <v>3439</v>
      </c>
      <c r="E6" s="3819" t="s">
        <v>3430</v>
      </c>
      <c r="F6" s="3819" t="s">
        <v>3456</v>
      </c>
      <c r="G6" s="3819" t="s">
        <v>3453</v>
      </c>
      <c r="H6" s="3253">
        <v>14</v>
      </c>
      <c r="I6" s="3253">
        <v>51710</v>
      </c>
      <c r="J6" s="3253">
        <v>138.59</v>
      </c>
    </row>
    <row r="7" spans="1:10">
      <c r="A7" s="3253">
        <v>6</v>
      </c>
      <c r="B7" s="3819" t="s">
        <v>3461</v>
      </c>
      <c r="C7" s="3819" t="s">
        <v>3435</v>
      </c>
      <c r="D7" s="3819" t="s">
        <v>3440</v>
      </c>
      <c r="E7" s="3819" t="s">
        <v>3430</v>
      </c>
      <c r="F7" s="3819" t="s">
        <v>3456</v>
      </c>
      <c r="G7" s="3819" t="s">
        <v>3453</v>
      </c>
      <c r="H7" s="3253">
        <v>14</v>
      </c>
      <c r="I7" s="3253">
        <v>51711</v>
      </c>
      <c r="J7" s="3253">
        <v>191.75</v>
      </c>
    </row>
    <row r="8" spans="1:10">
      <c r="A8" s="3253">
        <v>7</v>
      </c>
      <c r="B8" s="3819" t="s">
        <v>3462</v>
      </c>
      <c r="C8" s="3819" t="s">
        <v>3435</v>
      </c>
      <c r="D8" s="3819" t="s">
        <v>3441</v>
      </c>
      <c r="E8" s="3819" t="s">
        <v>3430</v>
      </c>
      <c r="F8" s="3819" t="s">
        <v>3456</v>
      </c>
      <c r="G8" s="3819" t="s">
        <v>3453</v>
      </c>
      <c r="H8" s="3253">
        <v>14</v>
      </c>
      <c r="I8" s="3253">
        <v>51712</v>
      </c>
      <c r="J8" s="3253">
        <v>192.94</v>
      </c>
    </row>
    <row r="9" spans="1:10">
      <c r="A9" s="3253">
        <v>8</v>
      </c>
      <c r="B9" s="3819" t="s">
        <v>3463</v>
      </c>
      <c r="C9" s="3819" t="s">
        <v>3435</v>
      </c>
      <c r="D9" s="3819" t="s">
        <v>3442</v>
      </c>
      <c r="E9" s="3819" t="s">
        <v>3430</v>
      </c>
      <c r="F9" s="3819" t="s">
        <v>3456</v>
      </c>
      <c r="G9" s="3819" t="s">
        <v>3453</v>
      </c>
      <c r="H9" s="3253">
        <v>14</v>
      </c>
      <c r="I9" s="3253">
        <v>51715</v>
      </c>
      <c r="J9" s="3253">
        <v>180.94</v>
      </c>
    </row>
    <row r="10" spans="1:10">
      <c r="A10" s="3253">
        <v>9</v>
      </c>
      <c r="B10" s="3819" t="s">
        <v>3464</v>
      </c>
      <c r="C10" s="3819" t="s">
        <v>3435</v>
      </c>
      <c r="D10" s="3819" t="s">
        <v>3443</v>
      </c>
      <c r="E10" s="3819" t="s">
        <v>3430</v>
      </c>
      <c r="F10" s="3819" t="s">
        <v>3456</v>
      </c>
      <c r="G10" s="3819" t="s">
        <v>3453</v>
      </c>
      <c r="H10" s="3253">
        <v>14</v>
      </c>
      <c r="I10" s="3253">
        <v>51716</v>
      </c>
      <c r="J10" s="3253">
        <v>135.53</v>
      </c>
    </row>
    <row r="11" spans="1:10">
      <c r="A11" s="3253">
        <v>10</v>
      </c>
      <c r="B11" s="3819" t="s">
        <v>3465</v>
      </c>
      <c r="C11" s="3819" t="s">
        <v>3435</v>
      </c>
      <c r="D11" s="3819" t="s">
        <v>3444</v>
      </c>
      <c r="E11" s="3819" t="s">
        <v>3430</v>
      </c>
      <c r="F11" s="3819" t="s">
        <v>3456</v>
      </c>
      <c r="G11" s="3819" t="s">
        <v>3453</v>
      </c>
      <c r="H11" s="3253">
        <v>14</v>
      </c>
      <c r="I11" s="3253">
        <v>51717</v>
      </c>
      <c r="J11" s="3253">
        <v>197.93</v>
      </c>
    </row>
    <row r="12" spans="1:10">
      <c r="A12" s="3253">
        <v>11</v>
      </c>
      <c r="B12" s="3819" t="s">
        <v>3466</v>
      </c>
      <c r="C12" s="3819" t="s">
        <v>3435</v>
      </c>
      <c r="D12" s="3819" t="s">
        <v>3445</v>
      </c>
      <c r="E12" s="3819" t="s">
        <v>3430</v>
      </c>
      <c r="F12" s="3819" t="s">
        <v>3456</v>
      </c>
      <c r="G12" s="3819" t="s">
        <v>3453</v>
      </c>
      <c r="H12" s="3253">
        <v>14</v>
      </c>
      <c r="I12" s="3253">
        <v>51718</v>
      </c>
      <c r="J12" s="3253">
        <v>194.73</v>
      </c>
    </row>
    <row r="13" spans="1:10">
      <c r="A13" s="3253">
        <v>12</v>
      </c>
      <c r="B13" s="3819" t="s">
        <v>3467</v>
      </c>
      <c r="C13" s="3819" t="s">
        <v>3435</v>
      </c>
      <c r="D13" s="3819" t="s">
        <v>3446</v>
      </c>
      <c r="E13" s="3819" t="s">
        <v>3430</v>
      </c>
      <c r="F13" s="3819" t="s">
        <v>3456</v>
      </c>
      <c r="G13" s="3819" t="s">
        <v>3453</v>
      </c>
      <c r="H13" s="3253">
        <v>14</v>
      </c>
      <c r="I13" s="3253">
        <v>51719</v>
      </c>
      <c r="J13" s="3253">
        <v>286.73</v>
      </c>
    </row>
    <row r="14" spans="1:10">
      <c r="A14" s="3253">
        <v>13</v>
      </c>
      <c r="B14" s="3819" t="s">
        <v>3468</v>
      </c>
      <c r="C14" s="3819" t="s">
        <v>3435</v>
      </c>
      <c r="D14" s="3819" t="s">
        <v>3447</v>
      </c>
      <c r="E14" s="3819" t="s">
        <v>3430</v>
      </c>
      <c r="F14" s="3819" t="s">
        <v>3456</v>
      </c>
      <c r="G14" s="3819" t="s">
        <v>3453</v>
      </c>
      <c r="H14" s="3253">
        <v>14</v>
      </c>
      <c r="I14" s="3253">
        <v>51720</v>
      </c>
      <c r="J14" s="3253">
        <v>286.70999999999998</v>
      </c>
    </row>
    <row r="15" spans="1:10">
      <c r="A15" s="3253">
        <v>14</v>
      </c>
      <c r="B15" s="3819" t="s">
        <v>3469</v>
      </c>
      <c r="C15" s="3819" t="s">
        <v>3435</v>
      </c>
      <c r="D15" s="3819" t="s">
        <v>3448</v>
      </c>
      <c r="E15" s="3819" t="s">
        <v>3430</v>
      </c>
      <c r="F15" s="3819" t="s">
        <v>3456</v>
      </c>
      <c r="G15" s="3819" t="s">
        <v>3453</v>
      </c>
      <c r="H15" s="3253">
        <v>14</v>
      </c>
      <c r="I15" s="3253">
        <v>51721</v>
      </c>
      <c r="J15" s="3253">
        <v>157.32</v>
      </c>
    </row>
    <row r="16" spans="1:10">
      <c r="A16" s="3253">
        <v>15</v>
      </c>
      <c r="B16" s="3819" t="s">
        <v>3470</v>
      </c>
      <c r="C16" s="3819" t="s">
        <v>3435</v>
      </c>
      <c r="D16" s="3819" t="s">
        <v>3449</v>
      </c>
      <c r="E16" s="3819" t="s">
        <v>3430</v>
      </c>
      <c r="F16" s="3819" t="s">
        <v>3456</v>
      </c>
      <c r="G16" s="3819" t="s">
        <v>3453</v>
      </c>
      <c r="H16" s="3253">
        <v>14</v>
      </c>
      <c r="I16" s="3253">
        <v>51722</v>
      </c>
      <c r="J16" s="3253">
        <v>216.65</v>
      </c>
    </row>
    <row r="17" spans="1:10">
      <c r="A17" s="3253">
        <v>16</v>
      </c>
      <c r="B17" s="3819" t="s">
        <v>3471</v>
      </c>
      <c r="C17" s="3819" t="s">
        <v>3435</v>
      </c>
      <c r="D17" s="3819" t="s">
        <v>3450</v>
      </c>
      <c r="E17" s="3819" t="s">
        <v>3430</v>
      </c>
      <c r="F17" s="3819" t="s">
        <v>3456</v>
      </c>
      <c r="G17" s="3819" t="s">
        <v>3453</v>
      </c>
      <c r="H17" s="3253">
        <v>14</v>
      </c>
      <c r="I17" s="3253">
        <v>51723</v>
      </c>
      <c r="J17" s="3253">
        <v>301.70999999999998</v>
      </c>
    </row>
    <row r="18" spans="1:10">
      <c r="A18" s="3253">
        <v>17</v>
      </c>
      <c r="B18" s="3819" t="s">
        <v>3472</v>
      </c>
      <c r="C18" s="3819" t="s">
        <v>3435</v>
      </c>
      <c r="D18" s="3819" t="s">
        <v>3451</v>
      </c>
      <c r="E18" s="3819" t="s">
        <v>3430</v>
      </c>
      <c r="F18" s="3819" t="s">
        <v>3456</v>
      </c>
      <c r="G18" s="3819" t="s">
        <v>3453</v>
      </c>
      <c r="H18" s="3253">
        <v>14</v>
      </c>
      <c r="I18" s="3253">
        <v>51725</v>
      </c>
      <c r="J18" s="3253">
        <v>224.27</v>
      </c>
    </row>
    <row r="19" spans="1:10">
      <c r="A19" s="3253">
        <v>18</v>
      </c>
      <c r="B19" s="3819" t="s">
        <v>3473</v>
      </c>
      <c r="C19" s="3819" t="s">
        <v>3435</v>
      </c>
      <c r="D19" s="3819" t="s">
        <v>3452</v>
      </c>
      <c r="E19" s="3819" t="s">
        <v>3430</v>
      </c>
      <c r="F19" s="3819" t="s">
        <v>3456</v>
      </c>
      <c r="G19" s="3819" t="s">
        <v>3453</v>
      </c>
      <c r="H19" s="3253">
        <v>14</v>
      </c>
      <c r="I19" s="3253">
        <v>51726</v>
      </c>
      <c r="J19" s="3253">
        <v>183.29</v>
      </c>
    </row>
    <row r="20" spans="1:10">
      <c r="A20" s="3820" t="s">
        <v>3474</v>
      </c>
      <c r="B20" s="3820"/>
      <c r="C20" s="3820"/>
      <c r="D20" s="3820"/>
      <c r="E20" s="3820"/>
      <c r="F20" s="3820"/>
      <c r="G20" s="3820"/>
      <c r="H20" s="3820"/>
      <c r="I20" s="3820"/>
      <c r="J20" s="3820">
        <f>SUM(J2:J19)</f>
        <v>3451.4800000000005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8" t="s">
        <v>1131</v>
      </c>
      <c r="B2" s="3558"/>
      <c r="C2" s="3558"/>
      <c r="D2" s="795" t="s">
        <v>1107</v>
      </c>
      <c r="E2" s="1638" t="s">
        <v>1108</v>
      </c>
      <c r="F2" s="2658"/>
      <c r="G2" s="2649"/>
      <c r="H2" s="2650"/>
      <c r="I2" s="2324" t="s">
        <v>1132</v>
      </c>
      <c r="J2" s="2658"/>
      <c r="K2" s="2658"/>
      <c r="L2" s="2658"/>
      <c r="M2" s="2658"/>
      <c r="N2" s="2660"/>
      <c r="O2" s="2658"/>
      <c r="P2" s="2658"/>
    </row>
    <row r="3" spans="1:16" ht="15.75" thickBot="1">
      <c r="A3" s="3559" t="s">
        <v>1105</v>
      </c>
      <c r="B3" s="3559"/>
      <c r="C3" s="3559"/>
      <c r="D3" s="43">
        <f>'数据-基础表'!AY6</f>
        <v>0</v>
      </c>
      <c r="E3" s="43">
        <f>'数据-基础表'!AZ5</f>
        <v>255.02</v>
      </c>
      <c r="F3" s="2658"/>
      <c r="G3" s="1144"/>
      <c r="H3" s="1025" t="s">
        <v>1106</v>
      </c>
      <c r="I3" s="854" t="e">
        <f>ROUND('数据-基础表'!B3/'数据-基础表'!A3,2)</f>
        <v>#DIV/0!</v>
      </c>
      <c r="J3" s="2658"/>
      <c r="K3" s="2658"/>
      <c r="L3" s="2658"/>
      <c r="M3" s="2658"/>
      <c r="N3" s="2660"/>
      <c r="O3" s="2658"/>
      <c r="P3" s="2658"/>
    </row>
    <row r="4" spans="1:16" ht="15">
      <c r="A4" s="3560"/>
      <c r="B4" s="3561"/>
      <c r="C4" s="356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3" t="s">
        <v>1110</v>
      </c>
      <c r="C5" s="356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3" t="s">
        <v>1111</v>
      </c>
      <c r="C6" s="3563"/>
      <c r="D6" s="45">
        <f>ROUND($D$3*E6/$E$3,2)</f>
        <v>0</v>
      </c>
      <c r="E6" s="46">
        <f>E3-E5</f>
        <v>255.02</v>
      </c>
      <c r="F6" s="2658"/>
      <c r="G6" s="2652" t="s">
        <v>1112</v>
      </c>
      <c r="H6" s="1145" t="s">
        <v>1113</v>
      </c>
      <c r="I6" s="2653" t="e">
        <f>ROUND(F31/D31,2)</f>
        <v>#DIV/0!</v>
      </c>
      <c r="J6" s="2658"/>
      <c r="K6" s="2658"/>
      <c r="L6" s="2658"/>
      <c r="M6" s="2658"/>
      <c r="N6" s="2658"/>
      <c r="O6" s="2658"/>
      <c r="P6" s="2658"/>
    </row>
    <row r="7" spans="1:16" ht="15.75" thickBot="1">
      <c r="A7" s="3555"/>
      <c r="B7" s="3556"/>
      <c r="C7" s="355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255.02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255.02</v>
      </c>
      <c r="F16" s="2658"/>
      <c r="G16" s="2659"/>
      <c r="H16" s="1647" t="s">
        <v>1135</v>
      </c>
      <c r="I16" s="1648"/>
      <c r="J16" s="1138"/>
      <c r="K16" s="3552" t="s">
        <v>1135</v>
      </c>
      <c r="L16" s="3553"/>
      <c r="M16" s="3553"/>
      <c r="N16" s="3553"/>
      <c r="O16" s="3553"/>
      <c r="P16" s="3554"/>
    </row>
    <row r="17" spans="1:19" ht="15">
      <c r="A17" s="1649" t="s">
        <v>1136</v>
      </c>
      <c r="B17" s="1650" t="s">
        <v>1137</v>
      </c>
      <c r="C17" s="1651" t="s">
        <v>1138</v>
      </c>
      <c r="D17" s="1652" t="s">
        <v>1126</v>
      </c>
      <c r="E17" s="1653" t="s">
        <v>1127</v>
      </c>
      <c r="F17" s="1654"/>
      <c r="G17" s="1655"/>
      <c r="H17" s="1656" t="s">
        <v>1139</v>
      </c>
      <c r="I17" s="1657" t="s">
        <v>1124</v>
      </c>
      <c r="J17" s="1138"/>
      <c r="K17" s="3549" t="s">
        <v>1140</v>
      </c>
      <c r="L17" s="3550"/>
      <c r="M17" s="3551"/>
      <c r="N17" s="3549" t="s">
        <v>1141</v>
      </c>
      <c r="O17" s="3550"/>
      <c r="P17" s="355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3478</v>
      </c>
      <c r="D19" s="45">
        <f>ROUND($D$3*E19/$E$3,2)</f>
        <v>0</v>
      </c>
      <c r="E19" s="53">
        <f t="shared" ref="E19:E26" si="1">SUM(F19:G19)</f>
        <v>255.02</v>
      </c>
      <c r="F19" s="2794">
        <f>'数据-基础表'!I13</f>
        <v>255.02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255.02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255.02</v>
      </c>
      <c r="F27" s="1139">
        <f>IF(SUM(F19:F26)=E8,SUM(F19:F26),"地上面积有误")</f>
        <v>255.02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255.02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255.02</v>
      </c>
      <c r="F31" s="676">
        <f>F27+F30</f>
        <v>255.02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H23" sqref="AH2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45954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办公-基准户型51706</v>
      </c>
      <c r="B6" s="1712" t="str">
        <f>IF(A6=0,"","经营性")</f>
        <v>经营性</v>
      </c>
      <c r="C6" s="1713" t="s">
        <v>21</v>
      </c>
      <c r="D6" s="857">
        <f>SUMIF(项目基本情况!C$12:I$12,C6,项目基本情况!C$14:I$14)</f>
        <v>50</v>
      </c>
      <c r="E6" s="856">
        <f>IF(B6="","",SUMIF(项目基本情况!C$12:I$12,C6,项目基本情况!C$13:I$13))</f>
        <v>58732</v>
      </c>
      <c r="F6" s="64">
        <f>SUMIF(项目基本情况!C$12:I$12,C6,项目基本情况!C$15:I$15)</f>
        <v>35</v>
      </c>
      <c r="G6" s="65">
        <f>IF(ISERROR(ROUND(POWER(1+H6,D6-F6)*(POWER(1+H6,F6)-1)/(POWER(1+H6,D6)-1),3)),0,ROUND(POWER(1+H6,D6-F6)*(POWER(1+H6,F6)-1)/(POWER(1+H6,D6)-1),3))</f>
        <v>0.89700000000000002</v>
      </c>
      <c r="H6" s="731">
        <v>0.05</v>
      </c>
      <c r="I6" s="731">
        <v>5.5E-2</v>
      </c>
      <c r="J6" s="66">
        <v>7.0000000000000007E-2</v>
      </c>
      <c r="K6" s="1029">
        <f>SUMIF('数据-汇总表'!C$19:C$33,A6,'数据-汇总表'!E$19:E$33)</f>
        <v>255.02</v>
      </c>
      <c r="L6" s="732">
        <v>4500</v>
      </c>
      <c r="M6" s="67">
        <f t="shared" ref="M6:M14" si="0">ROUND(K6*L6/10000,0)</f>
        <v>115</v>
      </c>
      <c r="N6" s="730">
        <f>N19</f>
        <v>0.78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0.78</v>
      </c>
      <c r="Z6" s="72"/>
      <c r="AA6" s="66"/>
      <c r="AB6" s="66"/>
      <c r="AC6" s="1039"/>
      <c r="AD6" s="73"/>
      <c r="AE6" s="1040">
        <f ca="1">IF(AN6="",0,SUMIF(INDIRECT("'"&amp;AN6&amp;"'"&amp;"!E:E"),$AE$5,INDIRECT("'"&amp;AN6&amp;"'"&amp;"!F:F")))</f>
        <v>35</v>
      </c>
      <c r="AF6" s="1347"/>
      <c r="AG6" s="138">
        <f>IF(AF6="",0,AE6-AF6)</f>
        <v>0</v>
      </c>
      <c r="AH6" s="74"/>
      <c r="AI6" s="76">
        <v>365</v>
      </c>
      <c r="AJ6" s="77"/>
      <c r="AK6" s="78">
        <v>3.0000000000000001E-3</v>
      </c>
      <c r="AL6" s="79">
        <v>1E-3</v>
      </c>
      <c r="AM6" s="80">
        <v>0.01</v>
      </c>
      <c r="AN6" s="1714" t="s">
        <v>3480</v>
      </c>
      <c r="AO6" s="52">
        <f ca="1">SUMIF(INDIRECT("'"&amp;AN6&amp;"'"&amp;"!A:A"),"总价",INDIRECT("'"&amp;AN6&amp;"'"&amp;"!B:B"))</f>
        <v>539.19320000000005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0.89700000000000002</v>
      </c>
      <c r="H16" s="90">
        <f>ROUND(SUMPRODUCT(H6:H13,K6:K13)/SUMPRODUCT((H6:H13&gt;0)*(K6:K13)),3)</f>
        <v>0.05</v>
      </c>
      <c r="I16" s="91"/>
      <c r="J16" s="91"/>
      <c r="K16" s="92">
        <f>SUM(K6:K15)</f>
        <v>255.02</v>
      </c>
      <c r="L16" s="93">
        <f>ROUND(M16*10000/SUM(K6:K14),0)</f>
        <v>4509</v>
      </c>
      <c r="M16" s="93">
        <f>SUM(M6:M14)</f>
        <v>115</v>
      </c>
      <c r="N16" s="94">
        <f>ROUND(SUMPRODUCT(M6:M14,N6:N14)/M16,3)</f>
        <v>0.78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2012</v>
      </c>
      <c r="O18" s="2670"/>
      <c r="P18" s="2670"/>
      <c r="Q18" s="2670"/>
      <c r="R18" s="2670"/>
      <c r="S18" s="2670"/>
      <c r="T18" s="3828" t="s">
        <v>3515</v>
      </c>
      <c r="U18" s="2670">
        <f>U6*365/'比较法-办公'!C50</f>
        <v>3.6542937952093707E-2</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f>ROUND(1-(1-0%)*(2025-N18)/60,2)</f>
        <v>0.78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4" t="s">
        <v>2285</v>
      </c>
      <c r="B1" s="3565"/>
      <c r="C1" s="3565"/>
      <c r="D1" s="3565"/>
      <c r="E1" s="3565"/>
      <c r="F1" s="3565"/>
      <c r="G1" s="356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4" sqref="E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3451.4800000000005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45954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11203</v>
      </c>
      <c r="C5" s="2511">
        <f ca="1">IF(B5=D14,结果表!H102,ROUND(B5*10000/$B$1,0))</f>
        <v>32429</v>
      </c>
      <c r="D5" s="2511" t="e">
        <f ca="1">ROUND(B5*10000/$B$2,0)</f>
        <v>#DIV/0!</v>
      </c>
      <c r="E5" s="2685"/>
      <c r="F5" s="2686"/>
      <c r="G5" s="2686"/>
      <c r="H5" s="2687"/>
      <c r="I5" s="2687"/>
      <c r="J5" s="2687"/>
      <c r="K5" s="2687"/>
    </row>
    <row r="6" spans="1:11" ht="16.5">
      <c r="A6" s="2511" t="s">
        <v>656</v>
      </c>
      <c r="B6" s="2511">
        <f ca="1">SUM(G14:G23)</f>
        <v>11203</v>
      </c>
      <c r="C6" s="2511">
        <f ca="1">IF(B6=G14,结果表!H108,ROUND(B6*10000/$B$1,0))</f>
        <v>32429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3451.4800000000005</v>
      </c>
      <c r="C14" s="2517"/>
      <c r="D14" s="2517">
        <f ca="1">典型户型修正!S22</f>
        <v>11203</v>
      </c>
      <c r="E14" s="2517">
        <f ca="1">ROUND(D14*10000/B14,0)</f>
        <v>32459</v>
      </c>
      <c r="F14" s="2517" t="e">
        <f ca="1">ROUND(D14*10000/C14,0)</f>
        <v>#DIV/0!</v>
      </c>
      <c r="G14" s="2517">
        <f ca="1">D14</f>
        <v>11203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K26" sqref="K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3477</v>
      </c>
      <c r="D1" s="1746"/>
      <c r="E1" s="1746"/>
      <c r="F1" s="1748" t="s">
        <v>1263</v>
      </c>
      <c r="G1" s="1560"/>
      <c r="H1" s="1749" t="str">
        <f>IF(G1="现房","——","估价对象范围")</f>
        <v>估价对象范围</v>
      </c>
      <c r="I1" s="1750"/>
    </row>
    <row r="2" spans="1:12" ht="21.75" customHeight="1" thickBot="1">
      <c r="A2" s="3600" t="str">
        <f>项目基本情况!S2</f>
        <v>北京市东城区南竹杆胡同2号1幢14层51706等18套办公用房房地产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3" t="s">
        <v>1265</v>
      </c>
      <c r="B4" s="1754" t="s">
        <v>1266</v>
      </c>
      <c r="C4" s="1755" t="s">
        <v>3516</v>
      </c>
      <c r="D4" s="1755" t="s">
        <v>3480</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6"/>
      <c r="G5" s="1756"/>
      <c r="H5" s="1756"/>
      <c r="I5" s="1372"/>
    </row>
    <row r="6" spans="1:12" ht="12.75">
      <c r="A6" s="3580"/>
      <c r="B6" s="3567"/>
      <c r="C6" s="3584"/>
      <c r="D6" s="3603"/>
      <c r="E6" s="131" t="s">
        <v>1270</v>
      </c>
      <c r="F6" s="1756"/>
      <c r="G6" s="1756"/>
      <c r="H6" s="1756"/>
      <c r="I6" s="1372"/>
    </row>
    <row r="7" spans="1:12" ht="12.75">
      <c r="A7" s="3580"/>
      <c r="B7" s="3567"/>
      <c r="C7" s="3585"/>
      <c r="D7" s="3603"/>
      <c r="E7" s="131" t="s">
        <v>1271</v>
      </c>
      <c r="F7" s="1756"/>
      <c r="G7" s="1756"/>
      <c r="H7" s="1756"/>
      <c r="I7" s="1372"/>
    </row>
    <row r="8" spans="1:12" ht="12.75">
      <c r="A8" s="3580" t="s">
        <v>1272</v>
      </c>
      <c r="B8" s="3567">
        <v>15</v>
      </c>
      <c r="C8" s="3583"/>
      <c r="D8" s="3603"/>
      <c r="E8" s="131" t="s">
        <v>1273</v>
      </c>
      <c r="F8" s="1756"/>
      <c r="G8" s="1756"/>
      <c r="H8" s="1756"/>
      <c r="I8" s="1372"/>
    </row>
    <row r="9" spans="1:12" ht="12.75">
      <c r="A9" s="3580"/>
      <c r="B9" s="3567"/>
      <c r="C9" s="3585"/>
      <c r="D9" s="3603"/>
      <c r="E9" s="131" t="s">
        <v>1274</v>
      </c>
      <c r="F9" s="1756"/>
      <c r="G9" s="1756"/>
      <c r="H9" s="1756"/>
      <c r="I9" s="1372"/>
    </row>
    <row r="10" spans="1:12" ht="12.75">
      <c r="A10" s="3580" t="s">
        <v>1275</v>
      </c>
      <c r="B10" s="3567">
        <v>15</v>
      </c>
      <c r="C10" s="3583"/>
      <c r="D10" s="3603"/>
      <c r="E10" s="131" t="s">
        <v>1276</v>
      </c>
      <c r="F10" s="1756"/>
      <c r="G10" s="1756"/>
      <c r="H10" s="1756"/>
      <c r="I10" s="1372"/>
    </row>
    <row r="11" spans="1:12" ht="12.75">
      <c r="A11" s="3580"/>
      <c r="B11" s="3567"/>
      <c r="C11" s="3585"/>
      <c r="D11" s="3603"/>
      <c r="E11" s="131" t="s">
        <v>1277</v>
      </c>
      <c r="F11" s="1756"/>
      <c r="G11" s="1756"/>
      <c r="H11" s="1756"/>
      <c r="I11" s="1372"/>
    </row>
    <row r="12" spans="1:12" ht="12.75">
      <c r="A12" s="3580" t="s">
        <v>1278</v>
      </c>
      <c r="B12" s="3567">
        <v>15</v>
      </c>
      <c r="C12" s="3583"/>
      <c r="D12" s="3603"/>
      <c r="E12" s="131" t="s">
        <v>1279</v>
      </c>
      <c r="F12" s="1756"/>
      <c r="G12" s="1756"/>
      <c r="H12" s="1756"/>
      <c r="I12" s="1372"/>
    </row>
    <row r="13" spans="1:12" ht="12.75">
      <c r="A13" s="3580"/>
      <c r="B13" s="3567"/>
      <c r="C13" s="3585"/>
      <c r="D13" s="3603"/>
      <c r="E13" s="131" t="s">
        <v>1280</v>
      </c>
      <c r="F13" s="1756"/>
      <c r="G13" s="1756"/>
      <c r="H13" s="1756"/>
      <c r="I13" s="1372"/>
    </row>
    <row r="14" spans="1:12" ht="12.75">
      <c r="A14" s="3580" t="s">
        <v>1281</v>
      </c>
      <c r="B14" s="3567">
        <v>30</v>
      </c>
      <c r="C14" s="3583">
        <v>6</v>
      </c>
      <c r="D14" s="3603">
        <v>4</v>
      </c>
      <c r="E14" s="131" t="s">
        <v>1282</v>
      </c>
      <c r="F14" s="1756"/>
      <c r="G14" s="1756"/>
      <c r="H14" s="1756"/>
      <c r="I14" s="1372"/>
    </row>
    <row r="15" spans="1:12" ht="12.75">
      <c r="A15" s="3580"/>
      <c r="B15" s="3567"/>
      <c r="C15" s="3584"/>
      <c r="D15" s="3603"/>
      <c r="E15" s="131" t="s">
        <v>1283</v>
      </c>
      <c r="F15" s="1756"/>
      <c r="G15" s="1756"/>
      <c r="H15" s="1756"/>
      <c r="I15" s="1372"/>
    </row>
    <row r="16" spans="1:12" ht="12.75">
      <c r="A16" s="3580"/>
      <c r="B16" s="3567"/>
      <c r="C16" s="3585"/>
      <c r="D16" s="360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0" t="s">
        <v>2130</v>
      </c>
      <c r="F18" s="3591"/>
      <c r="G18" s="3591"/>
      <c r="H18" s="3591"/>
      <c r="I18" s="3591"/>
      <c r="K18" s="302" t="s">
        <v>1289</v>
      </c>
      <c r="L18" s="302">
        <f>IF(C1="",'数据-汇总表'!E3,SUMIF(项目类型,C1,'数据-汇总表'!E17:E26)+SUMIF(项目类型,C1,'数据-汇总表'!I17:I26))</f>
        <v>255.02</v>
      </c>
      <c r="M18" s="302">
        <f>IF(C1="",'数据-汇总表'!E3,SUMIF(项目类型,C1,'数据-汇总表'!E17:E26))</f>
        <v>255.02</v>
      </c>
    </row>
    <row r="19" spans="1:36" ht="15">
      <c r="A19" s="1760" t="s">
        <v>1290</v>
      </c>
      <c r="B19" s="1761" t="s">
        <v>1291</v>
      </c>
      <c r="C19" s="134">
        <f ca="1">SUMIF(INDIRECT("'"&amp;C4&amp;"'"&amp;"!A:A"),结果表!B19,INDIRECT("'"&amp;C4&amp;"'"&amp;"!B:B"))</f>
        <v>1018.8814</v>
      </c>
      <c r="D19" s="135">
        <f ca="1">SUMIF(INDIRECT("'"&amp;D4&amp;"'"&amp;"!A:A"),结果表!B19,INDIRECT("'"&amp;D4&amp;"'"&amp;"!B:B"))</f>
        <v>539.19320000000005</v>
      </c>
      <c r="E19" s="1760" t="s">
        <v>1292</v>
      </c>
      <c r="F19" s="1761" t="s">
        <v>1291</v>
      </c>
      <c r="G19" s="136">
        <f ca="1">ROUND(C19*$C$18+D19*$D$18,0)</f>
        <v>827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39953</v>
      </c>
      <c r="D20" s="138">
        <f ca="1">SUMIF(INDIRECT("'"&amp;D4&amp;"'"&amp;"!A:A"),结果表!B20,INDIRECT("'"&amp;D4&amp;"'"&amp;"!B:B"))</f>
        <v>21143</v>
      </c>
      <c r="E20" s="1763"/>
      <c r="F20" s="1025" t="s">
        <v>1295</v>
      </c>
      <c r="G20" s="139">
        <f ca="1">ROUND(C20*$C$18+D20*$D$18,0)</f>
        <v>32429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0.88964067054258078</v>
      </c>
      <c r="E22" s="129"/>
      <c r="F22" s="129"/>
      <c r="G22" s="129"/>
      <c r="H22" s="129"/>
      <c r="I22" s="129"/>
    </row>
    <row r="23" spans="1:36" ht="13.5" thickBot="1">
      <c r="A23" s="1746"/>
      <c r="B23" s="1746"/>
      <c r="C23" s="1746"/>
      <c r="D23" s="1746"/>
      <c r="E23" s="129"/>
      <c r="F23" s="129"/>
      <c r="G23" s="129"/>
      <c r="H23" s="129"/>
      <c r="I23" s="129"/>
    </row>
    <row r="24" spans="1:36" ht="14.25">
      <c r="A24" s="3574" t="s">
        <v>1299</v>
      </c>
      <c r="B24" s="1761" t="s">
        <v>1291</v>
      </c>
      <c r="C24" s="136">
        <f>IF(B30=0,0,D30)</f>
        <v>0</v>
      </c>
      <c r="D24" s="1768"/>
      <c r="E24" s="129"/>
      <c r="F24" s="129"/>
      <c r="G24" s="129"/>
      <c r="H24" s="129"/>
      <c r="I24" s="129"/>
    </row>
    <row r="25" spans="1:36" ht="14.25">
      <c r="A25" s="357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32429</v>
      </c>
      <c r="D32" s="1774" t="s">
        <v>3517</v>
      </c>
      <c r="E32" s="129"/>
      <c r="F32" s="129"/>
      <c r="G32" s="129"/>
      <c r="H32" s="129"/>
      <c r="I32" s="129"/>
    </row>
    <row r="33" spans="1:15" ht="15">
      <c r="A33" s="785" t="s">
        <v>1306</v>
      </c>
      <c r="B33" s="1775"/>
      <c r="C33" s="1776" t="s">
        <v>3518</v>
      </c>
      <c r="D33" s="1777" t="s">
        <v>3480</v>
      </c>
      <c r="E33" s="1778" t="s">
        <v>1307</v>
      </c>
      <c r="F33" s="1779" t="str">
        <f>IF(D32="楼面单价","取值（单价）","取值（总价）")</f>
        <v>取值（单价）</v>
      </c>
      <c r="G33" s="129"/>
      <c r="H33" s="129"/>
      <c r="I33" s="129"/>
    </row>
    <row r="34" spans="1:15" ht="15">
      <c r="A34" s="1780"/>
      <c r="B34" s="1781" t="s">
        <v>1308</v>
      </c>
      <c r="C34" s="148">
        <f ca="1">IF(C33="自定义",F34,C32-C35)</f>
        <v>24451</v>
      </c>
      <c r="D34" s="860">
        <f ca="1">IF(C33="自定义",ROUND(C34/C32,3),IF(C33="收益比率",SUMIF(INDIRECT("'"&amp;D33&amp;"'"&amp;"!b:b"),"土地收益比率",INDIRECT("'"&amp;D33&amp;"'"&amp;"!c:c")),SUMIF(INDIRECT("'"&amp;D33&amp;"'"&amp;"!b:b"),"土地成本比率",INDIRECT("'"&amp;D33&amp;"'"&amp;"!c:c"))))</f>
        <v>0.754</v>
      </c>
      <c r="E34" s="1782" t="s">
        <v>1309</v>
      </c>
      <c r="F34" s="1329"/>
      <c r="G34" s="129"/>
      <c r="H34" s="129"/>
      <c r="I34" s="129"/>
    </row>
    <row r="35" spans="1:15" ht="15.75" thickBot="1">
      <c r="A35" s="1783"/>
      <c r="B35" s="1784" t="s">
        <v>1310</v>
      </c>
      <c r="C35" s="1169">
        <f ca="1">IF(C33="自定义",F35,ROUND(C32*D35,0))</f>
        <v>7978</v>
      </c>
      <c r="D35" s="1170">
        <f ca="1">IF(C33="自定义",ROUND(C35/C32,3),IF(C33="收益比率",SUMIF(INDIRECT("'"&amp;D33&amp;"'"&amp;"!b:b"),"建筑物收益比率",INDIRECT("'"&amp;D33&amp;"'"&amp;"!c:c")),SUMIF(INDIRECT("'"&amp;D33&amp;"'"&amp;"!b:b"),"建筑物成本比率",INDIRECT("'"&amp;D33&amp;"'"&amp;"!c:c"))))</f>
        <v>0.246</v>
      </c>
      <c r="E35" s="1785" t="s">
        <v>1311</v>
      </c>
      <c r="F35" s="154"/>
      <c r="G35" s="129"/>
      <c r="H35" s="129"/>
      <c r="I35" s="129"/>
    </row>
    <row r="36" spans="1:15" ht="15.75" thickBot="1">
      <c r="A36" s="3594" t="s">
        <v>1312</v>
      </c>
      <c r="B36" s="1786" t="s">
        <v>1313</v>
      </c>
      <c r="C36" s="145"/>
      <c r="D36" s="1787"/>
      <c r="E36" s="1788"/>
      <c r="F36" s="1789"/>
      <c r="G36" s="129"/>
      <c r="H36" s="129"/>
      <c r="I36" s="129"/>
    </row>
    <row r="37" spans="1:15" ht="15.75" thickBot="1">
      <c r="A37" s="3595"/>
      <c r="B37" s="1673" t="s">
        <v>1314</v>
      </c>
      <c r="C37" s="147"/>
      <c r="D37" s="1138"/>
      <c r="E37" s="1138"/>
      <c r="F37" s="1789"/>
      <c r="G37" s="129"/>
      <c r="H37" s="129"/>
      <c r="I37" s="129"/>
    </row>
    <row r="38" spans="1:15" ht="15.75" thickBot="1">
      <c r="A38" s="359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1" t="s">
        <v>1326</v>
      </c>
      <c r="B45" s="3572"/>
      <c r="C45" s="3573"/>
      <c r="D45" s="155">
        <f ca="1">ROUND(H101*F45,0)</f>
        <v>827</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5"/>
      <c r="I46" s="159"/>
      <c r="J46" s="2522">
        <v>1</v>
      </c>
      <c r="K46" s="3630" t="s">
        <v>1331</v>
      </c>
      <c r="L46" s="3630"/>
      <c r="M46" s="3650"/>
      <c r="N46" s="3650"/>
      <c r="O46" s="3650"/>
    </row>
    <row r="47" spans="1:15" ht="12" customHeight="1">
      <c r="A47" s="160" t="s">
        <v>1332</v>
      </c>
      <c r="B47" s="161"/>
      <c r="C47" s="162"/>
      <c r="D47" s="1086" t="s">
        <v>1333</v>
      </c>
      <c r="E47" s="302" t="s">
        <v>1334</v>
      </c>
      <c r="F47" s="163" t="s">
        <v>1335</v>
      </c>
      <c r="G47" s="2545" t="s">
        <v>1336</v>
      </c>
      <c r="H47" s="2546"/>
      <c r="I47" s="159"/>
      <c r="J47" s="2522">
        <v>2</v>
      </c>
      <c r="K47" s="3630" t="s">
        <v>1337</v>
      </c>
      <c r="L47" s="3630"/>
      <c r="M47" s="3651">
        <f>'数据-取费表'!B2</f>
        <v>45954</v>
      </c>
      <c r="N47" s="3651"/>
      <c r="O47" s="3651"/>
    </row>
    <row r="48" spans="1:15" ht="25.5">
      <c r="A48" s="3599" t="s">
        <v>1338</v>
      </c>
      <c r="B48" s="3582"/>
      <c r="C48" s="358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30" t="s">
        <v>1340</v>
      </c>
      <c r="L48" s="3630"/>
      <c r="M48" s="3652">
        <f ca="1">H101</f>
        <v>827</v>
      </c>
      <c r="N48" s="3652"/>
      <c r="O48" s="3652"/>
    </row>
    <row r="49" spans="1:35" ht="25.5" customHeight="1">
      <c r="A49" s="2332" t="s">
        <v>1341</v>
      </c>
      <c r="B49" s="3566" t="s">
        <v>1342</v>
      </c>
      <c r="C49" s="3566"/>
      <c r="D49" s="1589">
        <v>0</v>
      </c>
      <c r="E49" s="324" t="s">
        <v>1343</v>
      </c>
      <c r="F49" s="2423" t="s">
        <v>28</v>
      </c>
      <c r="G49" s="3636"/>
      <c r="H49" s="2309" t="s">
        <v>2133</v>
      </c>
      <c r="I49" s="2310"/>
      <c r="J49" s="2522">
        <v>4</v>
      </c>
      <c r="K49" s="3630" t="str">
        <f>IF(项目基本情况!E8="房地产抵押价值","房地产抵押价值","抵押担保权已注销时的房地产抵押价值")</f>
        <v>房地产抵押价值</v>
      </c>
      <c r="L49" s="3630"/>
      <c r="M49" s="3652">
        <f ca="1">IF(项目基本情况!E8="房地产抵押价值",H107,H109)</f>
        <v>827</v>
      </c>
      <c r="N49" s="3652"/>
      <c r="O49" s="3652"/>
    </row>
    <row r="50" spans="1:35" ht="25.5" customHeight="1">
      <c r="A50" s="2550"/>
      <c r="B50" s="3566" t="s">
        <v>1344</v>
      </c>
      <c r="C50" s="3566"/>
      <c r="D50" s="2551"/>
      <c r="E50" s="332"/>
      <c r="F50" s="2423"/>
      <c r="G50" s="3637"/>
      <c r="H50" s="2311" t="s">
        <v>2134</v>
      </c>
      <c r="I50" s="2310"/>
      <c r="J50" s="3649" t="s">
        <v>1345</v>
      </c>
      <c r="K50" s="3649"/>
      <c r="L50" s="3649"/>
      <c r="M50" s="3649"/>
      <c r="N50" s="3649"/>
      <c r="O50" s="3649"/>
    </row>
    <row r="51" spans="1:35" ht="20.45" customHeight="1">
      <c r="A51" s="2552"/>
      <c r="B51" s="3566" t="s">
        <v>1346</v>
      </c>
      <c r="C51" s="3566"/>
      <c r="D51" s="1086"/>
      <c r="E51" s="327"/>
      <c r="F51" s="2423"/>
      <c r="G51" s="3638"/>
      <c r="H51" s="2311" t="s">
        <v>2135</v>
      </c>
      <c r="I51" s="2310"/>
      <c r="J51" s="2523" t="s">
        <v>1347</v>
      </c>
      <c r="K51" s="3630" t="s">
        <v>1348</v>
      </c>
      <c r="L51" s="3630"/>
      <c r="M51" s="2523" t="s">
        <v>1349</v>
      </c>
      <c r="N51" s="2523" t="s">
        <v>1350</v>
      </c>
      <c r="O51" s="2523" t="s">
        <v>1351</v>
      </c>
    </row>
    <row r="52" spans="1:35" ht="24" customHeight="1">
      <c r="A52" s="2334" t="s">
        <v>1352</v>
      </c>
      <c r="B52" s="3566" t="s">
        <v>1353</v>
      </c>
      <c r="C52" s="3566"/>
      <c r="D52" s="1086">
        <f ca="1">ROUND(D45*'数据-取费表'!B41/(1+'数据-取费表'!C42),0)</f>
        <v>44</v>
      </c>
      <c r="E52" s="2333" t="s">
        <v>1354</v>
      </c>
      <c r="F52" s="2553">
        <f>'数据-取费表'!B41</f>
        <v>5.6000000000000001E-2</v>
      </c>
      <c r="G52" s="2554"/>
      <c r="H52" s="2543"/>
      <c r="I52" s="1806"/>
      <c r="J52" s="2522">
        <v>1</v>
      </c>
      <c r="K52" s="3631" t="s">
        <v>1355</v>
      </c>
      <c r="L52" s="3631"/>
      <c r="M52" s="2524" t="b">
        <f>D48</f>
        <v>0</v>
      </c>
      <c r="N52" s="2522" t="str">
        <f>E48</f>
        <v>销售额×税（费）率</v>
      </c>
      <c r="O52" s="2525">
        <f>F48</f>
        <v>5.6000000000000001E-2</v>
      </c>
    </row>
    <row r="53" spans="1:35" ht="12" customHeight="1">
      <c r="A53" s="2334" t="s">
        <v>1356</v>
      </c>
      <c r="B53" s="3592" t="s">
        <v>2290</v>
      </c>
      <c r="C53" s="3593"/>
      <c r="D53" s="1086">
        <f ca="1">ROUND(D45*'数据-取费表'!B41/(1+'数据-取费表'!C42),0)</f>
        <v>44</v>
      </c>
      <c r="E53" s="2333" t="s">
        <v>1354</v>
      </c>
      <c r="F53" s="2553">
        <f>'数据-取费表'!B41</f>
        <v>5.6000000000000001E-2</v>
      </c>
      <c r="G53" s="2554"/>
      <c r="H53" s="2543"/>
      <c r="I53" s="1806"/>
      <c r="J53" s="2522">
        <v>2</v>
      </c>
      <c r="K53" s="3631" t="s">
        <v>1357</v>
      </c>
      <c r="L53" s="3631"/>
      <c r="M53" s="2524">
        <f t="shared" ref="M53:O54" ca="1" si="0">D55</f>
        <v>0</v>
      </c>
      <c r="N53" s="2522" t="str">
        <f t="shared" si="0"/>
        <v>销售额×税（费）率</v>
      </c>
      <c r="O53" s="2525" t="str">
        <f t="shared" si="0"/>
        <v>免征</v>
      </c>
    </row>
    <row r="54" spans="1:35" ht="12" customHeight="1">
      <c r="A54" s="2334" t="s">
        <v>1358</v>
      </c>
      <c r="B54" s="3592" t="s">
        <v>2291</v>
      </c>
      <c r="C54" s="3593"/>
      <c r="D54" s="1086">
        <f ca="1">C68</f>
        <v>44</v>
      </c>
      <c r="E54" s="327" t="s">
        <v>1359</v>
      </c>
      <c r="F54" s="2553">
        <f>'数据-取费表'!B41</f>
        <v>5.6000000000000001E-2</v>
      </c>
      <c r="G54" s="2554"/>
      <c r="H54" s="2555"/>
      <c r="I54" s="1806"/>
      <c r="J54" s="2522">
        <v>3</v>
      </c>
      <c r="K54" s="3631" t="s">
        <v>1360</v>
      </c>
      <c r="L54" s="3631"/>
      <c r="M54" s="2524">
        <f t="shared" ca="1" si="0"/>
        <v>468</v>
      </c>
      <c r="N54" s="2522" t="str">
        <f t="shared" si="0"/>
        <v>增值额×税（费）率</v>
      </c>
      <c r="O54" s="2526" t="str">
        <f t="shared" si="0"/>
        <v>免征</v>
      </c>
    </row>
    <row r="55" spans="1:35" ht="24" customHeight="1">
      <c r="A55" s="3581" t="s">
        <v>1361</v>
      </c>
      <c r="B55" s="3582"/>
      <c r="C55" s="3582"/>
      <c r="D55" s="2323">
        <f ca="1">IF(H55="个人住宅",0,ROUND(D45*I55,0))</f>
        <v>0</v>
      </c>
      <c r="E55" s="2333" t="s">
        <v>1362</v>
      </c>
      <c r="F55" s="2553" t="str">
        <f>IF(H55="正常",I55,"免征")</f>
        <v>免征</v>
      </c>
      <c r="G55" s="2554"/>
      <c r="H55" s="2549"/>
      <c r="I55" s="165">
        <f>'数据-取费表'!B49</f>
        <v>5.0000000000000001E-4</v>
      </c>
      <c r="J55" s="2522">
        <f>IF(H59="非个人房产","",4)</f>
        <v>4</v>
      </c>
      <c r="K55" s="3631" t="str">
        <f>IF(H59="非个人房产","——","个人所得税")</f>
        <v>个人所得税</v>
      </c>
      <c r="L55" s="3631"/>
      <c r="M55" s="2527">
        <f ca="1">D59</f>
        <v>8</v>
      </c>
      <c r="N55" s="2039" t="str">
        <f>E59</f>
        <v>差额计税</v>
      </c>
      <c r="O55" s="2528">
        <f>F59</f>
        <v>0.01</v>
      </c>
    </row>
    <row r="56" spans="1:35" ht="24.75">
      <c r="A56" s="3581" t="s">
        <v>1363</v>
      </c>
      <c r="B56" s="3582"/>
      <c r="C56" s="3582"/>
      <c r="D56" s="2323">
        <f ca="1">IF(H56="个人住宅",D57,D58)</f>
        <v>468</v>
      </c>
      <c r="E56" s="2333" t="s">
        <v>1364</v>
      </c>
      <c r="F56" s="2553" t="str">
        <f>IF(H56="正常",F58,"免征")</f>
        <v>免征</v>
      </c>
      <c r="G56" s="2556" t="s">
        <v>1365</v>
      </c>
      <c r="H56" s="2557"/>
      <c r="I56" s="1807"/>
      <c r="J56" s="2522" t="str">
        <f>IF(项目基本情况!K6="上海银行",IF(J55="",4,J55+1),"")</f>
        <v/>
      </c>
      <c r="K56" s="3654" t="str">
        <f>IF(项目基本情况!K6="上海银行","其他处置费用","")</f>
        <v/>
      </c>
      <c r="L56" s="3655"/>
      <c r="M56" s="2524" t="str">
        <f>IF(项目基本情况!K6="上海银行",M69,"")</f>
        <v/>
      </c>
      <c r="N56" s="3654" t="str">
        <f>IF(项目基本情况!K6="上海银行","包含处置中涉及的律师、诉讼、拍卖、评估等费用","")</f>
        <v/>
      </c>
      <c r="O56" s="3657"/>
    </row>
    <row r="57" spans="1:35" ht="12.75">
      <c r="A57" s="2334" t="s">
        <v>1341</v>
      </c>
      <c r="B57" s="3592" t="s">
        <v>1366</v>
      </c>
      <c r="C57" s="3593"/>
      <c r="D57" s="1589">
        <v>0</v>
      </c>
      <c r="E57" s="324" t="s">
        <v>1343</v>
      </c>
      <c r="F57" s="302"/>
      <c r="G57" s="2554"/>
      <c r="H57" s="2558"/>
      <c r="I57" s="1807"/>
      <c r="J57" s="3631">
        <f>IF(AND(J55="",J56=""),4,IF(项目基本情况!K6="上海银行",结果表!J56+1,结果表!J55+1))</f>
        <v>5</v>
      </c>
      <c r="K57" s="3631" t="s">
        <v>1367</v>
      </c>
      <c r="L57" s="2529" t="s">
        <v>1368</v>
      </c>
      <c r="M57" s="2530"/>
      <c r="N57" s="2531">
        <f ca="1">SUMIF(M52:M56,"&lt;9e307")</f>
        <v>476</v>
      </c>
      <c r="O57" s="2532"/>
      <c r="P57" s="2689">
        <f ca="1">N57/M49</f>
        <v>0.57557436517533256</v>
      </c>
    </row>
    <row r="58" spans="1:35" ht="24.75">
      <c r="A58" s="2334" t="s">
        <v>1352</v>
      </c>
      <c r="B58" s="3592" t="s">
        <v>1369</v>
      </c>
      <c r="C58" s="3566"/>
      <c r="D58" s="2323">
        <f ca="1">IF(H58="转让取得",C81,C97)</f>
        <v>468</v>
      </c>
      <c r="E58" s="2333" t="s">
        <v>1364</v>
      </c>
      <c r="F58" s="302" t="s">
        <v>28</v>
      </c>
      <c r="G58" s="2554"/>
      <c r="H58" s="2557"/>
      <c r="I58" s="1807"/>
      <c r="J58" s="3631"/>
      <c r="K58" s="3631"/>
      <c r="L58" s="2529" t="s">
        <v>1370</v>
      </c>
      <c r="M58" s="2533"/>
      <c r="N58" s="2534" t="str">
        <f ca="1">NUMBERSTRING(INT(N57*10000),2)&amp;"元整"</f>
        <v>肆佰柒拾陆万元整</v>
      </c>
      <c r="O58" s="2535"/>
    </row>
    <row r="59" spans="1:35" ht="24.75" thickBot="1">
      <c r="A59" s="3634" t="s">
        <v>1371</v>
      </c>
      <c r="B59" s="3635"/>
      <c r="C59" s="3635"/>
      <c r="D59" s="2559">
        <f ca="1">IF(H59="非个人房产","——",IF(H59="个人住宅（满五唯一有凭证）",0,IF(H59="个人其他（无凭证）",ROUND(D45/(1+'数据-取费表'!C42)*F59,0),ROUND(C67*F59,0))))</f>
        <v>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32">
        <f>J57+1</f>
        <v>6</v>
      </c>
      <c r="K59" s="3631" t="s">
        <v>1372</v>
      </c>
      <c r="L59" s="2522" t="s">
        <v>1368</v>
      </c>
      <c r="M59" s="2536"/>
      <c r="N59" s="2537">
        <f ca="1">M49-N57</f>
        <v>351</v>
      </c>
      <c r="O59" s="2538"/>
    </row>
    <row r="60" spans="1:35" ht="12" customHeight="1">
      <c r="A60" s="1808"/>
      <c r="B60" s="1746"/>
      <c r="C60" s="1746"/>
      <c r="D60" s="1746"/>
      <c r="E60" s="1577"/>
      <c r="F60" s="1807"/>
      <c r="G60" s="1807"/>
      <c r="H60" s="1809"/>
      <c r="I60" s="129"/>
      <c r="J60" s="3633"/>
      <c r="K60" s="3631"/>
      <c r="L60" s="2529" t="s">
        <v>1370</v>
      </c>
      <c r="M60" s="2533"/>
      <c r="N60" s="2534" t="str">
        <f ca="1">NUMBERSTRING(INT(N59*10000),2)&amp;"元整"</f>
        <v>叁佰伍拾壹万元整</v>
      </c>
      <c r="O60" s="2535"/>
    </row>
    <row r="61" spans="1:35" ht="13.5" thickBot="1">
      <c r="A61" s="3579" t="s">
        <v>1373</v>
      </c>
      <c r="B61" s="3579"/>
      <c r="C61" s="3579"/>
      <c r="D61" s="3579"/>
      <c r="E61" s="3579"/>
      <c r="F61" s="1807"/>
      <c r="G61" s="1807"/>
      <c r="H61" s="1809"/>
      <c r="I61" s="129"/>
      <c r="J61" s="2522">
        <f>J59+1</f>
        <v>7</v>
      </c>
      <c r="K61" s="3631" t="s">
        <v>1374</v>
      </c>
      <c r="L61" s="3631"/>
      <c r="M61" s="2539"/>
      <c r="N61" s="2540">
        <f ca="1">ROUND(N59*10000/'数据-汇总表'!E3,0)</f>
        <v>13764</v>
      </c>
      <c r="O61" s="2541"/>
    </row>
    <row r="62" spans="1:35" ht="12.75">
      <c r="A62" s="3597" t="s">
        <v>1375</v>
      </c>
      <c r="B62" s="3598"/>
      <c r="C62" s="2020"/>
      <c r="D62" s="2020" t="s">
        <v>1376</v>
      </c>
      <c r="E62" s="166" t="s">
        <v>1377</v>
      </c>
      <c r="F62" s="1807"/>
      <c r="G62" s="1807"/>
      <c r="H62" s="1809"/>
      <c r="I62" s="129"/>
    </row>
    <row r="63" spans="1:35" ht="12.75">
      <c r="A63" s="173" t="s">
        <v>330</v>
      </c>
      <c r="B63" s="167" t="s">
        <v>1378</v>
      </c>
      <c r="C63" s="2563">
        <f ca="1">ROUND((C64+C65)/(1+'数据-取费表'!C42),0)</f>
        <v>788</v>
      </c>
      <c r="D63" s="167"/>
      <c r="E63" s="168"/>
      <c r="F63" s="1807"/>
      <c r="G63" s="1807"/>
      <c r="H63" s="1809"/>
      <c r="I63" s="129"/>
      <c r="J63" s="3656" t="s">
        <v>1379</v>
      </c>
      <c r="K63" s="1331" t="s">
        <v>1380</v>
      </c>
      <c r="L63" s="1331">
        <f ca="1">IF(M49&gt;10000,M49*0.5%,IF(AND(M49&gt;1000,M49&lt;=10000),M49*1%,IF(AND(M49&gt;100,M49&lt;=1000),M49*3%,IF(AND(M49&gt;10,M49&lt;=100),M49*5%,M49*8%))))</f>
        <v>24.81</v>
      </c>
      <c r="M63" s="302">
        <f ca="1">ROUND(L63,1)</f>
        <v>24.8</v>
      </c>
      <c r="N63" s="2542"/>
      <c r="Z63" s="1751"/>
      <c r="AI63" s="1752"/>
    </row>
    <row r="64" spans="1:35" ht="14.25" customHeight="1">
      <c r="A64" s="169" t="s">
        <v>325</v>
      </c>
      <c r="B64" s="170" t="s">
        <v>1381</v>
      </c>
      <c r="C64" s="2564">
        <f ca="1">D45</f>
        <v>827</v>
      </c>
      <c r="D64" s="170" t="s">
        <v>26</v>
      </c>
      <c r="E64" s="172"/>
      <c r="F64" s="1807"/>
      <c r="G64" s="1807"/>
      <c r="H64" s="1809"/>
      <c r="I64" s="129"/>
      <c r="J64" s="3656"/>
      <c r="K64" s="1331" t="s">
        <v>1382</v>
      </c>
      <c r="L64" s="1331">
        <f ca="1">IF(M49&gt;2000,M49*0.5%,IF(AND(M49&gt;1000,M49&lt;=2000),M49*0.6%,IF(AND(M49&gt;500,M49&lt;=1000),M49*0.7%,IF(AND(M49&gt;200,M49&lt;=500),M49*0.8%,IF(AND(M49&gt;100,M49&lt;=200),M49*0.9%,IF(AND(M49&gt;50,M49&lt;=100),M49*1%,IF(AND(M49&gt;20,M49&lt;=50),M49*1.5%,IF(AND(M49&gt;10,M49&lt;=20),M49*2%,IF(AND(M49&gt;1,M49&lt;=10),M49*2.5%)))))))))</f>
        <v>5.7889999999999997</v>
      </c>
      <c r="M64" s="302">
        <f t="shared" ref="M64:M65" ca="1" si="1">ROUND(L64,1)</f>
        <v>5.8</v>
      </c>
      <c r="N64" s="2543" t="s">
        <v>1383</v>
      </c>
      <c r="Z64" s="1751"/>
      <c r="AI64" s="1752"/>
    </row>
    <row r="65" spans="1:35" ht="14.25" customHeight="1">
      <c r="A65" s="169" t="s">
        <v>326</v>
      </c>
      <c r="B65" s="170" t="s">
        <v>1384</v>
      </c>
      <c r="C65" s="2565"/>
      <c r="D65" s="170"/>
      <c r="E65" s="172"/>
      <c r="F65" s="1807"/>
      <c r="G65" s="1807"/>
      <c r="H65" s="1809"/>
      <c r="I65" s="129"/>
      <c r="J65" s="3656"/>
      <c r="K65" s="1331" t="s">
        <v>1385</v>
      </c>
      <c r="L65" s="1331">
        <f ca="1">IF(M49&gt;1000,M49*0.1%,IF(AND(M49&gt;500,M49&lt;=1000),M49*0.5%,IF(AND(M49&gt;50,M49&lt;=500),M49*1%,IF(AND(M49&gt;1,M49&lt;=50),M49*1.5%))))</f>
        <v>4.1349999999999998</v>
      </c>
      <c r="M65" s="302">
        <f t="shared" ca="1" si="1"/>
        <v>4.0999999999999996</v>
      </c>
      <c r="N65" s="2543" t="s">
        <v>1383</v>
      </c>
      <c r="Z65" s="1751"/>
      <c r="AI65" s="1752"/>
    </row>
    <row r="66" spans="1:35" ht="14.25" customHeight="1">
      <c r="A66" s="173" t="s">
        <v>327</v>
      </c>
      <c r="B66" s="174" t="s">
        <v>1386</v>
      </c>
      <c r="C66" s="2566"/>
      <c r="D66" s="174" t="s">
        <v>26</v>
      </c>
      <c r="E66" s="1337" t="s">
        <v>671</v>
      </c>
      <c r="F66" s="1807"/>
      <c r="G66" s="1807"/>
      <c r="H66" s="1809"/>
      <c r="I66" s="129"/>
      <c r="J66" s="3656"/>
      <c r="K66" s="1331" t="s">
        <v>1387</v>
      </c>
      <c r="L66" s="1331">
        <f ca="1">M49*0.5%</f>
        <v>4.1349999999999998</v>
      </c>
      <c r="M66" s="302">
        <f ca="1">IF(L66&gt;0.5,0.5,ROUND(L66,0))</f>
        <v>0.5</v>
      </c>
      <c r="N66" s="2543" t="s">
        <v>1388</v>
      </c>
      <c r="Z66" s="1751"/>
      <c r="AI66" s="1752"/>
    </row>
    <row r="67" spans="1:35" ht="14.25" customHeight="1">
      <c r="A67" s="173" t="s">
        <v>328</v>
      </c>
      <c r="B67" s="174" t="s">
        <v>1389</v>
      </c>
      <c r="C67" s="2567">
        <f ca="1">C63-C66</f>
        <v>788</v>
      </c>
      <c r="D67" s="170" t="s">
        <v>26</v>
      </c>
      <c r="E67" s="172"/>
      <c r="F67" s="1807"/>
      <c r="G67" s="1807"/>
      <c r="H67" s="1809"/>
      <c r="I67" s="129"/>
      <c r="J67" s="3656"/>
      <c r="K67" s="1331" t="s">
        <v>1390</v>
      </c>
      <c r="L67" s="1331">
        <f ca="1">IF(M49&gt;=10000,(8.25+(M49-10000)*0.01%),IF(AND(M49&gt;=8000,M49&lt;10000),(7.85+(M49-8000)*0.02%),IF(AND(M49&gt;=5000,M49&lt;8000),(6.65+(M49-5000)*0.04%),IF(AND(M49&gt;=2000,M49&lt;5000),(4.25+(PM49-2000)*0.08%),IF(AND(M49&gt;=1000,M49&lt;2000),(2.75+(M49-1000)*0.15%),IF(AND(M49&gt;=100,M49&lt;1000),(0.5+(M49-100)*0.25%),IF(AND(M49&gt;0,M49&lt;100),M49*0.5%)))))))</f>
        <v>2.3174999999999999</v>
      </c>
      <c r="M67" s="302">
        <f ca="1">ROUND(L67*0.9,1)</f>
        <v>2.1</v>
      </c>
      <c r="N67" s="2542"/>
      <c r="Z67" s="1751"/>
      <c r="AI67" s="1752"/>
    </row>
    <row r="68" spans="1:35" ht="14.25" customHeight="1" thickBot="1">
      <c r="A68" s="176" t="s">
        <v>329</v>
      </c>
      <c r="B68" s="177" t="s">
        <v>1391</v>
      </c>
      <c r="C68" s="2568">
        <f ca="1">IF(C67&lt;=0,0,ROUND(C67*D68,0))</f>
        <v>44</v>
      </c>
      <c r="D68" s="2569">
        <f>'数据-取费表'!B41</f>
        <v>5.6000000000000001E-2</v>
      </c>
      <c r="E68" s="178"/>
      <c r="F68" s="1807"/>
      <c r="G68" s="1807"/>
      <c r="H68" s="1809"/>
      <c r="I68" s="129"/>
      <c r="J68" s="3656"/>
      <c r="K68" s="1331" t="s">
        <v>1392</v>
      </c>
      <c r="L68" s="1331">
        <f ca="1">IF(M49&gt;10000,M49*0.5%,IF(AND(M49&gt;5000,M49&lt;=10000),M49*1%,IF(AND(M49&gt;1000,M49&lt;=5000),M49*2%,IF(AND(M49&gt;200,M49&lt;=1000),M49*3%,M49*5%))))</f>
        <v>24.81</v>
      </c>
      <c r="M68" s="302">
        <f ca="1">ROUND(L68,1)</f>
        <v>24.8</v>
      </c>
      <c r="N68" s="2542"/>
      <c r="Z68" s="1751"/>
      <c r="AI68" s="1752"/>
    </row>
    <row r="69" spans="1:35" s="1771" customFormat="1" ht="16.5" customHeight="1">
      <c r="A69" s="1810"/>
      <c r="B69" s="1811"/>
      <c r="C69" s="1812"/>
      <c r="D69" s="1813"/>
      <c r="E69" s="1814"/>
      <c r="F69" s="1577"/>
      <c r="G69" s="1577"/>
      <c r="H69" s="1576"/>
      <c r="I69" s="1746"/>
      <c r="J69" s="3656"/>
      <c r="K69" s="1331" t="s">
        <v>1393</v>
      </c>
      <c r="L69" s="1331"/>
      <c r="M69" s="302">
        <f ca="1">ROUND(SUM(M63:M68),0)</f>
        <v>62</v>
      </c>
      <c r="N69" s="2544">
        <f ca="1">M69/M49</f>
        <v>7.4969770253929868E-2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788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2" t="s">
        <v>1402</v>
      </c>
      <c r="F76" s="3566"/>
      <c r="G76" s="3566"/>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v>
      </c>
      <c r="D78" s="2576">
        <f>'数据-取费表'!B43</f>
        <v>6.000000000000001E-3</v>
      </c>
      <c r="E78" s="3576" t="s">
        <v>1406</v>
      </c>
      <c r="F78" s="3577"/>
      <c r="G78" s="3577"/>
      <c r="H78" s="35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783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468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788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8" t="s">
        <v>2128</v>
      </c>
      <c r="H90" s="365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6" t="s">
        <v>1419</v>
      </c>
      <c r="F91" s="3577"/>
      <c r="G91" s="357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6" t="s">
        <v>1422</v>
      </c>
      <c r="F92" s="3577"/>
      <c r="G92" s="3577"/>
      <c r="H92" s="358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v>
      </c>
      <c r="D93" s="2576">
        <f>'数据-取费表'!B43</f>
        <v>6.000000000000001E-3</v>
      </c>
      <c r="E93" s="3576" t="s">
        <v>1406</v>
      </c>
      <c r="F93" s="3577"/>
      <c r="G93" s="3577"/>
      <c r="H93" s="35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7" t="s">
        <v>1426</v>
      </c>
      <c r="F94" s="3588"/>
      <c r="G94" s="3588"/>
      <c r="H94" s="358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783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468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0" t="s">
        <v>1428</v>
      </c>
      <c r="B100" s="3561"/>
      <c r="C100" s="3561"/>
      <c r="D100" s="3578"/>
      <c r="E100" s="3561" t="s">
        <v>1429</v>
      </c>
      <c r="F100" s="3561"/>
      <c r="G100" s="3561"/>
      <c r="H100" s="3578"/>
      <c r="I100" s="129"/>
    </row>
    <row r="101" spans="1:35" ht="18.75" customHeight="1">
      <c r="A101" s="3639" t="s">
        <v>1430</v>
      </c>
      <c r="B101" s="3640"/>
      <c r="C101" s="2584" t="str">
        <f>C4</f>
        <v>比较法-办公</v>
      </c>
      <c r="D101" s="2585" t="str">
        <f>D4</f>
        <v>收益法 (元)</v>
      </c>
      <c r="E101" s="3653" t="s">
        <v>1431</v>
      </c>
      <c r="F101" s="3610"/>
      <c r="G101" s="1826" t="s">
        <v>1432</v>
      </c>
      <c r="H101" s="2594">
        <f ca="1">H118</f>
        <v>827</v>
      </c>
      <c r="I101" s="129"/>
    </row>
    <row r="102" spans="1:35" ht="18.75" customHeight="1">
      <c r="A102" s="3612" t="s">
        <v>1433</v>
      </c>
      <c r="B102" s="2583" t="s">
        <v>1432</v>
      </c>
      <c r="C102" s="2584">
        <f ca="1">IF(D32="楼面单价",ROUND(C19,0),C19)</f>
        <v>1019</v>
      </c>
      <c r="D102" s="2585">
        <f ca="1">IF(D32="楼面单价",ROUND(D19,0),D19)</f>
        <v>539</v>
      </c>
      <c r="E102" s="3653"/>
      <c r="F102" s="3610"/>
      <c r="G102" s="1826" t="s">
        <v>1434</v>
      </c>
      <c r="H102" s="2554">
        <f ca="1">I118</f>
        <v>32429</v>
      </c>
      <c r="I102" s="129"/>
    </row>
    <row r="103" spans="1:35" ht="42.75" customHeight="1">
      <c r="A103" s="3612"/>
      <c r="B103" s="2583" t="s">
        <v>1434</v>
      </c>
      <c r="C103" s="2586">
        <f ca="1">C20</f>
        <v>39953</v>
      </c>
      <c r="D103" s="2587">
        <f ca="1">D20</f>
        <v>21143</v>
      </c>
      <c r="E103" s="3647" t="s">
        <v>1435</v>
      </c>
      <c r="F103" s="3648"/>
      <c r="G103" s="1827" t="s">
        <v>1436</v>
      </c>
      <c r="H103" s="2594">
        <f>IF(D36="正常操作",H104+H105+H106,H105+H106)</f>
        <v>0</v>
      </c>
      <c r="I103" s="129"/>
    </row>
    <row r="104" spans="1:35" ht="18.75" customHeight="1">
      <c r="A104" s="3612" t="s">
        <v>1437</v>
      </c>
      <c r="B104" s="2588" t="s">
        <v>1432</v>
      </c>
      <c r="C104" s="2589">
        <f ca="1">H118</f>
        <v>827</v>
      </c>
      <c r="D104" s="2590"/>
      <c r="E104" s="1673" t="s">
        <v>1438</v>
      </c>
      <c r="F104" s="1665"/>
      <c r="G104" s="1827" t="s">
        <v>1436</v>
      </c>
      <c r="H104" s="2595">
        <f>IF(D36="同一抵押权人同一抵押物续贷",C36&amp;"（续贷，未扣减，详见特别提示）",C36)</f>
        <v>0</v>
      </c>
      <c r="I104" s="129"/>
    </row>
    <row r="105" spans="1:35" ht="18.75" customHeight="1" thickBot="1">
      <c r="A105" s="3613"/>
      <c r="B105" s="2591" t="s">
        <v>1434</v>
      </c>
      <c r="C105" s="2592">
        <f ca="1">I118</f>
        <v>32429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9" t="str">
        <f>IF(项目基本情况!E8="已注销","——","3.房地产抵押价值")</f>
        <v>3.房地产抵押价值</v>
      </c>
      <c r="F107" s="3610"/>
      <c r="G107" s="1826" t="s">
        <v>1432</v>
      </c>
      <c r="H107" s="2594">
        <f ca="1">IF(E107="——","——",H101-H103)</f>
        <v>827</v>
      </c>
      <c r="I107" s="129"/>
    </row>
    <row r="108" spans="1:35" ht="18.75" customHeight="1">
      <c r="A108" s="129"/>
      <c r="B108" s="129"/>
      <c r="C108" s="129"/>
      <c r="D108" s="129"/>
      <c r="E108" s="3609"/>
      <c r="F108" s="3610"/>
      <c r="G108" s="1826" t="s">
        <v>1434</v>
      </c>
      <c r="H108" s="2554">
        <f ca="1">IF(H107=H101,H102,ROUND(H107*10000/'数据-汇总表'!E3,0))</f>
        <v>32429</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6" t="s">
        <v>1432</v>
      </c>
      <c r="H109" s="2597" t="str">
        <f>IF(E109="——","——",H101-H105-H106)</f>
        <v>——</v>
      </c>
      <c r="I109" s="129"/>
    </row>
    <row r="110" spans="1:35" ht="18.75" customHeight="1">
      <c r="A110" s="129"/>
      <c r="B110" s="129"/>
      <c r="C110" s="129"/>
      <c r="D110" s="129"/>
      <c r="E110" s="3609"/>
      <c r="F110" s="3610"/>
      <c r="G110" s="1826" t="s">
        <v>1434</v>
      </c>
      <c r="H110" s="2554"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6" t="s">
        <v>1432</v>
      </c>
      <c r="H111" s="2594" t="str">
        <f>IF(E111="——","——",N59)</f>
        <v>——</v>
      </c>
      <c r="I111" s="129"/>
    </row>
    <row r="112" spans="1:35" ht="18.75" customHeight="1" thickBot="1">
      <c r="A112" s="129"/>
      <c r="B112" s="129"/>
      <c r="C112" s="129"/>
      <c r="D112" s="129"/>
      <c r="E112" s="3642"/>
      <c r="F112" s="3643"/>
      <c r="G112" s="1829" t="s">
        <v>1434</v>
      </c>
      <c r="H112" s="2598" t="str">
        <f>IF(E111="——","——",N61)</f>
        <v>——</v>
      </c>
      <c r="I112" s="129"/>
    </row>
    <row r="113" spans="1:27" ht="18.75" customHeight="1">
      <c r="A113" s="129"/>
      <c r="B113" s="129"/>
      <c r="C113" s="129"/>
      <c r="D113" s="129"/>
      <c r="E113" s="3614" t="s">
        <v>1440</v>
      </c>
      <c r="F113" s="3614"/>
      <c r="G113" s="3614"/>
      <c r="H113" s="3614"/>
      <c r="I113" s="129"/>
    </row>
    <row r="114" spans="1:27" ht="3.75" customHeight="1">
      <c r="A114" s="1746"/>
      <c r="B114" s="1746"/>
      <c r="C114" s="1746"/>
      <c r="D114" s="1746"/>
      <c r="E114" s="1808"/>
      <c r="F114" s="1808"/>
      <c r="G114" s="1808"/>
      <c r="H114" s="1808"/>
      <c r="I114" s="1746"/>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8" t="s">
        <v>1449</v>
      </c>
      <c r="E117" s="2328" t="s">
        <v>1450</v>
      </c>
      <c r="F117" s="2328" t="s">
        <v>1449</v>
      </c>
      <c r="G117" s="2328" t="s">
        <v>1451</v>
      </c>
      <c r="H117" s="2328" t="s">
        <v>1449</v>
      </c>
      <c r="I117" s="2328" t="s">
        <v>1451</v>
      </c>
    </row>
    <row r="118" spans="1:27" ht="24.75" customHeight="1">
      <c r="A118" s="2599" t="str">
        <f>项目基本情况!S2</f>
        <v>北京市东城区南竹杆胡同2号1幢14层51706等18套办公用房房地产</v>
      </c>
      <c r="B118" s="2328">
        <f>M18</f>
        <v>255.02</v>
      </c>
      <c r="C118" s="2328">
        <f>M19</f>
        <v>0</v>
      </c>
      <c r="D118" s="2328">
        <f ca="1">ROUND(IF(D32="总价",C34,E118*B118/10000),0)</f>
        <v>624</v>
      </c>
      <c r="E118" s="2328">
        <f ca="1">ROUND(IF(C33="自定义",IF(D32="楼面单价",C34,D118*10000/B118),I118-G118),0)</f>
        <v>24451</v>
      </c>
      <c r="F118" s="2328">
        <f ca="1">ROUND(IF(D32="总价",C35,G118*B118/10000),0)</f>
        <v>203</v>
      </c>
      <c r="G118" s="2328">
        <f ca="1">ROUND(IF(D32="楼面单价",C35,F118*10000/B118),0)</f>
        <v>7978</v>
      </c>
      <c r="H118" s="2328">
        <f ca="1">ROUND(IF(D32="总价",C32,I118*B118/10000),0)</f>
        <v>827</v>
      </c>
      <c r="I118" s="2328">
        <f ca="1">ROUND(IF(D32="楼面单价",C32,H118*10000/B118),0)</f>
        <v>32429</v>
      </c>
    </row>
    <row r="119" spans="1:27" ht="18.75" customHeight="1">
      <c r="A119" s="3580" t="s">
        <v>1452</v>
      </c>
      <c r="B119" s="3580"/>
      <c r="C119" s="3580"/>
      <c r="D119" s="3620" t="str">
        <f ca="1">NUMBERSTRING(INT(D118*10000),2)&amp;"元整"</f>
        <v>陆佰贰拾肆万元整</v>
      </c>
      <c r="E119" s="3622"/>
      <c r="F119" s="3620" t="str">
        <f ca="1">NUMBERSTRING(INT(F118*10000),2)&amp;"元整"</f>
        <v>贰佰零叁万元整</v>
      </c>
      <c r="G119" s="3622"/>
      <c r="H119" s="3620" t="str">
        <f ca="1">NUMBERSTRING(INT(H118*10000),2)&amp;"元整"</f>
        <v>捌佰贰拾柒万元整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0" t="s">
        <v>1452</v>
      </c>
      <c r="B121" s="3621"/>
      <c r="C121" s="3622"/>
      <c r="D121" s="3620" t="str">
        <f>IF(D120=0,"零元整",NUMBERSTRING(INT(D120*10000),2)&amp;"元整")</f>
        <v>零元整</v>
      </c>
      <c r="E121" s="3621"/>
      <c r="F121" s="3621"/>
      <c r="G121" s="3621"/>
      <c r="H121" s="3621"/>
      <c r="I121" s="3622"/>
      <c r="AA121" s="724"/>
    </row>
    <row r="122" spans="1:27" ht="18.75" customHeight="1">
      <c r="A122" s="3611" t="str">
        <f>IF(项目基本情况!B9="房地产市场价值","",MID(E107,3,LEN(E107)-2))</f>
        <v>房地产抵押价值</v>
      </c>
      <c r="B122" s="3611"/>
      <c r="C122" s="3611"/>
      <c r="D122" s="3644">
        <f ca="1">H107</f>
        <v>827</v>
      </c>
      <c r="E122" s="3645"/>
      <c r="F122" s="3645"/>
      <c r="G122" s="3645"/>
      <c r="H122" s="3645"/>
      <c r="I122" s="3646"/>
      <c r="AA122" s="724"/>
    </row>
    <row r="123" spans="1:27" ht="18.75" customHeight="1">
      <c r="A123" s="3580" t="s">
        <v>1452</v>
      </c>
      <c r="B123" s="3580"/>
      <c r="C123" s="3580"/>
      <c r="D123" s="3620" t="str">
        <f ca="1">NUMBERSTRING(INT(D122*10000),2)&amp;"元整"</f>
        <v>捌佰贰拾柒万元整</v>
      </c>
      <c r="E123" s="3621"/>
      <c r="F123" s="3621"/>
      <c r="G123" s="3621"/>
      <c r="H123" s="3621"/>
      <c r="I123" s="3622"/>
      <c r="AA123" s="724"/>
    </row>
    <row r="124" spans="1:27" ht="18.75" customHeight="1">
      <c r="A124" s="3611" t="str">
        <f>IF(项目基本情况!B9="房地产市场价值","",MID(E109,3,LEN(E109)-2))</f>
        <v/>
      </c>
      <c r="B124" s="3611"/>
      <c r="C124" s="3611"/>
      <c r="D124" s="3644" t="str">
        <f>H109</f>
        <v>——</v>
      </c>
      <c r="E124" s="3645"/>
      <c r="F124" s="3645"/>
      <c r="G124" s="3645"/>
      <c r="H124" s="3645"/>
      <c r="I124" s="3646"/>
      <c r="AA124" s="724"/>
    </row>
    <row r="125" spans="1:27" ht="18.75" customHeight="1">
      <c r="A125" s="3580" t="s">
        <v>1452</v>
      </c>
      <c r="B125" s="3580"/>
      <c r="C125" s="3580"/>
      <c r="D125" s="3620" t="e">
        <f>NUMBERSTRING(INT(D124*10000),2)&amp;"元整"</f>
        <v>#VALUE!</v>
      </c>
      <c r="E125" s="3621"/>
      <c r="F125" s="3621"/>
      <c r="G125" s="3621"/>
      <c r="H125" s="3621"/>
      <c r="I125" s="3622"/>
      <c r="AA125" s="724"/>
    </row>
    <row r="126" spans="1:27" ht="18.75" customHeight="1">
      <c r="A126" s="3611" t="str">
        <f>IF(项目基本情况!B9="房地产市场价值","",MID(E111,3,LEN(E111)-2))</f>
        <v/>
      </c>
      <c r="B126" s="3611"/>
      <c r="C126" s="3611"/>
      <c r="D126" s="3644" t="str">
        <f>H111</f>
        <v>——</v>
      </c>
      <c r="E126" s="3645"/>
      <c r="F126" s="3645"/>
      <c r="G126" s="3645"/>
      <c r="H126" s="3645"/>
      <c r="I126" s="3646"/>
      <c r="AA126" s="724"/>
    </row>
    <row r="127" spans="1:27" ht="18.75" customHeight="1">
      <c r="A127" s="3580" t="s">
        <v>1452</v>
      </c>
      <c r="B127" s="3580"/>
      <c r="C127" s="3580"/>
      <c r="D127" s="3620" t="e">
        <f>NUMBERSTRING(INT(D126*10000),2)&amp;"元整"</f>
        <v>#VALUE!</v>
      </c>
      <c r="E127" s="3621"/>
      <c r="F127" s="3621"/>
      <c r="G127" s="3621"/>
      <c r="H127" s="3621"/>
      <c r="I127" s="3622"/>
      <c r="AA127" s="724"/>
    </row>
    <row r="128" spans="1:27" ht="21.75" customHeight="1">
      <c r="A128" s="3627" t="s">
        <v>1453</v>
      </c>
      <c r="B128" s="3627"/>
      <c r="C128" s="3627"/>
      <c r="D128" s="3627"/>
      <c r="E128" s="3627"/>
      <c r="F128" s="3627"/>
      <c r="G128" s="3627"/>
      <c r="H128" s="3627"/>
      <c r="I128" s="362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7" t="str">
        <f>项目基本情况!B1</f>
        <v>北京市东城区南竹杆胡同2号1幢14层51706等18套办公用房房地产抵押价值预评估</v>
      </c>
      <c r="C37" s="3477"/>
      <c r="D37" s="3477"/>
      <c r="E37" s="3477"/>
      <c r="F37" s="3477"/>
      <c r="G37" s="3477"/>
      <c r="H37" s="3477"/>
      <c r="I37" s="347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138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255.02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v>
      </c>
      <c r="D19" s="848">
        <f ca="1">D9+D10</f>
        <v>255.02</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115</v>
      </c>
      <c r="D34" s="217"/>
      <c r="E34" s="220"/>
      <c r="F34" s="257">
        <f ca="1">IF('数据-取费表'!B24=0,1,IF(B1="",'数据-取费表'!N16,INDIRECT("'数据-取费表'!n"&amp;$G$1)))</f>
        <v>1</v>
      </c>
      <c r="G34" s="219" t="s">
        <v>1526</v>
      </c>
    </row>
    <row r="35" spans="1:7" ht="13.5" customHeight="1">
      <c r="A35" s="779" t="s">
        <v>351</v>
      </c>
      <c r="B35" s="215" t="s">
        <v>1527</v>
      </c>
      <c r="C35" s="220">
        <f ca="1">ROUND(C34*F35,0)</f>
        <v>6</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255.02</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60" t="s">
        <v>1544</v>
      </c>
    </row>
    <row r="43" spans="1:7" ht="13.5" customHeight="1">
      <c r="A43" s="779" t="s">
        <v>347</v>
      </c>
      <c r="B43" s="215" t="s">
        <v>1545</v>
      </c>
      <c r="C43" s="238">
        <f ca="1">ROUND(IF('数据-取费表'!B22&lt;=1,C39*F22*'数据-取费表'!B21/2,C39*(POWER((1+F22),'数据-取费表'!B21/2)-1)),0)</f>
        <v>0</v>
      </c>
      <c r="D43" s="238"/>
      <c r="E43" s="238"/>
      <c r="F43" s="239"/>
      <c r="G43" s="3661"/>
    </row>
    <row r="44" spans="1:7" ht="13.5" customHeight="1">
      <c r="A44" s="779" t="s">
        <v>348</v>
      </c>
      <c r="B44" s="215" t="s">
        <v>1546</v>
      </c>
      <c r="C44" s="238">
        <f ca="1">ROUND(IF('数据-取费表'!B22&lt;=1,C40*F22*'数据-取费表'!B21/2,C40*(POWER((1+F22),'数据-取费表'!B21/2)-1)),4)</f>
        <v>5.9999999999999995E-4</v>
      </c>
      <c r="D44" s="238"/>
      <c r="E44" s="238"/>
      <c r="F44" s="239"/>
      <c r="G44" s="3662"/>
    </row>
    <row r="45" spans="1:7" s="214" customFormat="1" ht="13.5" customHeight="1">
      <c r="A45" s="255" t="s">
        <v>1547</v>
      </c>
      <c r="B45" s="244" t="s">
        <v>1513</v>
      </c>
      <c r="C45" s="245">
        <f ca="1">C46</f>
        <v>20</v>
      </c>
      <c r="D45" s="235">
        <f ca="1">C47</f>
        <v>3.0000000000000001E-3</v>
      </c>
      <c r="E45" s="236" t="s">
        <v>1539</v>
      </c>
      <c r="F45" s="246">
        <f ca="1">F27</f>
        <v>0.15</v>
      </c>
      <c r="G45" s="247" t="s">
        <v>1548</v>
      </c>
    </row>
    <row r="46" spans="1:7" s="214" customFormat="1" ht="13.5" customHeight="1">
      <c r="A46" s="779" t="s">
        <v>346</v>
      </c>
      <c r="B46" s="248" t="s">
        <v>1549</v>
      </c>
      <c r="C46" s="249">
        <f ca="1">ROUND((C33+C39)*F27,0)</f>
        <v>20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132</v>
      </c>
      <c r="D51" s="232"/>
      <c r="E51" s="232"/>
      <c r="F51" s="264"/>
      <c r="G51" s="234" t="s">
        <v>1560</v>
      </c>
    </row>
    <row r="52" spans="1:7" s="208" customFormat="1" ht="16.5" thickBot="1">
      <c r="A52" s="265" t="s">
        <v>1561</v>
      </c>
      <c r="B52" s="266"/>
      <c r="C52" s="267">
        <f ca="1">C31+C51</f>
        <v>138</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145.2911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5697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51004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51004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51004</v>
      </c>
      <c r="D10" s="844">
        <f ca="1">IF(B1="",'数据-汇总表'!E6,IF(INDIRECT("'数据-取费表'!c"&amp;$G$1)="住宅",INDIRECT("'数据-取费表'!s"&amp;$G$1),INDIRECT("'数据-取费表'!k"&amp;$G$1)+INDIRECT("'数据-取费表'!s"&amp;$G$1)))</f>
        <v>255.02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51004</v>
      </c>
      <c r="D19" s="848">
        <f ca="1">D9+D10</f>
        <v>255.02</v>
      </c>
      <c r="E19" s="211">
        <f>'数据-取费表'!B31</f>
        <v>200</v>
      </c>
      <c r="F19" s="231"/>
      <c r="G19" s="1855"/>
    </row>
    <row r="20" spans="1:7" s="214" customFormat="1" ht="13.5" customHeight="1">
      <c r="A20" s="255" t="s">
        <v>1574</v>
      </c>
      <c r="B20" s="210" t="s">
        <v>1575</v>
      </c>
      <c r="C20" s="232">
        <f ca="1">ROUND((C5+C19)*F20,0)</f>
        <v>3060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6582</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3243</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3243</v>
      </c>
      <c r="D24" s="238"/>
      <c r="E24" s="238"/>
      <c r="F24" s="239"/>
      <c r="G24" s="240" t="s">
        <v>1586</v>
      </c>
    </row>
    <row r="25" spans="1:7" s="214" customFormat="1" ht="24">
      <c r="A25" s="779" t="s">
        <v>1476</v>
      </c>
      <c r="B25" s="215" t="s">
        <v>1587</v>
      </c>
      <c r="C25" s="1127">
        <f ca="1">ROUND(IF('数据-取费表'!B22&lt;=1,C20*F22*'数据-取费表'!B22/2,C20*(POWER((1+F22),'数据-取费表'!B22/2)-1)),0)</f>
        <v>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15760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15760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138024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1278926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1147590</v>
      </c>
      <c r="D34" s="217"/>
      <c r="E34" s="220"/>
      <c r="F34" s="257"/>
      <c r="G34" s="219"/>
    </row>
    <row r="35" spans="1:7" ht="13.5" customHeight="1">
      <c r="A35" s="779" t="s">
        <v>351</v>
      </c>
      <c r="B35" s="215" t="s">
        <v>1527</v>
      </c>
      <c r="C35" s="220">
        <f ca="1">ROUND(C34*F35,0)</f>
        <v>57380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51004</v>
      </c>
      <c r="D37" s="217">
        <f ca="1">D19</f>
        <v>255.02</v>
      </c>
      <c r="E37" s="249">
        <f>'数据-取费表'!B35</f>
        <v>200</v>
      </c>
      <c r="F37" s="259"/>
      <c r="G37" s="261"/>
    </row>
    <row r="38" spans="1:7" ht="13.5" customHeight="1">
      <c r="A38" s="779" t="s">
        <v>354</v>
      </c>
      <c r="B38" s="215" t="s">
        <v>1533</v>
      </c>
      <c r="C38" s="220">
        <f ca="1">ROUND(C34*F38,0)</f>
        <v>22952</v>
      </c>
      <c r="D38" s="220"/>
      <c r="E38" s="220"/>
      <c r="F38" s="259">
        <f>'数据-取费表'!B36</f>
        <v>0.02</v>
      </c>
      <c r="G38" s="219" t="s">
        <v>1528</v>
      </c>
    </row>
    <row r="39" spans="1:7" s="214" customFormat="1" ht="13.5" customHeight="1">
      <c r="A39" s="255" t="s">
        <v>1534</v>
      </c>
      <c r="B39" s="210" t="s">
        <v>1535</v>
      </c>
      <c r="C39" s="232">
        <f ca="1">ROUND(C33*F20,0)</f>
        <v>38368</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41231</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40030</v>
      </c>
      <c r="D42" s="238"/>
      <c r="E42" s="238"/>
      <c r="F42" s="239"/>
      <c r="G42" s="3660" t="s">
        <v>1591</v>
      </c>
    </row>
    <row r="43" spans="1:7" ht="13.5" customHeight="1">
      <c r="A43" s="779" t="s">
        <v>347</v>
      </c>
      <c r="B43" s="215" t="s">
        <v>1545</v>
      </c>
      <c r="C43" s="238">
        <f ca="1">ROUND(IF('数据-取费表'!B22&lt;=1,C39*F22*'数据-取费表'!B20/2,C39*(POWER((1+F22),'数据-取费表'!B20/2)-1)),0)</f>
        <v>1201</v>
      </c>
      <c r="D43" s="238"/>
      <c r="E43" s="238"/>
      <c r="F43" s="239"/>
      <c r="G43" s="3661"/>
    </row>
    <row r="44" spans="1:7" ht="13.5" customHeight="1">
      <c r="A44" s="779" t="s">
        <v>348</v>
      </c>
      <c r="B44" s="215" t="s">
        <v>1546</v>
      </c>
      <c r="C44" s="238">
        <f ca="1">ROUND(IF('数据-取费表'!B22&lt;=1,C40*F22*'数据-取费表'!B20/2,C40*(POWER((1+F22),'数据-取费表'!B20/2)-1)),4)</f>
        <v>5.9999999999999995E-4</v>
      </c>
      <c r="D44" s="238"/>
      <c r="E44" s="238"/>
      <c r="F44" s="239"/>
      <c r="G44" s="3662"/>
    </row>
    <row r="45" spans="1:7" s="214" customFormat="1" ht="13.5" customHeight="1">
      <c r="A45" s="255" t="s">
        <v>1547</v>
      </c>
      <c r="B45" s="244" t="s">
        <v>1513</v>
      </c>
      <c r="C45" s="245">
        <f ca="1">C46</f>
        <v>197594</v>
      </c>
      <c r="D45" s="235">
        <f ca="1">C47</f>
        <v>3.0000000000000001E-3</v>
      </c>
      <c r="E45" s="236" t="s">
        <v>1539</v>
      </c>
      <c r="F45" s="246">
        <f ca="1">F27</f>
        <v>0.15</v>
      </c>
      <c r="G45" s="247" t="s">
        <v>1548</v>
      </c>
    </row>
    <row r="46" spans="1:7" s="214" customFormat="1" ht="13.5" customHeight="1">
      <c r="A46" s="779" t="s">
        <v>346</v>
      </c>
      <c r="B46" s="248" t="s">
        <v>1549</v>
      </c>
      <c r="C46" s="249">
        <f ca="1">ROUND((C33+C39)*F27,0)</f>
        <v>197594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1685753</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1314887</v>
      </c>
      <c r="D51" s="232"/>
      <c r="E51" s="232"/>
      <c r="F51" s="264"/>
      <c r="G51" s="234" t="s">
        <v>1560</v>
      </c>
    </row>
    <row r="52" spans="1:7" s="208" customFormat="1" ht="16.5" thickBot="1">
      <c r="A52" s="265" t="s">
        <v>1561</v>
      </c>
      <c r="B52" s="266"/>
      <c r="C52" s="267">
        <f ca="1">C31+C51</f>
        <v>1452911</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255.02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255.02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255.02</v>
      </c>
      <c r="E20" s="21">
        <f>'数据-取费表'!B28</f>
        <v>200</v>
      </c>
      <c r="F20" s="803"/>
      <c r="G20" s="12"/>
      <c r="H20" s="808"/>
      <c r="I20" s="808"/>
      <c r="J20" s="808"/>
      <c r="K20" s="809"/>
    </row>
    <row r="21" spans="1:33" s="802" customFormat="1" ht="13.5" customHeight="1">
      <c r="A21" s="789" t="s">
        <v>357</v>
      </c>
      <c r="B21" s="812" t="s">
        <v>1628</v>
      </c>
      <c r="C21" s="813">
        <f ca="1">C16+C17+C18</f>
        <v>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-6</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5" t="s">
        <v>694</v>
      </c>
      <c r="C6" s="1073">
        <f ca="1">ROUND(F6*F8*F7*(1-F9)/10000,0)</f>
        <v>0</v>
      </c>
      <c r="D6" s="155" t="s">
        <v>2108</v>
      </c>
      <c r="E6" s="302" t="s">
        <v>696</v>
      </c>
      <c r="F6" s="303">
        <f ca="1">INDIRECT("'数据-取费表'!u"&amp;$G$1)</f>
        <v>0</v>
      </c>
      <c r="G6" s="1383"/>
      <c r="H6" s="1068" t="s">
        <v>398</v>
      </c>
      <c r="I6" s="3665" t="s">
        <v>694</v>
      </c>
      <c r="J6" s="301">
        <f ca="1">ROUND(M6*M8*M7*(1-M9)/10000,0)</f>
        <v>0</v>
      </c>
      <c r="K6" s="155" t="s">
        <v>2107</v>
      </c>
      <c r="L6" s="302" t="s">
        <v>696</v>
      </c>
      <c r="M6" s="303">
        <f ca="1">INDIRECT("'数据-取费表'!z"&amp;$G$1)</f>
        <v>0</v>
      </c>
    </row>
    <row r="7" spans="1:37" ht="18" customHeight="1">
      <c r="A7" s="1072"/>
      <c r="B7" s="3666"/>
      <c r="C7" s="1074"/>
      <c r="D7" s="307"/>
      <c r="E7" s="1075" t="s">
        <v>697</v>
      </c>
      <c r="F7" s="303">
        <f ca="1">IF(INDIRECT("'数据-取费表'!ah"&amp;$G$1)="",INDIRECT("'数据-取费表'!k"&amp;$G$1),INDIRECT("'数据-取费表'!ah"&amp;$G$1))</f>
        <v>0</v>
      </c>
      <c r="G7" s="1383"/>
      <c r="H7" s="304"/>
      <c r="I7" s="3666"/>
      <c r="J7" s="306"/>
      <c r="K7" s="307"/>
      <c r="L7" s="302" t="s">
        <v>697</v>
      </c>
      <c r="M7" s="303">
        <f ca="1">F7</f>
        <v>0</v>
      </c>
    </row>
    <row r="8" spans="1:37" ht="18" customHeight="1">
      <c r="A8" s="304"/>
      <c r="B8" s="3666"/>
      <c r="C8" s="306"/>
      <c r="D8" s="307"/>
      <c r="E8" s="302" t="s">
        <v>698</v>
      </c>
      <c r="F8" s="303">
        <f ca="1">INDIRECT("'数据-取费表'!ai"&amp;$G$1)</f>
        <v>0</v>
      </c>
      <c r="G8" s="1383"/>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3" t="s">
        <v>837</v>
      </c>
      <c r="L53" s="366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90" zoomScaleNormal="70" zoomScaleSheetLayoutView="90" workbookViewId="0">
      <selection activeCell="G62" sqref="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3477</v>
      </c>
      <c r="E1" s="3432" t="s">
        <v>3486</v>
      </c>
      <c r="F1" s="1878" t="s">
        <v>3485</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1018.8814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39953</v>
      </c>
      <c r="C3" s="354" t="s">
        <v>1768</v>
      </c>
      <c r="D3" s="353">
        <f>IF(D1="",'数据-汇总表'!E3,SUMIF('数据-汇总表'!$C19:$C33,D1,'数据-汇总表'!$E19:$E33))</f>
        <v>255.02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41" t="s">
        <v>1775</v>
      </c>
      <c r="Q4" s="3742"/>
      <c r="R4" s="3745" t="s">
        <v>1771</v>
      </c>
      <c r="S4" s="3746"/>
      <c r="T4" s="3745" t="s">
        <v>1772</v>
      </c>
      <c r="U4" s="3746"/>
      <c r="V4" s="3747" t="s">
        <v>1773</v>
      </c>
      <c r="W4" s="3747"/>
      <c r="X4" s="1957"/>
      <c r="Y4" s="3745" t="s">
        <v>1775</v>
      </c>
      <c r="Z4" s="3746"/>
      <c r="AA4" s="3749" t="s">
        <v>1771</v>
      </c>
      <c r="AB4" s="3749" t="s">
        <v>1772</v>
      </c>
      <c r="AC4" s="3738" t="s">
        <v>1773</v>
      </c>
    </row>
    <row r="5" spans="1:29" ht="15">
      <c r="A5" s="358"/>
      <c r="B5" s="359"/>
      <c r="C5" s="3726" t="s">
        <v>1673</v>
      </c>
      <c r="D5" s="3727"/>
      <c r="E5" s="3829" t="s">
        <v>3521</v>
      </c>
      <c r="F5" s="3734"/>
      <c r="G5" s="3830" t="s">
        <v>3520</v>
      </c>
      <c r="H5" s="3727"/>
      <c r="I5" s="3830" t="s">
        <v>3519</v>
      </c>
      <c r="J5" s="3727"/>
      <c r="K5" s="559"/>
      <c r="L5" s="2714"/>
      <c r="M5" s="2715"/>
      <c r="N5" s="2715"/>
      <c r="O5" s="2715"/>
      <c r="P5" s="3743"/>
      <c r="Q5" s="3714"/>
      <c r="R5" s="3719"/>
      <c r="S5" s="3720"/>
      <c r="T5" s="3719"/>
      <c r="U5" s="3720"/>
      <c r="V5" s="3723"/>
      <c r="W5" s="3723"/>
      <c r="X5" s="1354"/>
      <c r="Y5" s="3719"/>
      <c r="Z5" s="3720"/>
      <c r="AA5" s="3705"/>
      <c r="AB5" s="3705"/>
      <c r="AC5" s="3739"/>
    </row>
    <row r="6" spans="1:29" ht="15.75" thickBot="1">
      <c r="A6" s="360"/>
      <c r="B6" s="361"/>
      <c r="C6" s="3724" t="s">
        <v>1677</v>
      </c>
      <c r="D6" s="3725"/>
      <c r="E6" s="3731" t="s">
        <v>1677</v>
      </c>
      <c r="F6" s="3732"/>
      <c r="G6" s="3831"/>
      <c r="H6" s="3725"/>
      <c r="I6" s="3724" t="s">
        <v>1677</v>
      </c>
      <c r="J6" s="3725"/>
      <c r="K6" s="559" t="s">
        <v>1678</v>
      </c>
      <c r="L6" s="2714"/>
      <c r="M6" s="2715"/>
      <c r="N6" s="2715"/>
      <c r="O6" s="2715"/>
      <c r="P6" s="3744"/>
      <c r="Q6" s="3716"/>
      <c r="R6" s="3719"/>
      <c r="S6" s="3720"/>
      <c r="T6" s="3721"/>
      <c r="U6" s="3722"/>
      <c r="V6" s="3723"/>
      <c r="W6" s="3723"/>
      <c r="X6" s="1354"/>
      <c r="Y6" s="3721"/>
      <c r="Z6" s="3722"/>
      <c r="AA6" s="3706"/>
      <c r="AB6" s="3706"/>
      <c r="AC6" s="3740"/>
    </row>
    <row r="7" spans="1:29" s="108" customFormat="1" ht="15.75" thickBot="1">
      <c r="A7" s="362" t="s">
        <v>1679</v>
      </c>
      <c r="B7" s="363"/>
      <c r="C7" s="364">
        <f>'数据-取费表'!B2</f>
        <v>45954</v>
      </c>
      <c r="D7" s="365">
        <v>100</v>
      </c>
      <c r="E7" s="366">
        <f>C7</f>
        <v>45954</v>
      </c>
      <c r="F7" s="367">
        <f>SUMIF(59:59,YEAR(E7)&amp;"-"&amp;MONTH(E7),60:60)</f>
        <v>100</v>
      </c>
      <c r="G7" s="366">
        <f>C7</f>
        <v>45954</v>
      </c>
      <c r="H7" s="365">
        <f>SUMIF(59:59,YEAR(G7)&amp;"-"&amp;MONTH(G7),60:60)</f>
        <v>100</v>
      </c>
      <c r="I7" s="366">
        <f>C7</f>
        <v>45954</v>
      </c>
      <c r="J7" s="365">
        <f>SUMIF(59:59,YEAR(I7)&amp;"-"&amp;MONTH(I7),60:60)</f>
        <v>100</v>
      </c>
      <c r="K7" s="560"/>
      <c r="L7" s="2716"/>
      <c r="M7" s="2717"/>
      <c r="N7" s="2717"/>
      <c r="O7" s="2717"/>
      <c r="P7" s="3748" t="s">
        <v>1680</v>
      </c>
      <c r="Q7" s="3730"/>
      <c r="R7" s="700" t="s">
        <v>14</v>
      </c>
      <c r="S7" s="701">
        <f t="shared" ref="S7:S15" si="0">F7</f>
        <v>100</v>
      </c>
      <c r="T7" s="700" t="s">
        <v>14</v>
      </c>
      <c r="U7" s="701">
        <f t="shared" ref="U7:U15" si="1">H7</f>
        <v>100</v>
      </c>
      <c r="V7" s="700" t="s">
        <v>14</v>
      </c>
      <c r="W7" s="701">
        <f t="shared" ref="W7:W15" si="2">J7</f>
        <v>100</v>
      </c>
      <c r="X7" s="702"/>
      <c r="Y7" s="3728" t="s">
        <v>1680</v>
      </c>
      <c r="Z7" s="3729"/>
      <c r="AA7" s="703">
        <f>D7/F7</f>
        <v>1</v>
      </c>
      <c r="AB7" s="703">
        <f>D7/H7</f>
        <v>1</v>
      </c>
      <c r="AC7" s="1958">
        <f>D7/J7</f>
        <v>1</v>
      </c>
    </row>
    <row r="8" spans="1:29" s="108" customFormat="1" ht="15.75" thickBot="1">
      <c r="A8" s="362" t="s">
        <v>1681</v>
      </c>
      <c r="B8" s="363"/>
      <c r="C8" s="368" t="s">
        <v>3487</v>
      </c>
      <c r="D8" s="365">
        <v>100</v>
      </c>
      <c r="E8" s="368" t="s">
        <v>3489</v>
      </c>
      <c r="F8" s="367">
        <f>SUMIF(62:62,E8,63:63)-SUMIF(62:62,C8,63:63)+100</f>
        <v>103</v>
      </c>
      <c r="G8" s="368" t="s">
        <v>3489</v>
      </c>
      <c r="H8" s="365">
        <f>SUMIF(62:62,G8,63:63)-SUMIF(62:62,C8,63:63)+100</f>
        <v>103</v>
      </c>
      <c r="I8" s="368" t="s">
        <v>3489</v>
      </c>
      <c r="J8" s="365">
        <f>SUMIF(62:62,I8,63:63)-SUMIF(62:62,C8,63:63)+100</f>
        <v>103</v>
      </c>
      <c r="K8" s="560"/>
      <c r="L8" s="2716"/>
      <c r="M8" s="2717"/>
      <c r="N8" s="2717"/>
      <c r="O8" s="2717"/>
      <c r="P8" s="3748" t="s">
        <v>1683</v>
      </c>
      <c r="Q8" s="3729"/>
      <c r="R8" s="700" t="s">
        <v>14</v>
      </c>
      <c r="S8" s="701">
        <f t="shared" si="0"/>
        <v>103</v>
      </c>
      <c r="T8" s="700" t="s">
        <v>14</v>
      </c>
      <c r="U8" s="701">
        <f t="shared" si="1"/>
        <v>103</v>
      </c>
      <c r="V8" s="700" t="s">
        <v>14</v>
      </c>
      <c r="W8" s="701">
        <f t="shared" si="2"/>
        <v>103</v>
      </c>
      <c r="X8" s="702"/>
      <c r="Y8" s="3728" t="s">
        <v>1683</v>
      </c>
      <c r="Z8" s="3729"/>
      <c r="AA8" s="703">
        <f t="shared" ref="AA8:AA47" si="3">D8/F8</f>
        <v>0.970873786407767</v>
      </c>
      <c r="AB8" s="703">
        <f t="shared" ref="AB8:AB47" si="4">D8/H8</f>
        <v>0.970873786407767</v>
      </c>
      <c r="AC8" s="1958">
        <f t="shared" ref="AC8:AC47" si="5">D8/J8</f>
        <v>0.970873786407767</v>
      </c>
    </row>
    <row r="9" spans="1:29" s="108" customFormat="1" ht="15">
      <c r="A9" s="369" t="s">
        <v>1684</v>
      </c>
      <c r="B9" s="63" t="s">
        <v>1685</v>
      </c>
      <c r="C9" s="3823"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1958">
        <f t="shared" si="5"/>
        <v>1</v>
      </c>
    </row>
    <row r="10" spans="1:29" s="378" customFormat="1" ht="27">
      <c r="A10" s="374"/>
      <c r="B10" s="375" t="s">
        <v>1688</v>
      </c>
      <c r="C10" s="3433" t="str">
        <f>D66</f>
        <v>40（含）-30</v>
      </c>
      <c r="D10" s="127">
        <v>100</v>
      </c>
      <c r="E10" s="3433" t="str">
        <f>D66</f>
        <v>40（含）-30</v>
      </c>
      <c r="F10" s="127">
        <f>SUMIF(66:66,E10,67:67)-SUMIF(66:66,C10,67:67)+100</f>
        <v>100</v>
      </c>
      <c r="G10" s="3434" t="str">
        <f>D66</f>
        <v>40（含）-30</v>
      </c>
      <c r="H10" s="127">
        <f>SUMIF(66:66,G10,67:67)-SUMIF(66:66,C10,67:67)+100</f>
        <v>100</v>
      </c>
      <c r="I10" s="3433" t="str">
        <f>D66</f>
        <v>40（含）-30</v>
      </c>
      <c r="J10" s="127">
        <f>SUMIF(66:66,I10,67:67)-SUMIF(66:66,C10,67:67)+100</f>
        <v>100</v>
      </c>
      <c r="K10" s="560"/>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3"/>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3"/>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1" t="s">
        <v>1691</v>
      </c>
      <c r="Q15" s="1351" t="str">
        <f t="shared" si="6"/>
        <v>办公集聚程度</v>
      </c>
      <c r="R15" s="704" t="s">
        <v>14</v>
      </c>
      <c r="S15" s="705">
        <f t="shared" si="0"/>
        <v>100</v>
      </c>
      <c r="T15" s="704" t="s">
        <v>14</v>
      </c>
      <c r="U15" s="705">
        <f t="shared" si="1"/>
        <v>100</v>
      </c>
      <c r="V15" s="704" t="s">
        <v>14</v>
      </c>
      <c r="W15" s="705">
        <f t="shared" si="2"/>
        <v>100</v>
      </c>
      <c r="X15" s="1354"/>
      <c r="Y15" s="3694" t="s">
        <v>1691</v>
      </c>
      <c r="Z15" s="1355" t="str">
        <f t="shared" si="7"/>
        <v>办公集聚程度</v>
      </c>
      <c r="AA15" s="1352">
        <f t="shared" si="3"/>
        <v>1</v>
      </c>
      <c r="AB15" s="1352">
        <f t="shared" si="4"/>
        <v>1</v>
      </c>
      <c r="AC15" s="1961">
        <f t="shared" si="5"/>
        <v>1</v>
      </c>
    </row>
    <row r="16" spans="1:29" ht="15">
      <c r="A16" s="379"/>
      <c r="B16" s="578"/>
      <c r="C16" s="1903" t="s">
        <v>3513</v>
      </c>
      <c r="D16" s="399"/>
      <c r="E16" s="1903" t="s">
        <v>3513</v>
      </c>
      <c r="F16" s="399"/>
      <c r="G16" s="1903" t="s">
        <v>3513</v>
      </c>
      <c r="H16" s="401"/>
      <c r="I16" s="1903" t="s">
        <v>3513</v>
      </c>
      <c r="J16" s="399"/>
      <c r="K16" s="564"/>
      <c r="L16" s="2721"/>
      <c r="M16" s="2715"/>
      <c r="N16" s="2715"/>
      <c r="O16" s="2715"/>
      <c r="P16" s="3702"/>
      <c r="Q16" s="1351"/>
      <c r="R16" s="704"/>
      <c r="S16" s="705"/>
      <c r="T16" s="704"/>
      <c r="U16" s="705"/>
      <c r="V16" s="704"/>
      <c r="W16" s="705"/>
      <c r="X16" s="1354"/>
      <c r="Y16" s="369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2"/>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9"/>
      <c r="B18" s="580"/>
      <c r="C18" s="1963" t="s">
        <v>3513</v>
      </c>
      <c r="D18" s="401"/>
      <c r="E18" s="1963" t="s">
        <v>3513</v>
      </c>
      <c r="F18" s="401"/>
      <c r="G18" s="1963" t="s">
        <v>3513</v>
      </c>
      <c r="H18" s="399"/>
      <c r="I18" s="1963" t="s">
        <v>3513</v>
      </c>
      <c r="J18" s="399"/>
      <c r="K18" s="564"/>
      <c r="L18" s="2721"/>
      <c r="M18" s="2715"/>
      <c r="N18" s="2715"/>
      <c r="O18" s="2715"/>
      <c r="P18" s="3702"/>
      <c r="Q18" s="1351"/>
      <c r="R18" s="704"/>
      <c r="S18" s="705"/>
      <c r="T18" s="704"/>
      <c r="U18" s="705"/>
      <c r="V18" s="704"/>
      <c r="W18" s="705"/>
      <c r="X18" s="1354"/>
      <c r="Y18" s="369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02"/>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961">
        <f t="shared" si="5"/>
        <v>1</v>
      </c>
    </row>
    <row r="20" spans="1:29" ht="15">
      <c r="A20" s="379"/>
      <c r="B20" s="580"/>
      <c r="C20" s="1903" t="s">
        <v>3513</v>
      </c>
      <c r="D20" s="399"/>
      <c r="E20" s="1903" t="s">
        <v>3513</v>
      </c>
      <c r="F20" s="399"/>
      <c r="G20" s="1903" t="s">
        <v>3513</v>
      </c>
      <c r="H20" s="399"/>
      <c r="I20" s="1903" t="s">
        <v>3513</v>
      </c>
      <c r="J20" s="399"/>
      <c r="K20" s="564"/>
      <c r="L20" s="2721"/>
      <c r="M20" s="2715"/>
      <c r="N20" s="2715"/>
      <c r="O20" s="2715"/>
      <c r="P20" s="3702"/>
      <c r="Q20" s="1351"/>
      <c r="R20" s="704"/>
      <c r="S20" s="705"/>
      <c r="T20" s="704"/>
      <c r="U20" s="705"/>
      <c r="V20" s="704"/>
      <c r="W20" s="705"/>
      <c r="X20" s="1354"/>
      <c r="Y20" s="369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2"/>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t="s">
        <v>3514</v>
      </c>
      <c r="D22" s="399"/>
      <c r="E22" s="1963" t="s">
        <v>3514</v>
      </c>
      <c r="F22" s="399"/>
      <c r="G22" s="1963" t="s">
        <v>3514</v>
      </c>
      <c r="H22" s="399"/>
      <c r="I22" s="1963" t="s">
        <v>3514</v>
      </c>
      <c r="J22" s="399"/>
      <c r="K22" s="1129"/>
      <c r="L22" s="2721"/>
      <c r="M22" s="2715"/>
      <c r="N22" s="2715"/>
      <c r="O22" s="2715"/>
      <c r="P22" s="3702"/>
      <c r="Q22" s="1351"/>
      <c r="R22" s="704"/>
      <c r="S22" s="705"/>
      <c r="T22" s="704"/>
      <c r="U22" s="705"/>
      <c r="V22" s="704"/>
      <c r="W22" s="705"/>
      <c r="X22" s="1354"/>
      <c r="Y22" s="369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02"/>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
      <c r="A24" s="379"/>
      <c r="B24" s="581"/>
      <c r="C24" s="1903" t="s">
        <v>3513</v>
      </c>
      <c r="D24" s="399"/>
      <c r="E24" s="1903" t="s">
        <v>3513</v>
      </c>
      <c r="F24" s="399"/>
      <c r="G24" s="1903" t="s">
        <v>3513</v>
      </c>
      <c r="H24" s="399"/>
      <c r="I24" s="1903" t="s">
        <v>3513</v>
      </c>
      <c r="J24" s="399"/>
      <c r="K24" s="564"/>
      <c r="L24" s="2721"/>
      <c r="M24" s="2715"/>
      <c r="N24" s="2715"/>
      <c r="O24" s="2715"/>
      <c r="P24" s="3702"/>
      <c r="Q24" s="1351"/>
      <c r="R24" s="704"/>
      <c r="S24" s="705"/>
      <c r="T24" s="704"/>
      <c r="U24" s="705"/>
      <c r="V24" s="704"/>
      <c r="W24" s="705"/>
      <c r="X24" s="1354"/>
      <c r="Y24" s="369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2"/>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2"/>
      <c r="Q26" s="1351"/>
      <c r="R26" s="704"/>
      <c r="S26" s="705"/>
      <c r="T26" s="704"/>
      <c r="U26" s="705"/>
      <c r="V26" s="704"/>
      <c r="W26" s="705"/>
      <c r="X26" s="1354"/>
      <c r="Y26" s="3695"/>
      <c r="Z26" s="1355"/>
      <c r="AA26" s="1352">
        <v>1</v>
      </c>
      <c r="AB26" s="1352">
        <v>1</v>
      </c>
      <c r="AC26" s="1961">
        <v>1</v>
      </c>
    </row>
    <row r="27" spans="1:29" ht="15">
      <c r="A27" s="379"/>
      <c r="B27" s="580" t="s">
        <v>1783</v>
      </c>
      <c r="C27" s="582" t="s">
        <v>3496</v>
      </c>
      <c r="D27" s="386">
        <v>100</v>
      </c>
      <c r="E27" s="565" t="s">
        <v>3496</v>
      </c>
      <c r="F27" s="386">
        <f>SUMIF(89:89,E27,90:90)-SUMIF(89:89,C27,90:90)+100</f>
        <v>100</v>
      </c>
      <c r="G27" s="565" t="s">
        <v>3498</v>
      </c>
      <c r="H27" s="386">
        <f>SUMIF(89:89,G27,90:90)-SUMIF(89:89,C27,90:90)+100</f>
        <v>97</v>
      </c>
      <c r="I27" s="565" t="s">
        <v>3496</v>
      </c>
      <c r="J27" s="386">
        <f>SUMIF(89:89,I27,90:90)-SUMIF(89:89,C27,90:90)+100</f>
        <v>100</v>
      </c>
      <c r="K27" s="561">
        <v>3</v>
      </c>
      <c r="L27" s="2721"/>
      <c r="M27" s="2715"/>
      <c r="N27" s="2715"/>
      <c r="O27" s="2715"/>
      <c r="P27" s="3702"/>
      <c r="Q27" s="1351" t="str">
        <f t="shared" ref="Q27:Q47" si="11">B27</f>
        <v>楼层</v>
      </c>
      <c r="R27" s="704" t="s">
        <v>14</v>
      </c>
      <c r="S27" s="705">
        <f>F27</f>
        <v>100</v>
      </c>
      <c r="T27" s="704" t="s">
        <v>14</v>
      </c>
      <c r="U27" s="705">
        <f>H27</f>
        <v>97</v>
      </c>
      <c r="V27" s="704" t="s">
        <v>14</v>
      </c>
      <c r="W27" s="705">
        <f>J27</f>
        <v>100</v>
      </c>
      <c r="X27" s="1354"/>
      <c r="Y27" s="3695"/>
      <c r="Z27" s="1355" t="str">
        <f>Q27</f>
        <v>楼层</v>
      </c>
      <c r="AA27" s="1352">
        <f t="shared" si="3"/>
        <v>1</v>
      </c>
      <c r="AB27" s="1352">
        <f t="shared" si="4"/>
        <v>1.0309278350515463</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2"/>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2"/>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2"/>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2"/>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2"/>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1" t="s">
        <v>1694</v>
      </c>
      <c r="B33" s="63" t="s">
        <v>1817</v>
      </c>
      <c r="C33" s="1966" t="s">
        <v>3501</v>
      </c>
      <c r="D33" s="418">
        <v>100</v>
      </c>
      <c r="E33" s="1966" t="s">
        <v>3501</v>
      </c>
      <c r="F33" s="412">
        <f>SUMIF(101:101,E33,102:102)-SUMIF(101:101,C33,102:102)+100</f>
        <v>100</v>
      </c>
      <c r="G33" s="1966" t="s">
        <v>3501</v>
      </c>
      <c r="H33" s="386">
        <f>SUMIF(101:101,G33,102:102)-SUMIF(101:101,C33,102:102)+100</f>
        <v>100</v>
      </c>
      <c r="I33" s="1966" t="s">
        <v>3501</v>
      </c>
      <c r="J33" s="418">
        <f>SUMIF(101:101,I33,102:102)-SUMIF(101:101,C33,102:102)+100</f>
        <v>100</v>
      </c>
      <c r="K33" s="561">
        <v>2</v>
      </c>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255.02</v>
      </c>
      <c r="D34" s="127">
        <v>100</v>
      </c>
      <c r="E34" s="381">
        <v>176.25</v>
      </c>
      <c r="F34" s="376">
        <f>LOOKUP(E34,104:104,105:105)-LOOKUP(C34,104:104,105:105)+100</f>
        <v>100</v>
      </c>
      <c r="G34" s="380">
        <v>145.46</v>
      </c>
      <c r="H34" s="127">
        <f>LOOKUP(G34,104:104,105:105)-LOOKUP(C34,104:104,105:105)+100</f>
        <v>100</v>
      </c>
      <c r="I34" s="380">
        <v>176</v>
      </c>
      <c r="J34" s="127">
        <f>LOOKUP(I34,104:104,105:105)-LOOKUP(C34,104:104,105:105)+100</f>
        <v>100</v>
      </c>
      <c r="K34" s="562"/>
      <c r="L34" s="2720"/>
      <c r="M34" s="2722"/>
      <c r="N34" s="2722"/>
      <c r="O34" s="2722"/>
      <c r="P34" s="3697"/>
      <c r="Q34" s="706" t="str">
        <f t="shared" si="11"/>
        <v>项目建筑规模</v>
      </c>
      <c r="R34" s="707" t="s">
        <v>14</v>
      </c>
      <c r="S34" s="708">
        <f t="shared" si="12"/>
        <v>100</v>
      </c>
      <c r="T34" s="707" t="s">
        <v>14</v>
      </c>
      <c r="U34" s="708">
        <f t="shared" si="13"/>
        <v>100</v>
      </c>
      <c r="V34" s="707" t="s">
        <v>14</v>
      </c>
      <c r="W34" s="708">
        <f t="shared" si="14"/>
        <v>100</v>
      </c>
      <c r="X34" s="709"/>
      <c r="Y34" s="3699"/>
      <c r="Z34" s="710" t="str">
        <f t="shared" si="15"/>
        <v>项目建筑规模</v>
      </c>
      <c r="AA34" s="1352">
        <f t="shared" si="3"/>
        <v>1</v>
      </c>
      <c r="AB34" s="1352">
        <f t="shared" si="4"/>
        <v>1</v>
      </c>
      <c r="AC34" s="1961">
        <f t="shared" si="5"/>
        <v>1</v>
      </c>
    </row>
    <row r="35" spans="1:29" ht="15">
      <c r="A35" s="423"/>
      <c r="B35" s="375" t="s">
        <v>1698</v>
      </c>
      <c r="C35" s="411" t="s">
        <v>3482</v>
      </c>
      <c r="D35" s="386">
        <v>100</v>
      </c>
      <c r="E35" s="411" t="s">
        <v>3482</v>
      </c>
      <c r="F35" s="412">
        <f>SUMIF(106:106,E35,107:107)-SUMIF(106:106,C35,107:107)+100</f>
        <v>100</v>
      </c>
      <c r="G35" s="411" t="s">
        <v>3482</v>
      </c>
      <c r="H35" s="386">
        <f>SUMIF(106:106,G35,107:107)-SUMIF(106:106,C35,107:107)+100</f>
        <v>100</v>
      </c>
      <c r="I35" s="411" t="s">
        <v>3482</v>
      </c>
      <c r="J35" s="386">
        <f>SUMIF(106:106,I35,107:107)-SUMIF(106:106,C35,107:107)+100</f>
        <v>100</v>
      </c>
      <c r="K35" s="561">
        <v>1</v>
      </c>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3"/>
      <c r="B36" s="375" t="s">
        <v>1785</v>
      </c>
      <c r="C36" s="411" t="s">
        <v>3504</v>
      </c>
      <c r="D36" s="386">
        <v>100</v>
      </c>
      <c r="E36" s="411" t="s">
        <v>3504</v>
      </c>
      <c r="F36" s="412">
        <f>SUMIF(108:108,E36,109:109)-SUMIF(108:108,C36,109:109)+100</f>
        <v>100</v>
      </c>
      <c r="G36" s="411" t="s">
        <v>3504</v>
      </c>
      <c r="H36" s="386">
        <f>SUMIF(108:108,G36,109:109)-SUMIF(108:108,C36,109:109)+100</f>
        <v>100</v>
      </c>
      <c r="I36" s="411" t="s">
        <v>3504</v>
      </c>
      <c r="J36" s="386">
        <f>SUMIF(108:108,I36,109:109)-SUMIF(108:108,C36,109:109)+100</f>
        <v>100</v>
      </c>
      <c r="K36" s="561">
        <v>1</v>
      </c>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3"/>
      <c r="B37" s="375" t="s">
        <v>1786</v>
      </c>
      <c r="C37" s="425">
        <f>'数据-取费表'!N6</f>
        <v>0.78</v>
      </c>
      <c r="D37" s="386">
        <v>100</v>
      </c>
      <c r="E37" s="425">
        <v>0.78</v>
      </c>
      <c r="F37" s="412">
        <f>LOOKUP(E37,111:111,112:112)-LOOKUP(C37,111:111,112:112)+100</f>
        <v>100</v>
      </c>
      <c r="G37" s="425">
        <v>0.78</v>
      </c>
      <c r="H37" s="412">
        <f>LOOKUP(G37,111:111,112:112)-LOOKUP(C37,111:111,112:112)+100</f>
        <v>100</v>
      </c>
      <c r="I37" s="425">
        <v>0.78</v>
      </c>
      <c r="J37" s="386">
        <f>LOOKUP(I37,111:111,112:112)-LOOKUP(C37,111:111,112:112)+100</f>
        <v>100</v>
      </c>
      <c r="K37" s="561">
        <v>1</v>
      </c>
      <c r="L37" s="2721"/>
      <c r="M37" s="2715"/>
      <c r="N37" s="2715"/>
      <c r="O37" s="2715"/>
      <c r="P37" s="3697"/>
      <c r="Q37" s="1351" t="str">
        <f t="shared" si="11"/>
        <v>成新度</v>
      </c>
      <c r="R37" s="704" t="s">
        <v>14</v>
      </c>
      <c r="S37" s="705">
        <f t="shared" si="12"/>
        <v>100</v>
      </c>
      <c r="T37" s="704" t="s">
        <v>14</v>
      </c>
      <c r="U37" s="705">
        <f t="shared" si="13"/>
        <v>100</v>
      </c>
      <c r="V37" s="704" t="s">
        <v>14</v>
      </c>
      <c r="W37" s="705">
        <f t="shared" si="14"/>
        <v>100</v>
      </c>
      <c r="X37" s="1354"/>
      <c r="Y37" s="3699"/>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3"/>
      <c r="B39" s="375" t="s">
        <v>1819</v>
      </c>
      <c r="C39" s="411" t="s">
        <v>3511</v>
      </c>
      <c r="D39" s="386">
        <v>100</v>
      </c>
      <c r="E39" s="411" t="s">
        <v>3511</v>
      </c>
      <c r="F39" s="412">
        <f>SUMIF(115:115,E39,116:116)-SUMIF(115:115,C39,116:116)+100</f>
        <v>100</v>
      </c>
      <c r="G39" s="411" t="s">
        <v>3511</v>
      </c>
      <c r="H39" s="386">
        <f>SUMIF(115:115,G39,116:116)-SUMIF(115:115,C39,116:116)+100</f>
        <v>100</v>
      </c>
      <c r="I39" s="411" t="s">
        <v>3511</v>
      </c>
      <c r="J39" s="386">
        <f>SUMIF(115:115,I39,116:116)-SUMIF(115:115,C39,116:116)+100</f>
        <v>100</v>
      </c>
      <c r="K39" s="561">
        <v>1</v>
      </c>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3"/>
      <c r="B41" s="375" t="s">
        <v>1789</v>
      </c>
      <c r="C41" s="565" t="s">
        <v>3509</v>
      </c>
      <c r="D41" s="386">
        <v>100</v>
      </c>
      <c r="E41" s="565" t="s">
        <v>3509</v>
      </c>
      <c r="F41" s="412">
        <f>SUMIF(119:119,E41,120:120)-SUMIF(119:119,C41,120:120)+100</f>
        <v>100</v>
      </c>
      <c r="G41" s="565" t="s">
        <v>3509</v>
      </c>
      <c r="H41" s="386">
        <f>SUMIF(119:119,G41,120:120)-SUMIF(119:119,C41,120:120)+100</f>
        <v>100</v>
      </c>
      <c r="I41" s="565" t="s">
        <v>3509</v>
      </c>
      <c r="J41" s="386">
        <f>SUMIF(119:119,I41,120:120)-SUMIF(119:119,C41,120:120)+100</f>
        <v>100</v>
      </c>
      <c r="K41" s="561">
        <v>2</v>
      </c>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3"/>
      <c r="B43" s="375" t="s">
        <v>1792</v>
      </c>
      <c r="C43" s="411" t="s">
        <v>3504</v>
      </c>
      <c r="D43" s="386">
        <v>100</v>
      </c>
      <c r="E43" s="411" t="s">
        <v>3504</v>
      </c>
      <c r="F43" s="412">
        <f>SUMIF(123:123,E43,124:124)-SUMIF(123:123,C43,124:124)+100</f>
        <v>100</v>
      </c>
      <c r="G43" s="411" t="s">
        <v>3504</v>
      </c>
      <c r="H43" s="386">
        <f>SUMIF(123:123,G43,124:124)-SUMIF(123:123,C43,124:124)+100</f>
        <v>100</v>
      </c>
      <c r="I43" s="411" t="s">
        <v>3504</v>
      </c>
      <c r="J43" s="386">
        <f>SUMIF(123:123,I43,124:124)-SUMIF(123:123,C43,124:124)+100</f>
        <v>100</v>
      </c>
      <c r="K43" s="561">
        <v>1</v>
      </c>
      <c r="L43" s="2721"/>
      <c r="M43" s="2715"/>
      <c r="N43" s="2715"/>
      <c r="O43" s="2715"/>
      <c r="P43" s="3697"/>
      <c r="Q43" s="1351" t="str">
        <f t="shared" si="11"/>
        <v>内部装修</v>
      </c>
      <c r="R43" s="704" t="s">
        <v>14</v>
      </c>
      <c r="S43" s="705">
        <f t="shared" si="12"/>
        <v>100</v>
      </c>
      <c r="T43" s="704" t="s">
        <v>14</v>
      </c>
      <c r="U43" s="705">
        <f t="shared" si="13"/>
        <v>100</v>
      </c>
      <c r="V43" s="704" t="s">
        <v>14</v>
      </c>
      <c r="W43" s="705">
        <f t="shared" si="14"/>
        <v>100</v>
      </c>
      <c r="X43" s="1354"/>
      <c r="Y43" s="3699"/>
      <c r="Z43" s="1355" t="str">
        <f t="shared" si="15"/>
        <v>内部装修</v>
      </c>
      <c r="AA43" s="1352">
        <f t="shared" si="3"/>
        <v>1</v>
      </c>
      <c r="AB43" s="1352">
        <f t="shared" si="4"/>
        <v>1</v>
      </c>
      <c r="AC43" s="1961">
        <f t="shared" si="5"/>
        <v>1</v>
      </c>
    </row>
    <row r="44" spans="1:29" ht="15">
      <c r="A44" s="423"/>
      <c r="B44" s="375" t="s">
        <v>1707</v>
      </c>
      <c r="C44" s="411" t="s">
        <v>3513</v>
      </c>
      <c r="D44" s="386">
        <v>100</v>
      </c>
      <c r="E44" s="411" t="s">
        <v>3513</v>
      </c>
      <c r="F44" s="412">
        <f>SUMIF(125:125,E44,126:126)-SUMIF(125:125,C44,126:126)+100</f>
        <v>100</v>
      </c>
      <c r="G44" s="411" t="s">
        <v>3513</v>
      </c>
      <c r="H44" s="386">
        <f>SUMIF(125:125,G44,126:126)-SUMIF(125:125,C44,126:126)+100</f>
        <v>100</v>
      </c>
      <c r="I44" s="411" t="s">
        <v>3513</v>
      </c>
      <c r="J44" s="386">
        <f>SUMIF(125:125,I44,126:126)-SUMIF(125:125,C44,126:126)+100</f>
        <v>100</v>
      </c>
      <c r="K44" s="561">
        <v>1</v>
      </c>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7"/>
      <c r="Q45" s="1342">
        <f t="shared" si="11"/>
        <v>111</v>
      </c>
      <c r="R45" s="700" t="s">
        <v>14</v>
      </c>
      <c r="S45" s="701">
        <f t="shared" si="12"/>
        <v>100</v>
      </c>
      <c r="T45" s="700" t="s">
        <v>14</v>
      </c>
      <c r="U45" s="701">
        <f t="shared" si="13"/>
        <v>100</v>
      </c>
      <c r="V45" s="700" t="s">
        <v>14</v>
      </c>
      <c r="W45" s="701">
        <f t="shared" si="14"/>
        <v>100</v>
      </c>
      <c r="X45" s="702"/>
      <c r="Y45" s="369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30" t="s">
        <v>1708</v>
      </c>
      <c r="B48" s="431"/>
      <c r="C48" s="1153" t="s">
        <v>0</v>
      </c>
      <c r="D48" s="1154"/>
      <c r="E48" s="1155">
        <v>38581</v>
      </c>
      <c r="F48" s="1156"/>
      <c r="G48" s="1157">
        <v>41935</v>
      </c>
      <c r="H48" s="1158"/>
      <c r="I48" s="1155">
        <v>41642</v>
      </c>
      <c r="J48" s="436"/>
      <c r="K48" s="713"/>
      <c r="L48" s="2723"/>
      <c r="M48" s="2715"/>
      <c r="N48" s="2715"/>
      <c r="O48" s="2715"/>
      <c r="P48" s="3703" t="str">
        <f>A48</f>
        <v>成交单价（元/平方米）</v>
      </c>
      <c r="Q48" s="3692"/>
      <c r="R48" s="3693">
        <f>E48</f>
        <v>38581</v>
      </c>
      <c r="S48" s="3693"/>
      <c r="T48" s="3693">
        <f>G48</f>
        <v>41935</v>
      </c>
      <c r="U48" s="3693"/>
      <c r="V48" s="3693">
        <f>I48</f>
        <v>41642</v>
      </c>
      <c r="W48" s="3693"/>
      <c r="X48" s="397"/>
      <c r="Y48" s="711"/>
      <c r="Z48" s="397"/>
      <c r="AA48" s="397"/>
      <c r="AB48" s="397"/>
      <c r="AC48" s="578"/>
    </row>
    <row r="49" spans="1:29" ht="15.75" thickBot="1">
      <c r="A49" s="437" t="s">
        <v>1793</v>
      </c>
      <c r="B49" s="438"/>
      <c r="C49" s="1159">
        <f>R50</f>
        <v>39953</v>
      </c>
      <c r="D49" s="2316" t="s">
        <v>2137</v>
      </c>
      <c r="E49" s="1160">
        <f>R49</f>
        <v>37457</v>
      </c>
      <c r="F49" s="2317"/>
      <c r="G49" s="1159">
        <f>T49</f>
        <v>41973</v>
      </c>
      <c r="H49" s="2317"/>
      <c r="I49" s="1160">
        <f>V49</f>
        <v>40429</v>
      </c>
      <c r="J49" s="2317"/>
      <c r="K49" s="2319">
        <f>F49+H49+J49</f>
        <v>0</v>
      </c>
      <c r="L49" s="2723"/>
      <c r="M49" s="2715"/>
      <c r="N49" s="2715"/>
      <c r="O49" s="2715"/>
      <c r="P49" s="3703" t="str">
        <f>A49</f>
        <v>比较价值（元/平方米）</v>
      </c>
      <c r="Q49" s="3692"/>
      <c r="R49" s="3693">
        <f>IF(F1="售价",ROUND(PRODUCT(R48,AA7:AA47),0),ROUND(PRODUCT(R48,AA7:AA47),1))</f>
        <v>37457</v>
      </c>
      <c r="S49" s="3693"/>
      <c r="T49" s="3693">
        <f>IF(F1="售价",ROUND(PRODUCT(T48,AB7:AB47),0),ROUND(PRODUCT(T48,AB7:AB47),1))</f>
        <v>41973</v>
      </c>
      <c r="U49" s="3693"/>
      <c r="V49" s="3693">
        <f>IF(F1="售价",ROUND(PRODUCT(V48,AC7:AC47),0),ROUND(PRODUCT(V48,AC7:AC47),1))</f>
        <v>40429</v>
      </c>
      <c r="W49" s="3693"/>
      <c r="X49" s="397"/>
      <c r="Y49" s="397"/>
      <c r="Z49" s="397"/>
      <c r="AA49" s="397"/>
      <c r="AB49" s="397"/>
      <c r="AC49" s="578"/>
    </row>
    <row r="50" spans="1:29" ht="15.75" thickBot="1">
      <c r="A50" s="441" t="s">
        <v>1794</v>
      </c>
      <c r="B50" s="442"/>
      <c r="C50" s="1162">
        <f>R50</f>
        <v>39953</v>
      </c>
      <c r="D50" s="1162"/>
      <c r="E50" s="1162"/>
      <c r="F50" s="1162"/>
      <c r="G50" s="1162"/>
      <c r="H50" s="1162"/>
      <c r="I50" s="1162"/>
      <c r="J50" s="443"/>
      <c r="K50" s="714"/>
      <c r="L50" s="2723"/>
      <c r="M50" s="2715"/>
      <c r="N50" s="2715"/>
      <c r="O50" s="2715"/>
      <c r="P50" s="3735" t="str">
        <f>A50</f>
        <v>估价对象XX用房的比较价值（楼面单价，元/平方米）</v>
      </c>
      <c r="Q50" s="3736"/>
      <c r="R50" s="3737">
        <f>IF(F1="售价",ROUND(IF(D49="简单平均",AVERAGE(R49:V49),R49*F49+T49*H49+V49*J49),0),ROUND(IF(D49="简单平均",AVERAGE(R49:V49),R49*F49+T49*H49+V49*J49),1))</f>
        <v>39953</v>
      </c>
      <c r="S50" s="3737"/>
      <c r="T50" s="3737"/>
      <c r="U50" s="3737"/>
      <c r="V50" s="3737"/>
      <c r="W50" s="373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3.0007742211068722E-2</v>
      </c>
      <c r="F53" s="449" t="str">
        <f>IF(OR(E53&gt;=0.3,E53&lt;=-0.3),"超过30%","")</f>
        <v/>
      </c>
      <c r="G53" s="448">
        <f>IF(G48&lt;G49,G49/G48-1,G48/G49-1)</f>
        <v>9.0616430189571773E-4</v>
      </c>
      <c r="H53" s="449" t="str">
        <f>IF(OR(G53&gt;=0.3,G53&lt;=-0.3),"超过30%","")</f>
        <v/>
      </c>
      <c r="I53" s="448">
        <f>IF(I48&lt;I49,I49/I48-1,I48/I49-1)</f>
        <v>3.000321551361651E-2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0.12056491443521899</v>
      </c>
      <c r="F54" s="449" t="str">
        <f>IF(OR(E54&gt;=0.2,E54&lt;=-0.2),"超过20%","")</f>
        <v/>
      </c>
      <c r="G54" s="448">
        <f>IF(G49&lt;I49,I49/G49-1,G49/I49-1)</f>
        <v>3.8190407875534849E-2</v>
      </c>
      <c r="H54" s="449" t="str">
        <f>IF(OR(G54&gt;=0.2,G54&lt;=-0.2),"超过20%","")</f>
        <v/>
      </c>
      <c r="I54" s="448">
        <f>IF(I49&lt;E49,E49/I49-1,I49/E49-1)</f>
        <v>7.9344314814320471E-2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8.6933983048650854E-2</v>
      </c>
      <c r="F55" s="449" t="str">
        <f>IF(OR(E55&gt;=0.3,E55&lt;=-0.3),"超过30%","")</f>
        <v/>
      </c>
      <c r="G55" s="448">
        <f>IF(G48&lt;I48,I48/G48-1,G48/I48-1)</f>
        <v>7.03616540992269E-3</v>
      </c>
      <c r="H55" s="449" t="str">
        <f>IF(OR(G55&gt;=0.3,G55&lt;=-0.3),"超过30%","")</f>
        <v/>
      </c>
      <c r="I55" s="448">
        <f>IF(I48&lt;E48,E48/I48-1,I48/E48-1)</f>
        <v>7.9339571291568323E-2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824" t="s">
        <v>3490</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3491</v>
      </c>
      <c r="D66" s="532" t="s">
        <v>3492</v>
      </c>
      <c r="E66" s="532" t="s">
        <v>3493</v>
      </c>
      <c r="F66" s="532" t="s">
        <v>3494</v>
      </c>
      <c r="G66" s="532" t="s">
        <v>3495</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825" t="s">
        <v>3497</v>
      </c>
      <c r="D89" s="3825" t="s">
        <v>3499</v>
      </c>
      <c r="E89" s="3825" t="s">
        <v>3500</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826" t="s">
        <v>3502</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825" t="s">
        <v>3503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825" t="s">
        <v>3505</v>
      </c>
      <c r="D108" s="3825" t="s">
        <v>3506</v>
      </c>
      <c r="E108" s="3825" t="s">
        <v>3507</v>
      </c>
      <c r="F108" s="3827" t="s">
        <v>3508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825" t="s">
        <v>3512</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827" t="s">
        <v>3510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825" t="s">
        <v>3505</v>
      </c>
      <c r="D123" s="3825" t="s">
        <v>3506</v>
      </c>
      <c r="E123" s="3825" t="s">
        <v>3507</v>
      </c>
      <c r="F123" s="3827" t="s">
        <v>3508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3477</v>
      </c>
      <c r="D1" s="1361" t="s">
        <v>43</v>
      </c>
      <c r="E1" s="1362" t="s">
        <v>678</v>
      </c>
      <c r="F1" s="1061">
        <f ca="1">J53</f>
        <v>35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539.19320000000005</v>
      </c>
      <c r="C2" s="1386" t="s">
        <v>879</v>
      </c>
      <c r="D2" s="1470">
        <f ca="1">C40+J29+L46</f>
        <v>5391932</v>
      </c>
      <c r="E2" s="1387" t="s">
        <v>880</v>
      </c>
      <c r="F2" s="1388"/>
      <c r="G2" s="2705"/>
      <c r="H2" s="2694"/>
      <c r="I2" s="2694"/>
      <c r="J2" s="2694"/>
      <c r="K2" s="2695"/>
      <c r="L2" s="2694"/>
      <c r="M2" s="2694"/>
    </row>
    <row r="3" spans="1:37" ht="18" customHeight="1" thickBot="1">
      <c r="A3" s="1389" t="s">
        <v>881</v>
      </c>
      <c r="B3" s="1390">
        <f ca="1">IF(ISERROR(D2/F43),0,ROUND(D2/F43,0))</f>
        <v>21143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335515</v>
      </c>
      <c r="D5" s="1363" t="s">
        <v>889</v>
      </c>
      <c r="E5" s="1070"/>
      <c r="F5" s="1071"/>
      <c r="G5" s="1383"/>
      <c r="H5" s="299">
        <v>1</v>
      </c>
      <c r="I5" s="300" t="s">
        <v>888</v>
      </c>
      <c r="J5" s="1069">
        <f ca="1">J6+J10+J12</f>
        <v>0</v>
      </c>
      <c r="K5" s="1363" t="s">
        <v>889</v>
      </c>
      <c r="L5" s="1070"/>
      <c r="M5" s="1071"/>
    </row>
    <row r="6" spans="1:37" ht="18" customHeight="1">
      <c r="A6" s="1068" t="s">
        <v>398</v>
      </c>
      <c r="B6" s="3665" t="s">
        <v>694</v>
      </c>
      <c r="C6" s="1073">
        <f ca="1">ROUND(F6*F8*F7*(1-F9),0)</f>
        <v>335096</v>
      </c>
      <c r="D6" s="155" t="s">
        <v>2105</v>
      </c>
      <c r="E6" s="302" t="s">
        <v>696</v>
      </c>
      <c r="F6" s="303">
        <f ca="1">INDIRECT("'数据-取费表'!u"&amp;$G$1)</f>
        <v>4</v>
      </c>
      <c r="G6" s="1383"/>
      <c r="H6" s="1068" t="s">
        <v>398</v>
      </c>
      <c r="I6" s="3665" t="s">
        <v>694</v>
      </c>
      <c r="J6" s="301">
        <f ca="1">ROUND(M6*M8*M7*(1-M9),0)</f>
        <v>0</v>
      </c>
      <c r="K6" s="1375" t="s">
        <v>2106</v>
      </c>
      <c r="L6" s="302" t="s">
        <v>696</v>
      </c>
      <c r="M6" s="303">
        <f ca="1">INDIRECT("'数据-取费表'!z"&amp;$G$1)</f>
        <v>0</v>
      </c>
    </row>
    <row r="7" spans="1:37" ht="18" customHeight="1">
      <c r="A7" s="1072"/>
      <c r="B7" s="3666"/>
      <c r="C7" s="1074"/>
      <c r="D7" s="307"/>
      <c r="E7" s="1075" t="s">
        <v>697</v>
      </c>
      <c r="F7" s="303">
        <f ca="1">IF(INDIRECT("'数据-取费表'!ah"&amp;$G$1)="",INDIRECT("'数据-取费表'!k"&amp;$G$1),INDIRECT("'数据-取费表'!ah"&amp;$G$1))</f>
        <v>255.02</v>
      </c>
      <c r="G7" s="1383"/>
      <c r="H7" s="304"/>
      <c r="I7" s="3666"/>
      <c r="J7" s="306"/>
      <c r="K7" s="307"/>
      <c r="L7" s="302" t="s">
        <v>697</v>
      </c>
      <c r="M7" s="303">
        <f ca="1">F7</f>
        <v>255.02</v>
      </c>
    </row>
    <row r="8" spans="1:37" ht="18" customHeight="1">
      <c r="A8" s="304"/>
      <c r="B8" s="3666"/>
      <c r="C8" s="306"/>
      <c r="D8" s="307"/>
      <c r="E8" s="302" t="s">
        <v>698</v>
      </c>
      <c r="F8" s="303">
        <f ca="1">INDIRECT("'数据-取费表'!ai"&amp;$G$1)</f>
        <v>365</v>
      </c>
      <c r="G8" s="1383"/>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3"/>
      <c r="H9" s="304"/>
      <c r="I9" s="3667"/>
      <c r="J9" s="306"/>
      <c r="K9" s="307"/>
      <c r="L9" s="313" t="s">
        <v>699</v>
      </c>
      <c r="M9" s="314">
        <f ca="1">INDIRECT("'数据-取费表'!ab"&amp;$G$1)</f>
        <v>0</v>
      </c>
    </row>
    <row r="10" spans="1:37" ht="18" customHeight="1">
      <c r="A10" s="1068" t="s">
        <v>402</v>
      </c>
      <c r="B10" s="1364" t="s">
        <v>700</v>
      </c>
      <c r="C10" s="316">
        <f ca="1">ROUND(IF(F10="押一",C6/12*F11,IF(F10="押二",C6/12*2*F11,IF(F10="押三",C6/12*3*F11,C11*F11))),0)</f>
        <v>419</v>
      </c>
      <c r="D10" s="1365" t="s">
        <v>2115</v>
      </c>
      <c r="E10" s="313" t="s">
        <v>701</v>
      </c>
      <c r="F10" s="1115" t="s">
        <v>3481</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1314887</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1147590</v>
      </c>
      <c r="D14" s="1344" t="s">
        <v>708</v>
      </c>
      <c r="E14" s="1341"/>
      <c r="F14" s="319"/>
      <c r="G14" s="1383"/>
      <c r="H14" s="981" t="s">
        <v>398</v>
      </c>
      <c r="I14" s="302" t="s">
        <v>709</v>
      </c>
      <c r="J14" s="21">
        <f ca="1">C29</f>
        <v>1685753</v>
      </c>
      <c r="K14" s="12"/>
      <c r="L14" s="806"/>
      <c r="M14" s="807"/>
    </row>
    <row r="15" spans="1:37" s="1396" customFormat="1" ht="18" customHeight="1" thickBot="1">
      <c r="A15" s="981" t="s">
        <v>399</v>
      </c>
      <c r="B15" s="302" t="s">
        <v>710</v>
      </c>
      <c r="C15" s="21">
        <f ca="1">ROUND(C14*F15,0)</f>
        <v>57380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5057</v>
      </c>
      <c r="K16" s="1086" t="s">
        <v>715</v>
      </c>
      <c r="L16" s="1087"/>
      <c r="M16" s="1071"/>
    </row>
    <row r="17" spans="1:37" s="1396" customFormat="1" ht="18" customHeight="1">
      <c r="A17" s="981" t="s">
        <v>681</v>
      </c>
      <c r="B17" s="302" t="s">
        <v>716</v>
      </c>
      <c r="C17" s="21">
        <f ca="1">ROUND(F17*(F43+INDIRECT("'数据-取费表'!S"&amp;$G$1)),0)</f>
        <v>51004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22952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1278926</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38368</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5057</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41231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-5057</v>
      </c>
      <c r="K25" s="1094" t="s">
        <v>753</v>
      </c>
      <c r="L25" s="1095"/>
      <c r="M25" s="1096"/>
    </row>
    <row r="26" spans="1:37" ht="18" customHeight="1">
      <c r="A26" s="981" t="s">
        <v>397</v>
      </c>
      <c r="B26" s="302" t="s">
        <v>754</v>
      </c>
      <c r="C26" s="21">
        <f ca="1">ROUND((C19+C20)*F26,0)</f>
        <v>197594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1685753</v>
      </c>
      <c r="D29" s="1091"/>
      <c r="E29" s="1089"/>
      <c r="F29" s="1092"/>
      <c r="G29" s="1395"/>
      <c r="H29" s="334" t="s">
        <v>396</v>
      </c>
      <c r="I29" s="335" t="s">
        <v>768</v>
      </c>
      <c r="J29" s="336">
        <f ca="1">ROUND(J26/(1+F40)^F41,0)</f>
        <v>0</v>
      </c>
      <c r="K29" s="337" t="s">
        <v>769</v>
      </c>
      <c r="L29" s="338"/>
      <c r="M29" s="339">
        <f ca="1">INDIRECT("'数据-取费表'!k"&amp;$G$1)</f>
        <v>255.02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65896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56169</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1" t="s">
        <v>397</v>
      </c>
      <c r="B32" s="302" t="s">
        <v>723</v>
      </c>
      <c r="C32" s="21">
        <f ca="1">IF(项目基本情况!B11="自然人","——",ROUND(C6*F32/(1+'数据-取费表'!C42),0))</f>
        <v>17872</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38297</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5057</v>
      </c>
      <c r="D36" s="1343" t="s">
        <v>771</v>
      </c>
      <c r="E36" s="302" t="s">
        <v>712</v>
      </c>
      <c r="F36" s="328">
        <f ca="1">INDIRECT("'数据-取费表'!Ak"&amp;$G$1)</f>
        <v>3.0000000000000001E-3</v>
      </c>
      <c r="G36" s="1383"/>
      <c r="H36" s="2699"/>
      <c r="I36" s="1397"/>
      <c r="J36" s="1398"/>
      <c r="K36" s="2543"/>
      <c r="L36" s="2699"/>
      <c r="M36" s="2699"/>
    </row>
    <row r="37" spans="1:18" ht="18" customHeight="1">
      <c r="A37" s="981" t="s">
        <v>437</v>
      </c>
      <c r="B37" s="302" t="s">
        <v>742</v>
      </c>
      <c r="C37" s="21">
        <f ca="1">ROUND(C13*F37,0)</f>
        <v>1315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3355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269619</v>
      </c>
      <c r="D39" s="1094" t="s">
        <v>773</v>
      </c>
      <c r="E39" s="1095"/>
      <c r="F39" s="1096"/>
      <c r="G39" s="1383"/>
      <c r="H39" s="2699"/>
      <c r="I39" s="1397"/>
      <c r="J39" s="1398"/>
      <c r="K39" s="2703"/>
      <c r="L39" s="2699"/>
      <c r="M39" s="2699"/>
    </row>
    <row r="40" spans="1:18" ht="18" customHeight="1">
      <c r="A40" s="299" t="s">
        <v>395</v>
      </c>
      <c r="B40" s="300" t="s">
        <v>774</v>
      </c>
      <c r="C40" s="301">
        <f ca="1">ROUND(C39*(1-((1+F42)/(1+F40))^F41)/(F40-F42),0)</f>
        <v>5338284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20933</v>
      </c>
      <c r="D43" s="337" t="s">
        <v>777</v>
      </c>
      <c r="E43" s="338" t="s">
        <v>778</v>
      </c>
      <c r="F43" s="339">
        <f ca="1">INDIRECT("'数据-取费表'!k"&amp;$G$1)</f>
        <v>255.02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f ca="1">ROUND((C68-C40)/10000,4)</f>
        <v>-543.63530000000003</v>
      </c>
      <c r="D45" s="3431" t="s">
        <v>3350</v>
      </c>
      <c r="E45" s="1399"/>
      <c r="F45" s="1399"/>
      <c r="O45" s="1402" t="s">
        <v>808</v>
      </c>
      <c r="P45" s="1460"/>
      <c r="Q45" s="1460"/>
      <c r="R45" s="1460"/>
    </row>
    <row r="46" spans="1:18" s="1383" customFormat="1" ht="13.5" thickBot="1">
      <c r="A46" s="1403" t="s">
        <v>809</v>
      </c>
      <c r="C46" s="1404">
        <f ca="1">ROUND(C45,0)</f>
        <v>-544</v>
      </c>
      <c r="D46" s="1405" t="str">
        <f>C2</f>
        <v>万元</v>
      </c>
      <c r="I46" s="1406" t="s">
        <v>810</v>
      </c>
      <c r="J46" s="1407"/>
      <c r="K46" s="1408"/>
      <c r="L46" s="1409">
        <f ca="1">IF(M47="住宅",0,IF(L48&gt;J51,L60,J60))</f>
        <v>53648</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3482</v>
      </c>
      <c r="K47" s="1415" t="s">
        <v>816</v>
      </c>
      <c r="L47" s="1416">
        <f ca="1">INDIRECT("'数据-取费表'!d"&amp;$G$1)</f>
        <v>50</v>
      </c>
      <c r="M47" s="1379" t="str">
        <f>IF(ISNUMBER(FIND("住宅",C1)),"住宅","非住宅")</f>
        <v>非住宅</v>
      </c>
      <c r="O47" s="1417" t="s">
        <v>403</v>
      </c>
      <c r="P47" s="1418" t="s">
        <v>817</v>
      </c>
      <c r="Q47" s="1419">
        <f ca="1">C40+J29</f>
        <v>5338284</v>
      </c>
      <c r="R47" s="1419" t="s">
        <v>818</v>
      </c>
    </row>
    <row r="48" spans="1:18" s="1383" customFormat="1" ht="28.5" thickBot="1">
      <c r="A48" s="1109" t="s">
        <v>438</v>
      </c>
      <c r="B48" s="300" t="s">
        <v>692</v>
      </c>
      <c r="C48" s="1358">
        <f ca="1">C49+C53+C55</f>
        <v>0</v>
      </c>
      <c r="D48" s="1111"/>
      <c r="E48" s="1112"/>
      <c r="F48" s="961"/>
      <c r="G48" s="721"/>
      <c r="H48" s="722"/>
      <c r="I48" s="1420" t="s">
        <v>819</v>
      </c>
      <c r="J48" s="1421" t="s">
        <v>3483</v>
      </c>
      <c r="K48" s="1422" t="s">
        <v>820</v>
      </c>
      <c r="L48" s="1423">
        <f ca="1">INDIRECT("'数据-取费表'!f"&amp;$G$1)</f>
        <v>35</v>
      </c>
      <c r="O48" s="1417" t="s">
        <v>404</v>
      </c>
      <c r="P48" s="1418" t="s">
        <v>821</v>
      </c>
      <c r="Q48" s="1419">
        <f ca="1">J60</f>
        <v>53648</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2012</v>
      </c>
      <c r="K49" s="1422" t="s">
        <v>824</v>
      </c>
      <c r="L49" s="1426"/>
      <c r="O49" s="1427" t="s">
        <v>405</v>
      </c>
      <c r="P49" s="1418" t="s">
        <v>825</v>
      </c>
      <c r="Q49" s="1419">
        <f ca="1">C29</f>
        <v>1685753</v>
      </c>
      <c r="R49" s="1419" t="s">
        <v>818</v>
      </c>
    </row>
    <row r="50" spans="1:18" s="1383" customFormat="1" ht="13.5" thickBot="1">
      <c r="A50" s="975"/>
      <c r="B50" s="978"/>
      <c r="C50" s="979"/>
      <c r="D50" s="952"/>
      <c r="E50" s="1055" t="s">
        <v>697</v>
      </c>
      <c r="F50" s="1056">
        <f ca="1">F7</f>
        <v>255.02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47</v>
      </c>
      <c r="K51" s="1433" t="s">
        <v>830</v>
      </c>
      <c r="L51" s="1434">
        <f ca="1">ROUND(-PV(INDIRECT("'数据-取费表'!h"&amp;$G$1),J51,(C39-C13*C76),0),0)</f>
        <v>3193013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v>
      </c>
      <c r="K53" s="3663" t="s">
        <v>837</v>
      </c>
      <c r="L53" s="3664"/>
      <c r="O53" s="1417" t="s">
        <v>409</v>
      </c>
      <c r="P53" s="1418" t="s">
        <v>838</v>
      </c>
      <c r="Q53" s="1419">
        <f ca="1">Q47+Q48</f>
        <v>5391932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1314887</v>
      </c>
      <c r="D56" s="1446"/>
      <c r="E56" s="1447"/>
      <c r="F56" s="1439"/>
      <c r="I56" s="1448" t="s">
        <v>842</v>
      </c>
      <c r="J56" s="1449" t="s">
        <v>3484</v>
      </c>
      <c r="K56" s="1420" t="s">
        <v>843</v>
      </c>
      <c r="L56" s="1423" t="str">
        <f ca="1">IF(L48&lt;J51,"——",L48-J51)</f>
        <v>——</v>
      </c>
      <c r="O56" s="1417" t="s">
        <v>403</v>
      </c>
      <c r="P56" s="1418" t="s">
        <v>817</v>
      </c>
      <c r="Q56" s="1419">
        <f ca="1">C40+J29</f>
        <v>5338284</v>
      </c>
      <c r="R56" s="1419" t="s">
        <v>818</v>
      </c>
    </row>
    <row r="57" spans="1:18" s="1383" customFormat="1" ht="24.75" thickBot="1">
      <c r="A57" s="1450"/>
      <c r="B57" s="949" t="s">
        <v>767</v>
      </c>
      <c r="C57" s="238">
        <f ca="1">C29</f>
        <v>1685753</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6372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674301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53648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5338284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5057</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1315</v>
      </c>
      <c r="D65" s="963" t="s">
        <v>743</v>
      </c>
      <c r="E65" s="949" t="s">
        <v>744</v>
      </c>
      <c r="F65" s="330">
        <f t="shared" ca="1" si="0"/>
        <v>1E-3</v>
      </c>
      <c r="I65" s="1461" t="s">
        <v>867</v>
      </c>
      <c r="J65" s="1462">
        <v>40</v>
      </c>
      <c r="K65" s="1462">
        <v>30</v>
      </c>
      <c r="L65" s="1462">
        <v>50</v>
      </c>
      <c r="M65" s="1464">
        <v>0.02</v>
      </c>
      <c r="O65" s="1417" t="s">
        <v>403</v>
      </c>
      <c r="P65" s="1418" t="s">
        <v>868</v>
      </c>
      <c r="Q65" s="1419">
        <f ca="1">C40+J29</f>
        <v>5338284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-6372</v>
      </c>
      <c r="D67" s="962" t="s">
        <v>753</v>
      </c>
      <c r="E67" s="967"/>
      <c r="F67" s="968"/>
      <c r="O67" s="1427" t="s">
        <v>405</v>
      </c>
      <c r="P67" s="1418" t="s">
        <v>850</v>
      </c>
      <c r="Q67" s="1465">
        <f ca="1">L51</f>
        <v>3193013</v>
      </c>
      <c r="R67" s="1419" t="s">
        <v>870</v>
      </c>
    </row>
    <row r="68" spans="1:18" s="1383" customFormat="1" ht="16.5" thickBot="1">
      <c r="A68" s="946" t="s">
        <v>395</v>
      </c>
      <c r="B68" s="947" t="s">
        <v>774</v>
      </c>
      <c r="C68" s="301">
        <f ca="1">ROUND(C67*(1-((1+F70)/(1+F68))^F69)/(F68-F70),0)</f>
        <v>-98069</v>
      </c>
      <c r="D68" s="964" t="s">
        <v>758</v>
      </c>
      <c r="E68" s="949" t="s">
        <v>759</v>
      </c>
      <c r="F68" s="312">
        <f ca="1">F40</f>
        <v>5.5E-2</v>
      </c>
      <c r="O68" s="1427" t="s">
        <v>406</v>
      </c>
      <c r="P68" s="1466" t="s">
        <v>871</v>
      </c>
      <c r="Q68" s="1419">
        <f ca="1">ROUND(Q69-Q70*Q71,0)</f>
        <v>177577</v>
      </c>
      <c r="R68" s="1419" t="s">
        <v>414</v>
      </c>
    </row>
    <row r="69" spans="1:18" s="1383" customFormat="1" ht="13.5" thickBot="1">
      <c r="A69" s="950"/>
      <c r="B69" s="951"/>
      <c r="C69" s="306"/>
      <c r="D69" s="969" t="s">
        <v>762</v>
      </c>
      <c r="E69" s="949" t="s">
        <v>763</v>
      </c>
      <c r="F69" s="333">
        <f ca="1">F41</f>
        <v>35</v>
      </c>
      <c r="O69" s="1427" t="s">
        <v>411</v>
      </c>
      <c r="P69" s="1466" t="s">
        <v>872</v>
      </c>
      <c r="Q69" s="1419">
        <f ca="1">C39</f>
        <v>269619</v>
      </c>
      <c r="R69" s="1419" t="s">
        <v>818</v>
      </c>
    </row>
    <row r="70" spans="1:18" s="1383" customFormat="1" ht="13.5" thickBot="1">
      <c r="A70" s="953"/>
      <c r="B70" s="954"/>
      <c r="C70" s="310"/>
      <c r="D70" s="965"/>
      <c r="E70" s="949" t="s">
        <v>766</v>
      </c>
      <c r="F70" s="1053"/>
      <c r="O70" s="1427" t="s">
        <v>412</v>
      </c>
      <c r="P70" s="1466" t="s">
        <v>873</v>
      </c>
      <c r="Q70" s="1419">
        <f ca="1">C13</f>
        <v>1314887</v>
      </c>
      <c r="R70" s="1419" t="s">
        <v>818</v>
      </c>
    </row>
    <row r="71" spans="1:18" s="1383" customFormat="1" ht="13.5" thickBot="1">
      <c r="A71" s="970" t="s">
        <v>396</v>
      </c>
      <c r="B71" s="971" t="s">
        <v>776</v>
      </c>
      <c r="C71" s="336">
        <f ca="1">ROUND(C68/F71,0)</f>
        <v>-385</v>
      </c>
      <c r="D71" s="972" t="s">
        <v>777</v>
      </c>
      <c r="E71" s="973" t="s">
        <v>778</v>
      </c>
      <c r="F71" s="339">
        <f ca="1">F43</f>
        <v>255.02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92042</v>
      </c>
      <c r="D75" s="1383"/>
      <c r="E75" s="1383"/>
      <c r="F75" s="1383"/>
      <c r="K75" s="1401"/>
      <c r="L75" s="1383"/>
      <c r="O75" s="1417" t="s">
        <v>409</v>
      </c>
      <c r="P75" s="1418" t="s">
        <v>838</v>
      </c>
      <c r="Q75" s="1419">
        <f ca="1">Q65+Q66</f>
        <v>5338284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0.65900000000000003</v>
      </c>
    </row>
    <row r="80" spans="1:18">
      <c r="B80" s="340" t="s">
        <v>800</v>
      </c>
      <c r="C80" s="274">
        <f ca="1">ROUND(C75/C39,3)</f>
        <v>0.34100000000000003</v>
      </c>
    </row>
    <row r="81" spans="2:3">
      <c r="B81" s="270" t="s">
        <v>801</v>
      </c>
      <c r="C81" s="238"/>
    </row>
    <row r="82" spans="2:3">
      <c r="B82" s="273" t="s">
        <v>802</v>
      </c>
      <c r="C82" s="275">
        <f ca="1">1-C83</f>
        <v>0.754</v>
      </c>
    </row>
    <row r="83" spans="2:3">
      <c r="B83" s="273" t="s">
        <v>803</v>
      </c>
      <c r="C83" s="274">
        <f ca="1">ROUND(C13/C40,3)</f>
        <v>0.246</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674" t="s">
        <v>2316</v>
      </c>
      <c r="K2" s="3675"/>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676" t="s">
        <v>2326</v>
      </c>
      <c r="K3" s="3677"/>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676" t="s">
        <v>2328</v>
      </c>
      <c r="K4" s="3677"/>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682" t="s">
        <v>2332</v>
      </c>
      <c r="B6" s="3683"/>
      <c r="C6" s="3684"/>
      <c r="D6" s="2869"/>
      <c r="E6" s="2870"/>
      <c r="F6" s="2871"/>
      <c r="G6" s="2872"/>
      <c r="H6" s="2847"/>
      <c r="I6" s="2848"/>
      <c r="J6" s="3668">
        <v>1</v>
      </c>
      <c r="K6" s="3669"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668"/>
      <c r="K7" s="3670"/>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685" t="s">
        <v>2346</v>
      </c>
      <c r="C8" s="3686"/>
      <c r="D8" s="2888" t="s">
        <v>2347</v>
      </c>
      <c r="E8" s="2889" t="s">
        <v>2348</v>
      </c>
      <c r="F8" s="2890" t="s">
        <v>2349</v>
      </c>
      <c r="G8" s="2891"/>
      <c r="H8" s="2847"/>
      <c r="I8" s="2848"/>
      <c r="J8" s="3668"/>
      <c r="K8" s="3670"/>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685" t="s">
        <v>2352</v>
      </c>
      <c r="C9" s="3686"/>
      <c r="D9" s="2888">
        <f>ROUND(D6*E9,0)</f>
        <v>0</v>
      </c>
      <c r="E9" s="2892"/>
      <c r="F9" s="2893" t="s">
        <v>2353</v>
      </c>
      <c r="G9" s="2872"/>
      <c r="H9" s="2847"/>
      <c r="I9" s="2848"/>
      <c r="J9" s="3668"/>
      <c r="K9" s="3670"/>
      <c r="L9" s="2882" t="s">
        <v>2354</v>
      </c>
      <c r="M9" s="2883"/>
      <c r="N9" s="2859"/>
      <c r="O9" s="2884"/>
      <c r="P9" s="2884"/>
      <c r="Q9" s="2885">
        <v>365</v>
      </c>
      <c r="R9" s="2886">
        <f t="shared" si="0"/>
        <v>0</v>
      </c>
      <c r="S9" s="2840"/>
      <c r="T9" s="2840"/>
      <c r="U9" s="2840"/>
      <c r="V9" s="2848"/>
    </row>
    <row r="10" spans="1:22" s="2852" customFormat="1" ht="13.15" customHeight="1">
      <c r="A10" s="2887">
        <v>2</v>
      </c>
      <c r="B10" s="3685" t="s">
        <v>2355</v>
      </c>
      <c r="C10" s="3686"/>
      <c r="D10" s="2888">
        <f>ROUND(D6*E10,0)</f>
        <v>0</v>
      </c>
      <c r="E10" s="2892"/>
      <c r="F10" s="2893" t="s">
        <v>2356</v>
      </c>
      <c r="G10" s="2872"/>
      <c r="H10" s="2847"/>
      <c r="I10" s="2848"/>
      <c r="J10" s="3668"/>
      <c r="K10" s="3670"/>
      <c r="L10" s="2882" t="s">
        <v>2357</v>
      </c>
      <c r="M10" s="2883"/>
      <c r="N10" s="2859"/>
      <c r="O10" s="2884"/>
      <c r="P10" s="2884"/>
      <c r="Q10" s="2885">
        <v>365</v>
      </c>
      <c r="R10" s="2886">
        <f t="shared" si="0"/>
        <v>0</v>
      </c>
      <c r="S10" s="2840"/>
      <c r="T10" s="2840"/>
      <c r="U10" s="2840"/>
      <c r="V10" s="2848"/>
    </row>
    <row r="11" spans="1:22" s="2852" customFormat="1" ht="13.15" customHeight="1">
      <c r="A11" s="2887">
        <v>3</v>
      </c>
      <c r="B11" s="3685" t="s">
        <v>2358</v>
      </c>
      <c r="C11" s="3686"/>
      <c r="D11" s="2888">
        <f>D12+D14+D15+D16</f>
        <v>0</v>
      </c>
      <c r="E11" s="2894" t="e">
        <f>D11/D6</f>
        <v>#DIV/0!</v>
      </c>
      <c r="F11" s="2890"/>
      <c r="G11" s="2891"/>
      <c r="H11" s="2847"/>
      <c r="I11" s="2848"/>
      <c r="J11" s="3668"/>
      <c r="K11" s="3670"/>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678" t="s">
        <v>2361</v>
      </c>
      <c r="C12" s="3679"/>
      <c r="D12" s="2896">
        <f>ROUND(D13*1.2%*(1-30%),0)</f>
        <v>0</v>
      </c>
      <c r="E12" s="2897">
        <v>1.2E-2</v>
      </c>
      <c r="F12" s="2890" t="s">
        <v>2362</v>
      </c>
      <c r="G12" s="2891"/>
      <c r="H12" s="2847"/>
      <c r="I12" s="2848"/>
      <c r="J12" s="3668"/>
      <c r="K12" s="3670"/>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668"/>
      <c r="K13" s="3670"/>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678" t="s">
        <v>2367</v>
      </c>
      <c r="C14" s="3679"/>
      <c r="D14" s="2896">
        <f>ROUND(E14*B5/10000,0)</f>
        <v>0</v>
      </c>
      <c r="E14" s="2885"/>
      <c r="F14" s="2890" t="s">
        <v>2368</v>
      </c>
      <c r="G14" s="2891"/>
      <c r="H14" s="2847"/>
      <c r="I14" s="2848"/>
      <c r="J14" s="3668"/>
      <c r="K14" s="3671"/>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678" t="s">
        <v>2371</v>
      </c>
      <c r="C15" s="3679"/>
      <c r="D15" s="2896">
        <f>ROUND(D6*E15,0)</f>
        <v>0</v>
      </c>
      <c r="E15" s="2897">
        <v>5.5E-2</v>
      </c>
      <c r="F15" s="2890" t="s">
        <v>2372</v>
      </c>
      <c r="G15" s="2872"/>
      <c r="H15" s="2847"/>
      <c r="I15" s="2848"/>
      <c r="J15" s="3668">
        <v>2</v>
      </c>
      <c r="K15" s="3669"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678" t="s">
        <v>2380</v>
      </c>
      <c r="C16" s="3679"/>
      <c r="D16" s="2907">
        <f>D6*E16</f>
        <v>0</v>
      </c>
      <c r="E16" s="2908"/>
      <c r="F16" s="2893" t="s">
        <v>2381</v>
      </c>
      <c r="G16" s="2872"/>
      <c r="H16" s="2847"/>
      <c r="I16" s="2848"/>
      <c r="J16" s="3668"/>
      <c r="K16" s="3670"/>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680" t="s">
        <v>2383</v>
      </c>
      <c r="C17" s="3681"/>
      <c r="D17" s="2910">
        <f>ROUND(D6*E17,0)</f>
        <v>0</v>
      </c>
      <c r="E17" s="2911"/>
      <c r="F17" s="2912" t="s">
        <v>2384</v>
      </c>
      <c r="G17" s="2872"/>
      <c r="H17" s="2847"/>
      <c r="I17" s="2848"/>
      <c r="J17" s="3668"/>
      <c r="K17" s="3670"/>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668"/>
      <c r="K18" s="3670"/>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668"/>
      <c r="K19" s="3671"/>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668"/>
      <c r="K21" s="3670"/>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668"/>
      <c r="K22" s="3670"/>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668"/>
      <c r="K23" s="3670"/>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668"/>
      <c r="K24" s="3671"/>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672">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674" t="s">
        <v>2316</v>
      </c>
      <c r="K32" s="3675"/>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676" t="s">
        <v>2326</v>
      </c>
      <c r="K33" s="3677"/>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676" t="s">
        <v>2328</v>
      </c>
      <c r="K34" s="367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668">
        <v>1</v>
      </c>
      <c r="K36" s="3669"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668"/>
      <c r="K37" s="3670"/>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8"/>
      <c r="K38" s="3670"/>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668"/>
      <c r="K40" s="3671"/>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539.19320000000005</v>
      </c>
      <c r="C2" s="1871" t="s">
        <v>1651</v>
      </c>
      <c r="D2" s="1872" t="s">
        <v>1652</v>
      </c>
      <c r="E2" s="2606">
        <f>SUM(E6:E13)</f>
        <v>255.02</v>
      </c>
      <c r="F2" s="2706"/>
      <c r="G2" s="1488"/>
      <c r="H2" s="1488"/>
      <c r="I2" s="1488"/>
      <c r="J2" s="1488"/>
      <c r="K2" s="1488"/>
      <c r="L2" s="1488"/>
      <c r="M2" s="1488"/>
      <c r="N2" s="1488"/>
      <c r="O2" s="1488"/>
      <c r="P2" s="1488"/>
      <c r="Q2" s="1488"/>
      <c r="R2" s="1488"/>
      <c r="S2" s="1488"/>
    </row>
    <row r="3" spans="1:22" ht="15.75">
      <c r="A3" s="1869" t="s">
        <v>686</v>
      </c>
      <c r="B3" s="2600">
        <f ca="1">ROUND(B2*10000/E2,0)</f>
        <v>21143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7" t="s">
        <v>1654</v>
      </c>
      <c r="C5" s="368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539.19320000000005</v>
      </c>
      <c r="C6" s="1871" t="s">
        <v>1651</v>
      </c>
      <c r="D6" s="2708"/>
      <c r="E6" s="2605">
        <f>IF(OR(A6=0,F6="否"),0,'数据-取费表'!K6+'数据-取费表'!S6)</f>
        <v>255.02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255.02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717" t="s">
        <v>1668</v>
      </c>
      <c r="S4" s="3718"/>
      <c r="T4" s="3717" t="s">
        <v>1669</v>
      </c>
      <c r="U4" s="3718"/>
      <c r="V4" s="3723" t="s">
        <v>1670</v>
      </c>
      <c r="W4" s="3723"/>
      <c r="X4" s="1354"/>
      <c r="Y4" s="3717" t="s">
        <v>1672</v>
      </c>
      <c r="Z4" s="3718"/>
      <c r="AA4" s="3704" t="s">
        <v>1668</v>
      </c>
      <c r="AB4" s="3704" t="s">
        <v>1669</v>
      </c>
      <c r="AC4" s="3704" t="s">
        <v>1670</v>
      </c>
    </row>
    <row r="5" spans="1:29" ht="15">
      <c r="A5" s="358"/>
      <c r="B5" s="359"/>
      <c r="C5" s="3726" t="s">
        <v>1673</v>
      </c>
      <c r="D5" s="3727"/>
      <c r="E5" s="3733" t="s">
        <v>1674</v>
      </c>
      <c r="F5" s="3734"/>
      <c r="G5" s="3726" t="s">
        <v>1675</v>
      </c>
      <c r="H5" s="3727"/>
      <c r="I5" s="3726" t="s">
        <v>1676</v>
      </c>
      <c r="J5" s="3727"/>
      <c r="K5" s="1889"/>
      <c r="L5" s="2714"/>
      <c r="M5" s="2715"/>
      <c r="N5" s="2715"/>
      <c r="O5" s="2715"/>
      <c r="P5" s="3713"/>
      <c r="Q5" s="3714"/>
      <c r="R5" s="3719"/>
      <c r="S5" s="3720"/>
      <c r="T5" s="3719"/>
      <c r="U5" s="3720"/>
      <c r="V5" s="3723"/>
      <c r="W5" s="3723"/>
      <c r="X5" s="1354"/>
      <c r="Y5" s="3719"/>
      <c r="Z5" s="3720"/>
      <c r="AA5" s="3705"/>
      <c r="AB5" s="3705"/>
      <c r="AC5" s="3705"/>
    </row>
    <row r="6" spans="1:29" ht="15.75" thickBot="1">
      <c r="A6" s="360"/>
      <c r="B6" s="361"/>
      <c r="C6" s="3724" t="s">
        <v>1677</v>
      </c>
      <c r="D6" s="3725"/>
      <c r="E6" s="3731" t="s">
        <v>1677</v>
      </c>
      <c r="F6" s="3732"/>
      <c r="G6" s="3724" t="s">
        <v>1677</v>
      </c>
      <c r="H6" s="3725"/>
      <c r="I6" s="3724" t="s">
        <v>1677</v>
      </c>
      <c r="J6" s="3725"/>
      <c r="K6" s="1889" t="s">
        <v>1678</v>
      </c>
      <c r="L6" s="2714"/>
      <c r="M6" s="2715"/>
      <c r="N6" s="2715"/>
      <c r="O6" s="2715"/>
      <c r="P6" s="3715"/>
      <c r="Q6" s="3716"/>
      <c r="R6" s="3719"/>
      <c r="S6" s="3720"/>
      <c r="T6" s="3721"/>
      <c r="U6" s="3722"/>
      <c r="V6" s="3723"/>
      <c r="W6" s="3723"/>
      <c r="X6" s="1354"/>
      <c r="Y6" s="3721"/>
      <c r="Z6" s="3722"/>
      <c r="AA6" s="3706"/>
      <c r="AB6" s="3706"/>
      <c r="AC6" s="3706"/>
    </row>
    <row r="7" spans="1:29" s="108" customFormat="1" ht="15.75" thickBot="1">
      <c r="A7" s="362" t="s">
        <v>1679</v>
      </c>
      <c r="B7" s="363"/>
      <c r="C7" s="364">
        <f>'数据-取费表'!B2</f>
        <v>45954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8" t="s">
        <v>1680</v>
      </c>
      <c r="Q7" s="3730"/>
      <c r="R7" s="700" t="s">
        <v>20</v>
      </c>
      <c r="S7" s="701">
        <f t="shared" ref="S7:S15" si="0">F7</f>
        <v>0</v>
      </c>
      <c r="T7" s="700" t="s">
        <v>20</v>
      </c>
      <c r="U7" s="701">
        <f t="shared" ref="U7:U15" si="1">H7</f>
        <v>0</v>
      </c>
      <c r="V7" s="700" t="s">
        <v>20</v>
      </c>
      <c r="W7" s="701">
        <f t="shared" ref="W7:W15" si="2">J7</f>
        <v>0</v>
      </c>
      <c r="X7" s="702"/>
      <c r="Y7" s="3728" t="s">
        <v>1680</v>
      </c>
      <c r="Z7" s="372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8" t="s">
        <v>1683</v>
      </c>
      <c r="Q8" s="3729"/>
      <c r="R8" s="700" t="s">
        <v>20</v>
      </c>
      <c r="S8" s="701">
        <f t="shared" si="0"/>
        <v>100</v>
      </c>
      <c r="T8" s="700" t="s">
        <v>20</v>
      </c>
      <c r="U8" s="701">
        <f t="shared" si="1"/>
        <v>100</v>
      </c>
      <c r="V8" s="700" t="s">
        <v>20</v>
      </c>
      <c r="W8" s="701">
        <f t="shared" si="2"/>
        <v>100</v>
      </c>
      <c r="X8" s="702"/>
      <c r="Y8" s="3728" t="s">
        <v>1683</v>
      </c>
      <c r="Z8" s="372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3"/>
      <c r="Q11" s="1342" t="str">
        <f t="shared" si="6"/>
        <v>容积率</v>
      </c>
      <c r="R11" s="700" t="s">
        <v>18</v>
      </c>
      <c r="S11" s="701" t="e">
        <f t="shared" si="0"/>
        <v>#N/A</v>
      </c>
      <c r="T11" s="700" t="s">
        <v>18</v>
      </c>
      <c r="U11" s="701" t="e">
        <f t="shared" si="1"/>
        <v>#N/A</v>
      </c>
      <c r="V11" s="700" t="s">
        <v>18</v>
      </c>
      <c r="W11" s="701" t="e">
        <f t="shared" si="2"/>
        <v>#N/A</v>
      </c>
      <c r="X11" s="702"/>
      <c r="Y11" s="356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3"/>
      <c r="Q12" s="1342">
        <f t="shared" si="6"/>
        <v>111</v>
      </c>
      <c r="R12" s="700" t="s">
        <v>18</v>
      </c>
      <c r="S12" s="701">
        <f t="shared" si="0"/>
        <v>100</v>
      </c>
      <c r="T12" s="700" t="s">
        <v>18</v>
      </c>
      <c r="U12" s="701">
        <f t="shared" si="1"/>
        <v>100</v>
      </c>
      <c r="V12" s="700" t="s">
        <v>18</v>
      </c>
      <c r="W12" s="701">
        <f t="shared" si="2"/>
        <v>100</v>
      </c>
      <c r="X12" s="702"/>
      <c r="Y12" s="356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3"/>
      <c r="Q13" s="1342">
        <f t="shared" si="6"/>
        <v>111</v>
      </c>
      <c r="R13" s="700" t="s">
        <v>18</v>
      </c>
      <c r="S13" s="701">
        <f t="shared" si="0"/>
        <v>100</v>
      </c>
      <c r="T13" s="700" t="s">
        <v>18</v>
      </c>
      <c r="U13" s="701">
        <f t="shared" si="1"/>
        <v>100</v>
      </c>
      <c r="V13" s="700" t="s">
        <v>18</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3"/>
      <c r="Q14" s="1342">
        <f t="shared" si="6"/>
        <v>111</v>
      </c>
      <c r="R14" s="700" t="s">
        <v>18</v>
      </c>
      <c r="S14" s="701">
        <f t="shared" si="0"/>
        <v>100</v>
      </c>
      <c r="T14" s="700" t="s">
        <v>18</v>
      </c>
      <c r="U14" s="701">
        <f t="shared" si="1"/>
        <v>100</v>
      </c>
      <c r="V14" s="700" t="s">
        <v>18</v>
      </c>
      <c r="W14" s="701">
        <f t="shared" si="2"/>
        <v>100</v>
      </c>
      <c r="X14" s="702"/>
      <c r="Y14" s="356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1"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2"/>
      <c r="Q16" s="1351"/>
      <c r="R16" s="704"/>
      <c r="S16" s="705"/>
      <c r="T16" s="704"/>
      <c r="U16" s="705"/>
      <c r="V16" s="704"/>
      <c r="W16" s="705"/>
      <c r="X16" s="1354"/>
      <c r="Y16" s="369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2"/>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2"/>
      <c r="Q18" s="1351"/>
      <c r="R18" s="704"/>
      <c r="S18" s="705"/>
      <c r="T18" s="704"/>
      <c r="U18" s="705"/>
      <c r="V18" s="704"/>
      <c r="W18" s="705"/>
      <c r="X18" s="1354"/>
      <c r="Y18" s="369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2"/>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2"/>
      <c r="Q20" s="1351"/>
      <c r="R20" s="704"/>
      <c r="S20" s="705"/>
      <c r="T20" s="704"/>
      <c r="U20" s="705"/>
      <c r="V20" s="704"/>
      <c r="W20" s="705"/>
      <c r="X20" s="1354"/>
      <c r="Y20" s="369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2"/>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2"/>
      <c r="Q22" s="1351"/>
      <c r="R22" s="704"/>
      <c r="S22" s="705"/>
      <c r="T22" s="704"/>
      <c r="U22" s="705"/>
      <c r="V22" s="704"/>
      <c r="W22" s="705"/>
      <c r="X22" s="1354"/>
      <c r="Y22" s="369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2"/>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2"/>
      <c r="Q24" s="1351"/>
      <c r="R24" s="704"/>
      <c r="S24" s="705"/>
      <c r="T24" s="704"/>
      <c r="U24" s="705"/>
      <c r="V24" s="704"/>
      <c r="W24" s="705"/>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2"/>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2"/>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2"/>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2"/>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2"/>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2"/>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2" t="str">
        <f>A47</f>
        <v>成交单价（元/平方米）</v>
      </c>
      <c r="Q47" s="3692"/>
      <c r="R47" s="3693">
        <f>E47</f>
        <v>0</v>
      </c>
      <c r="S47" s="3693"/>
      <c r="T47" s="3693">
        <f>G47</f>
        <v>0</v>
      </c>
      <c r="U47" s="3693"/>
      <c r="V47" s="3693">
        <f>I47</f>
        <v>0</v>
      </c>
      <c r="W47" s="3693"/>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255.02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23" t="s">
        <v>1772</v>
      </c>
      <c r="AC4" s="3704" t="s">
        <v>1773</v>
      </c>
    </row>
    <row r="5" spans="1:29" ht="15">
      <c r="A5" s="358"/>
      <c r="B5" s="359"/>
      <c r="C5" s="3726" t="s">
        <v>1673</v>
      </c>
      <c r="D5" s="3727"/>
      <c r="E5" s="3733" t="s">
        <v>1674</v>
      </c>
      <c r="F5" s="3734"/>
      <c r="G5" s="3726" t="s">
        <v>1675</v>
      </c>
      <c r="H5" s="3727"/>
      <c r="I5" s="3726" t="s">
        <v>1676</v>
      </c>
      <c r="J5" s="3727"/>
      <c r="K5" s="559"/>
      <c r="L5" s="2714"/>
      <c r="M5" s="2715"/>
      <c r="N5" s="2715"/>
      <c r="O5" s="2715"/>
      <c r="P5" s="3713"/>
      <c r="Q5" s="3714"/>
      <c r="R5" s="3719"/>
      <c r="S5" s="3720"/>
      <c r="T5" s="3719"/>
      <c r="U5" s="3720"/>
      <c r="V5" s="3723"/>
      <c r="W5" s="3723"/>
      <c r="X5" s="1354"/>
      <c r="Y5" s="3719"/>
      <c r="Z5" s="3720"/>
      <c r="AA5" s="3705"/>
      <c r="AB5" s="3723"/>
      <c r="AC5" s="3705"/>
    </row>
    <row r="6" spans="1:29" ht="15.75" thickBot="1">
      <c r="A6" s="360"/>
      <c r="B6" s="361"/>
      <c r="C6" s="3724" t="s">
        <v>1677</v>
      </c>
      <c r="D6" s="3725"/>
      <c r="E6" s="3731" t="s">
        <v>1677</v>
      </c>
      <c r="F6" s="3732"/>
      <c r="G6" s="3724" t="s">
        <v>1677</v>
      </c>
      <c r="H6" s="3725"/>
      <c r="I6" s="3724" t="s">
        <v>1677</v>
      </c>
      <c r="J6" s="3725"/>
      <c r="K6" s="559" t="s">
        <v>1678</v>
      </c>
      <c r="L6" s="2714"/>
      <c r="M6" s="2715"/>
      <c r="N6" s="2715"/>
      <c r="O6" s="2715"/>
      <c r="P6" s="3715"/>
      <c r="Q6" s="3716"/>
      <c r="R6" s="3719"/>
      <c r="S6" s="3720"/>
      <c r="T6" s="3721"/>
      <c r="U6" s="3722"/>
      <c r="V6" s="3723"/>
      <c r="W6" s="3723"/>
      <c r="X6" s="1354"/>
      <c r="Y6" s="3721"/>
      <c r="Z6" s="3722"/>
      <c r="AA6" s="3706"/>
      <c r="AB6" s="3723"/>
      <c r="AC6" s="3706"/>
    </row>
    <row r="7" spans="1:29" s="108" customFormat="1" ht="15.75" thickBot="1">
      <c r="A7" s="362" t="s">
        <v>1679</v>
      </c>
      <c r="B7" s="363"/>
      <c r="C7" s="364">
        <f>'数据-取费表'!B2</f>
        <v>45954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8" t="s">
        <v>1683</v>
      </c>
      <c r="Q8" s="3729"/>
      <c r="R8" s="700" t="s">
        <v>14</v>
      </c>
      <c r="S8" s="701">
        <f t="shared" si="0"/>
        <v>100</v>
      </c>
      <c r="T8" s="700" t="s">
        <v>14</v>
      </c>
      <c r="U8" s="701">
        <f t="shared" si="1"/>
        <v>100</v>
      </c>
      <c r="V8" s="700" t="s">
        <v>14</v>
      </c>
      <c r="W8" s="701">
        <f t="shared" si="2"/>
        <v>100</v>
      </c>
      <c r="X8" s="702"/>
      <c r="Y8" s="3728" t="s">
        <v>1683</v>
      </c>
      <c r="Z8" s="3729"/>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3"/>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3"/>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1"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2"/>
      <c r="Q16" s="1351"/>
      <c r="R16" s="704"/>
      <c r="S16" s="705"/>
      <c r="T16" s="704"/>
      <c r="U16" s="705"/>
      <c r="V16" s="704"/>
      <c r="W16" s="705"/>
      <c r="X16" s="1354"/>
      <c r="Y16" s="369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2"/>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2"/>
      <c r="Q18" s="1351"/>
      <c r="R18" s="704"/>
      <c r="S18" s="705"/>
      <c r="T18" s="704"/>
      <c r="U18" s="705"/>
      <c r="V18" s="704"/>
      <c r="W18" s="705"/>
      <c r="X18" s="1354"/>
      <c r="Y18" s="369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2"/>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2"/>
      <c r="Q20" s="1351"/>
      <c r="R20" s="704"/>
      <c r="S20" s="705"/>
      <c r="T20" s="704"/>
      <c r="U20" s="705"/>
      <c r="V20" s="704"/>
      <c r="W20" s="705"/>
      <c r="X20" s="1354"/>
      <c r="Y20" s="369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2"/>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02"/>
      <c r="Q22" s="1351"/>
      <c r="R22" s="704"/>
      <c r="S22" s="705"/>
      <c r="T22" s="704"/>
      <c r="U22" s="705"/>
      <c r="V22" s="704"/>
      <c r="W22" s="705"/>
      <c r="X22" s="1354"/>
      <c r="Y22" s="369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2"/>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2"/>
      <c r="Q24" s="1351"/>
      <c r="R24" s="704"/>
      <c r="S24" s="705"/>
      <c r="T24" s="704"/>
      <c r="U24" s="705"/>
      <c r="V24" s="704"/>
      <c r="W24" s="705"/>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2"/>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2"/>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2"/>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2"/>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2"/>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2"/>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92" t="str">
        <f>A47</f>
        <v>成交单价（元/平方米）</v>
      </c>
      <c r="Q47" s="3692"/>
      <c r="R47" s="3723">
        <f>E47</f>
        <v>0</v>
      </c>
      <c r="S47" s="3723"/>
      <c r="T47" s="3723">
        <f>G47</f>
        <v>0</v>
      </c>
      <c r="U47" s="3723"/>
      <c r="V47" s="3723">
        <f>I47</f>
        <v>0</v>
      </c>
      <c r="W47" s="3723"/>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受贵公司委托，我公司对北京市东城区南竹杆胡同2号1幢14层51706等18套办公用房房地产抵押价值进行了预评估。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估价对象为北京市东城区南竹杆胡同2号1幢14层51706等18套办公用房房地产，为所有。根据《国有土地使用证》[]，估价对象（分摊）出让国有建设用地使用权面积为0平方米，建筑面积为255.02平方米。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1幢14层51706等18套办公用房房地产,属开发建设的综合项目（商业、办公），该项目尚在开发建设中。根据《国有土地使用证》[]，估价对象（分摊）出让国有建设用地使用权面积为0平方米，规划建筑面积为255.02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255.02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7" t="s">
        <v>1770</v>
      </c>
      <c r="D4" s="3708"/>
      <c r="E4" s="3709" t="s">
        <v>1771</v>
      </c>
      <c r="F4" s="3710"/>
      <c r="G4" s="3707" t="s">
        <v>1772</v>
      </c>
      <c r="H4" s="3708"/>
      <c r="I4" s="3707" t="s">
        <v>1773</v>
      </c>
      <c r="J4" s="3708"/>
      <c r="K4" s="559" t="s">
        <v>1774</v>
      </c>
      <c r="L4" s="912"/>
      <c r="M4" s="913"/>
      <c r="N4" s="913"/>
      <c r="O4" s="913"/>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8"/>
      <c r="B5" s="359"/>
      <c r="C5" s="3726" t="s">
        <v>1673</v>
      </c>
      <c r="D5" s="3727"/>
      <c r="E5" s="3733" t="s">
        <v>1674</v>
      </c>
      <c r="F5" s="3734"/>
      <c r="G5" s="3726" t="s">
        <v>1675</v>
      </c>
      <c r="H5" s="3727"/>
      <c r="I5" s="3726" t="s">
        <v>1676</v>
      </c>
      <c r="J5" s="3727"/>
      <c r="K5" s="559"/>
      <c r="L5" s="912"/>
      <c r="M5" s="913"/>
      <c r="N5" s="913"/>
      <c r="O5" s="913"/>
      <c r="P5" s="3713"/>
      <c r="Q5" s="3714"/>
      <c r="R5" s="3719"/>
      <c r="S5" s="3720"/>
      <c r="T5" s="3719"/>
      <c r="U5" s="3720"/>
      <c r="V5" s="3723"/>
      <c r="W5" s="3723"/>
      <c r="X5" s="1354"/>
      <c r="Y5" s="3719"/>
      <c r="Z5" s="3720"/>
      <c r="AA5" s="3705"/>
      <c r="AB5" s="3705"/>
      <c r="AC5" s="3705"/>
    </row>
    <row r="6" spans="1:29" ht="15.75" thickBot="1">
      <c r="A6" s="360"/>
      <c r="B6" s="361"/>
      <c r="C6" s="3724" t="s">
        <v>1677</v>
      </c>
      <c r="D6" s="3725"/>
      <c r="E6" s="3731" t="s">
        <v>1677</v>
      </c>
      <c r="F6" s="3732"/>
      <c r="G6" s="3724" t="s">
        <v>1677</v>
      </c>
      <c r="H6" s="3725"/>
      <c r="I6" s="3724" t="s">
        <v>1677</v>
      </c>
      <c r="J6" s="3725"/>
      <c r="K6" s="559" t="s">
        <v>1678</v>
      </c>
      <c r="L6" s="912"/>
      <c r="M6" s="913"/>
      <c r="N6" s="913"/>
      <c r="O6" s="913"/>
      <c r="P6" s="3715"/>
      <c r="Q6" s="3716"/>
      <c r="R6" s="3719"/>
      <c r="S6" s="3720"/>
      <c r="T6" s="3721"/>
      <c r="U6" s="3722"/>
      <c r="V6" s="3723"/>
      <c r="W6" s="3723"/>
      <c r="X6" s="1354"/>
      <c r="Y6" s="3721"/>
      <c r="Z6" s="3722"/>
      <c r="AA6" s="3706"/>
      <c r="AB6" s="3706"/>
      <c r="AC6" s="3706"/>
    </row>
    <row r="7" spans="1:29" s="108" customFormat="1" ht="15.75" thickBot="1">
      <c r="A7" s="362" t="s">
        <v>1679</v>
      </c>
      <c r="B7" s="363"/>
      <c r="C7" s="364">
        <f>'数据-取费表'!B2</f>
        <v>45954</v>
      </c>
      <c r="D7" s="365">
        <v>100</v>
      </c>
      <c r="E7" s="366"/>
      <c r="F7" s="367">
        <f>SUMIF(52:52,YEAR(E7)&amp;"-"&amp;MONTH(E7),53:53)</f>
        <v>0</v>
      </c>
      <c r="G7" s="366"/>
      <c r="H7" s="365">
        <f>SUMIF(52:52,YEAR(G7)&amp;"-"&amp;MONTH(G7),53:53)</f>
        <v>0</v>
      </c>
      <c r="I7" s="366"/>
      <c r="J7" s="365">
        <f>SUMIF(52:52,YEAR(I7)&amp;"-"&amp;MONTH(I7),53:53)</f>
        <v>0</v>
      </c>
      <c r="K7" s="560"/>
      <c r="L7" s="914"/>
      <c r="M7" s="915"/>
      <c r="N7" s="915"/>
      <c r="O7" s="915"/>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8" t="s">
        <v>1683</v>
      </c>
      <c r="Q8" s="3729"/>
      <c r="R8" s="700" t="s">
        <v>14</v>
      </c>
      <c r="S8" s="701">
        <f t="shared" si="0"/>
        <v>100</v>
      </c>
      <c r="T8" s="700" t="s">
        <v>14</v>
      </c>
      <c r="U8" s="701">
        <f t="shared" si="1"/>
        <v>100</v>
      </c>
      <c r="V8" s="700" t="s">
        <v>14</v>
      </c>
      <c r="W8" s="701">
        <f t="shared" si="2"/>
        <v>100</v>
      </c>
      <c r="X8" s="702"/>
      <c r="Y8" s="3728" t="s">
        <v>1683</v>
      </c>
      <c r="Z8" s="372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2"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2"/>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2"/>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2"/>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5"/>
      <c r="Q16" s="1351"/>
      <c r="R16" s="704"/>
      <c r="S16" s="705"/>
      <c r="T16" s="704"/>
      <c r="U16" s="705"/>
      <c r="V16" s="704"/>
      <c r="W16" s="705"/>
      <c r="X16" s="1354"/>
      <c r="Y16" s="369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5"/>
      <c r="Q18" s="1351"/>
      <c r="R18" s="704"/>
      <c r="S18" s="705"/>
      <c r="T18" s="704"/>
      <c r="U18" s="705"/>
      <c r="V18" s="704"/>
      <c r="W18" s="705"/>
      <c r="X18" s="1354"/>
      <c r="Y18" s="369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5"/>
      <c r="Q20" s="1351"/>
      <c r="R20" s="704"/>
      <c r="S20" s="705"/>
      <c r="T20" s="704"/>
      <c r="U20" s="705"/>
      <c r="V20" s="704"/>
      <c r="W20" s="705"/>
      <c r="X20" s="1354"/>
      <c r="Y20" s="369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0"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2" t="str">
        <f>A41</f>
        <v>成交单价（元/平方米）</v>
      </c>
      <c r="Q41" s="3692"/>
      <c r="R41" s="3693">
        <f>E41</f>
        <v>0</v>
      </c>
      <c r="S41" s="3693"/>
      <c r="T41" s="3693">
        <f>G41</f>
        <v>0</v>
      </c>
      <c r="U41" s="3693"/>
      <c r="V41" s="3693">
        <f>I41</f>
        <v>0</v>
      </c>
      <c r="W41" s="3693"/>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8"/>
      <c r="B5" s="359"/>
      <c r="C5" s="3726" t="s">
        <v>1673</v>
      </c>
      <c r="D5" s="3727"/>
      <c r="E5" s="3733" t="s">
        <v>1674</v>
      </c>
      <c r="F5" s="3734"/>
      <c r="G5" s="3726" t="s">
        <v>1675</v>
      </c>
      <c r="H5" s="3727"/>
      <c r="I5" s="3726" t="s">
        <v>1676</v>
      </c>
      <c r="J5" s="3727"/>
      <c r="K5" s="559"/>
      <c r="L5" s="2714"/>
      <c r="M5" s="2715"/>
      <c r="N5" s="2715"/>
      <c r="O5" s="2715"/>
      <c r="P5" s="3713"/>
      <c r="Q5" s="3714"/>
      <c r="R5" s="3719"/>
      <c r="S5" s="3720"/>
      <c r="T5" s="3719"/>
      <c r="U5" s="3720"/>
      <c r="V5" s="3723"/>
      <c r="W5" s="3723"/>
      <c r="X5" s="1354"/>
      <c r="Y5" s="3719"/>
      <c r="Z5" s="3720"/>
      <c r="AA5" s="3705"/>
      <c r="AB5" s="3705"/>
      <c r="AC5" s="3705"/>
    </row>
    <row r="6" spans="1:29" ht="15.75" thickBot="1">
      <c r="A6" s="360"/>
      <c r="B6" s="361"/>
      <c r="C6" s="3724" t="s">
        <v>1677</v>
      </c>
      <c r="D6" s="3725"/>
      <c r="E6" s="3731" t="s">
        <v>1677</v>
      </c>
      <c r="F6" s="3732"/>
      <c r="G6" s="3724" t="s">
        <v>1677</v>
      </c>
      <c r="H6" s="3725"/>
      <c r="I6" s="3724" t="s">
        <v>1677</v>
      </c>
      <c r="J6" s="3725"/>
      <c r="K6" s="559" t="s">
        <v>1678</v>
      </c>
      <c r="L6" s="2714"/>
      <c r="M6" s="2715"/>
      <c r="N6" s="2715"/>
      <c r="O6" s="2715"/>
      <c r="P6" s="3715"/>
      <c r="Q6" s="3716"/>
      <c r="R6" s="3719"/>
      <c r="S6" s="3720"/>
      <c r="T6" s="3721"/>
      <c r="U6" s="3722"/>
      <c r="V6" s="3723"/>
      <c r="W6" s="3723"/>
      <c r="X6" s="1354"/>
      <c r="Y6" s="3721"/>
      <c r="Z6" s="3722"/>
      <c r="AA6" s="3706"/>
      <c r="AB6" s="3706"/>
      <c r="AC6" s="3706"/>
    </row>
    <row r="7" spans="1:29" s="108" customFormat="1" ht="15.75" thickBot="1">
      <c r="A7" s="362" t="s">
        <v>1679</v>
      </c>
      <c r="B7" s="363"/>
      <c r="C7" s="364">
        <f>'数据-取费表'!B2</f>
        <v>45954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8" t="s">
        <v>1680</v>
      </c>
      <c r="Q7" s="3730"/>
      <c r="R7" s="700" t="s">
        <v>14</v>
      </c>
      <c r="S7" s="701">
        <f t="shared" ref="S7:S14" si="0">F7</f>
        <v>0</v>
      </c>
      <c r="T7" s="700" t="s">
        <v>14</v>
      </c>
      <c r="U7" s="701">
        <f t="shared" ref="U7:U14" si="1">H7</f>
        <v>0</v>
      </c>
      <c r="V7" s="700" t="s">
        <v>14</v>
      </c>
      <c r="W7" s="701">
        <f t="shared" ref="W7:W14" si="2">J7</f>
        <v>0</v>
      </c>
      <c r="X7" s="702"/>
      <c r="Y7" s="3728" t="s">
        <v>1680</v>
      </c>
      <c r="Z7" s="372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8" t="s">
        <v>1683</v>
      </c>
      <c r="Q8" s="3729"/>
      <c r="R8" s="700" t="s">
        <v>14</v>
      </c>
      <c r="S8" s="701">
        <f t="shared" si="0"/>
        <v>100</v>
      </c>
      <c r="T8" s="700" t="s">
        <v>14</v>
      </c>
      <c r="U8" s="701">
        <f t="shared" si="1"/>
        <v>100</v>
      </c>
      <c r="V8" s="700" t="s">
        <v>14</v>
      </c>
      <c r="W8" s="701">
        <f t="shared" si="2"/>
        <v>100</v>
      </c>
      <c r="X8" s="702"/>
      <c r="Y8" s="3728" t="s">
        <v>1683</v>
      </c>
      <c r="Z8" s="372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2" t="s">
        <v>1686</v>
      </c>
      <c r="Q9" s="1342" t="str">
        <f t="shared" ref="Q9:Q14" si="6">B9</f>
        <v>用途</v>
      </c>
      <c r="R9" s="700" t="s">
        <v>14</v>
      </c>
      <c r="S9" s="701">
        <f t="shared" si="0"/>
        <v>100</v>
      </c>
      <c r="T9" s="700" t="s">
        <v>14</v>
      </c>
      <c r="U9" s="701">
        <f t="shared" si="1"/>
        <v>100</v>
      </c>
      <c r="V9" s="700" t="s">
        <v>14</v>
      </c>
      <c r="W9" s="701">
        <f t="shared" si="2"/>
        <v>100</v>
      </c>
      <c r="X9" s="702"/>
      <c r="Y9" s="356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2"/>
      <c r="Q11" s="1342">
        <f t="shared" si="6"/>
        <v>111</v>
      </c>
      <c r="R11" s="700" t="s">
        <v>14</v>
      </c>
      <c r="S11" s="701">
        <f t="shared" si="0"/>
        <v>100</v>
      </c>
      <c r="T11" s="700" t="s">
        <v>14</v>
      </c>
      <c r="U11" s="701">
        <f t="shared" si="1"/>
        <v>100</v>
      </c>
      <c r="V11" s="700" t="s">
        <v>14</v>
      </c>
      <c r="W11" s="701">
        <f t="shared" si="2"/>
        <v>100</v>
      </c>
      <c r="X11" s="702"/>
      <c r="Y11" s="356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4"/>
      <c r="S15" s="705"/>
      <c r="T15" s="704"/>
      <c r="U15" s="705"/>
      <c r="V15" s="704"/>
      <c r="W15" s="705"/>
      <c r="X15" s="1354"/>
      <c r="Y15" s="369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4"/>
      <c r="S17" s="705"/>
      <c r="T17" s="704"/>
      <c r="U17" s="705"/>
      <c r="V17" s="704"/>
      <c r="W17" s="705"/>
      <c r="X17" s="1354"/>
      <c r="Y17" s="369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3"/>
      <c r="M37" s="2724"/>
      <c r="N37" s="2715"/>
      <c r="O37" s="2724"/>
      <c r="P37" s="3692" t="str">
        <f>A37</f>
        <v>成交单价</v>
      </c>
      <c r="Q37" s="3692"/>
      <c r="R37" s="3693">
        <f>E37</f>
        <v>0</v>
      </c>
      <c r="S37" s="3693"/>
      <c r="T37" s="3693">
        <f>G37</f>
        <v>0</v>
      </c>
      <c r="U37" s="3693"/>
      <c r="V37" s="3693">
        <f>I37</f>
        <v>0</v>
      </c>
      <c r="W37" s="3693"/>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89" t="str">
        <f>A39</f>
        <v>估价对象XX用房的比较价值（楼面单价，元/平方米）</v>
      </c>
      <c r="Q39" s="3690"/>
      <c r="R39" s="3751" t="e">
        <f>IF(F1="售价",ROUND(IF(D38="简单平均",AVERAGE(R38:W38),R38*F38+T38*H38+V38*J38),0),ROUND(IF(D38="简单平均",AVERAGE(R38:V38),R38*F38+T38*H38+V38*J38),1))</f>
        <v>#DIV/0!</v>
      </c>
      <c r="S39" s="3751"/>
      <c r="T39" s="3751"/>
      <c r="U39" s="3751"/>
      <c r="V39" s="3751"/>
      <c r="W39" s="375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8"/>
      <c r="B5" s="359"/>
      <c r="C5" s="3726" t="s">
        <v>1673</v>
      </c>
      <c r="D5" s="3727"/>
      <c r="E5" s="3733" t="s">
        <v>1674</v>
      </c>
      <c r="F5" s="3734"/>
      <c r="G5" s="3726" t="s">
        <v>1675</v>
      </c>
      <c r="H5" s="3727"/>
      <c r="I5" s="3726" t="s">
        <v>1676</v>
      </c>
      <c r="J5" s="3727"/>
      <c r="K5" s="559"/>
      <c r="L5" s="2714"/>
      <c r="M5" s="2715"/>
      <c r="N5" s="2715"/>
      <c r="O5" s="2715"/>
      <c r="P5" s="3713"/>
      <c r="Q5" s="3714"/>
      <c r="R5" s="3719"/>
      <c r="S5" s="3720"/>
      <c r="T5" s="3719"/>
      <c r="U5" s="3720"/>
      <c r="V5" s="3723"/>
      <c r="W5" s="3723"/>
      <c r="X5" s="1354"/>
      <c r="Y5" s="3719"/>
      <c r="Z5" s="3720"/>
      <c r="AA5" s="3705"/>
      <c r="AB5" s="3705"/>
      <c r="AC5" s="3705"/>
    </row>
    <row r="6" spans="1:29" ht="15.75" thickBot="1">
      <c r="A6" s="360"/>
      <c r="B6" s="361"/>
      <c r="C6" s="3724" t="s">
        <v>1677</v>
      </c>
      <c r="D6" s="3725"/>
      <c r="E6" s="3731" t="s">
        <v>1677</v>
      </c>
      <c r="F6" s="3732"/>
      <c r="G6" s="3724" t="s">
        <v>1677</v>
      </c>
      <c r="H6" s="3725"/>
      <c r="I6" s="3724" t="s">
        <v>1677</v>
      </c>
      <c r="J6" s="3725"/>
      <c r="K6" s="559" t="s">
        <v>1678</v>
      </c>
      <c r="L6" s="2714"/>
      <c r="M6" s="2715"/>
      <c r="N6" s="2715"/>
      <c r="O6" s="2715"/>
      <c r="P6" s="3715"/>
      <c r="Q6" s="3716"/>
      <c r="R6" s="3719"/>
      <c r="S6" s="3720"/>
      <c r="T6" s="3721"/>
      <c r="U6" s="3722"/>
      <c r="V6" s="3723"/>
      <c r="W6" s="3723"/>
      <c r="X6" s="1354"/>
      <c r="Y6" s="3721"/>
      <c r="Z6" s="3722"/>
      <c r="AA6" s="3706"/>
      <c r="AB6" s="3706"/>
      <c r="AC6" s="3706"/>
    </row>
    <row r="7" spans="1:29" s="108" customFormat="1" ht="15.75" thickBot="1">
      <c r="A7" s="362" t="s">
        <v>1679</v>
      </c>
      <c r="B7" s="363"/>
      <c r="C7" s="364">
        <f>'数据-取费表'!B2</f>
        <v>45954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8" t="s">
        <v>1680</v>
      </c>
      <c r="Q7" s="3730"/>
      <c r="R7" s="700" t="s">
        <v>14</v>
      </c>
      <c r="S7" s="701">
        <f t="shared" ref="S7:S14" si="0">F7</f>
        <v>0</v>
      </c>
      <c r="T7" s="700" t="s">
        <v>14</v>
      </c>
      <c r="U7" s="701">
        <f t="shared" ref="U7:U14" si="1">H7</f>
        <v>0</v>
      </c>
      <c r="V7" s="700" t="s">
        <v>14</v>
      </c>
      <c r="W7" s="701">
        <f t="shared" ref="W7:W14" si="2">J7</f>
        <v>0</v>
      </c>
      <c r="X7" s="702"/>
      <c r="Y7" s="3728" t="s">
        <v>1680</v>
      </c>
      <c r="Z7" s="372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8" t="s">
        <v>1683</v>
      </c>
      <c r="Q8" s="3729"/>
      <c r="R8" s="700" t="s">
        <v>14</v>
      </c>
      <c r="S8" s="701">
        <f t="shared" si="0"/>
        <v>100</v>
      </c>
      <c r="T8" s="700" t="s">
        <v>14</v>
      </c>
      <c r="U8" s="701">
        <f t="shared" si="1"/>
        <v>100</v>
      </c>
      <c r="V8" s="700" t="s">
        <v>14</v>
      </c>
      <c r="W8" s="701">
        <f t="shared" si="2"/>
        <v>100</v>
      </c>
      <c r="X8" s="702"/>
      <c r="Y8" s="3728" t="s">
        <v>1683</v>
      </c>
      <c r="Z8" s="372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2" t="s">
        <v>1686</v>
      </c>
      <c r="Q9" s="1342" t="str">
        <f t="shared" ref="Q9:Q14" si="6">B9</f>
        <v>用途</v>
      </c>
      <c r="R9" s="700" t="s">
        <v>14</v>
      </c>
      <c r="S9" s="701">
        <f t="shared" si="0"/>
        <v>100</v>
      </c>
      <c r="T9" s="700" t="s">
        <v>14</v>
      </c>
      <c r="U9" s="701">
        <f t="shared" si="1"/>
        <v>100</v>
      </c>
      <c r="V9" s="700" t="s">
        <v>14</v>
      </c>
      <c r="W9" s="701">
        <f t="shared" si="2"/>
        <v>100</v>
      </c>
      <c r="X9" s="702"/>
      <c r="Y9" s="356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2"/>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2"/>
      <c r="Q11" s="1342">
        <f t="shared" si="6"/>
        <v>111</v>
      </c>
      <c r="R11" s="700" t="s">
        <v>14</v>
      </c>
      <c r="S11" s="701">
        <f t="shared" si="0"/>
        <v>100</v>
      </c>
      <c r="T11" s="700" t="s">
        <v>14</v>
      </c>
      <c r="U11" s="701">
        <f t="shared" si="1"/>
        <v>100</v>
      </c>
      <c r="V11" s="700" t="s">
        <v>14</v>
      </c>
      <c r="W11" s="701">
        <f t="shared" si="2"/>
        <v>100</v>
      </c>
      <c r="X11" s="702"/>
      <c r="Y11" s="356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4"/>
      <c r="S15" s="705"/>
      <c r="T15" s="704"/>
      <c r="U15" s="705"/>
      <c r="V15" s="704"/>
      <c r="W15" s="705"/>
      <c r="X15" s="1354"/>
      <c r="Y15" s="369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4"/>
      <c r="S17" s="705"/>
      <c r="T17" s="704"/>
      <c r="U17" s="705"/>
      <c r="V17" s="704"/>
      <c r="W17" s="705"/>
      <c r="X17" s="1354"/>
      <c r="Y17" s="369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2" t="str">
        <f>A35</f>
        <v>成交单价（元/平方米）</v>
      </c>
      <c r="Q35" s="3692"/>
      <c r="R35" s="3693">
        <f>E35</f>
        <v>0</v>
      </c>
      <c r="S35" s="3693"/>
      <c r="T35" s="3693">
        <f>G35</f>
        <v>0</v>
      </c>
      <c r="U35" s="3693"/>
      <c r="V35" s="3693">
        <f>I35</f>
        <v>0</v>
      </c>
      <c r="W35" s="3693"/>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9" t="str">
        <f>A37</f>
        <v>估价对象XX用房的比较价值（楼面单价，元/平方米）</v>
      </c>
      <c r="Q37" s="3690"/>
      <c r="R37" s="3751" t="e">
        <f>IF(F1="售价",ROUND(IF(D36="简单平均",AVERAGE(R36:W36),R36*F36+T36*H36+V36*J36),0),ROUND(IF(D36="简单平均",AVERAGE(R36:V36),R36*F36+T36*H36+V36*J36),1))</f>
        <v>#DIV/0!</v>
      </c>
      <c r="S37" s="3751"/>
      <c r="T37" s="3751"/>
      <c r="U37" s="3751"/>
      <c r="V37" s="3751"/>
      <c r="W37" s="375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30" ht="15">
      <c r="A5" s="358"/>
      <c r="B5" s="359"/>
      <c r="C5" s="3726" t="s">
        <v>1673</v>
      </c>
      <c r="D5" s="3727"/>
      <c r="E5" s="3733" t="s">
        <v>1674</v>
      </c>
      <c r="F5" s="3734"/>
      <c r="G5" s="3726" t="s">
        <v>1675</v>
      </c>
      <c r="H5" s="3727"/>
      <c r="I5" s="3726" t="s">
        <v>1676</v>
      </c>
      <c r="J5" s="3727"/>
      <c r="K5" s="559"/>
      <c r="L5" s="2714"/>
      <c r="M5" s="2715"/>
      <c r="N5" s="2715"/>
      <c r="O5" s="2715"/>
      <c r="P5" s="3713"/>
      <c r="Q5" s="3714"/>
      <c r="R5" s="3719"/>
      <c r="S5" s="3720"/>
      <c r="T5" s="3719"/>
      <c r="U5" s="3720"/>
      <c r="V5" s="3723"/>
      <c r="W5" s="3723"/>
      <c r="X5" s="1354"/>
      <c r="Y5" s="3719"/>
      <c r="Z5" s="3720"/>
      <c r="AA5" s="3705"/>
      <c r="AB5" s="3705"/>
      <c r="AC5" s="3705"/>
    </row>
    <row r="6" spans="1:30" ht="15.75" thickBot="1">
      <c r="A6" s="360"/>
      <c r="B6" s="361"/>
      <c r="C6" s="3724" t="s">
        <v>1677</v>
      </c>
      <c r="D6" s="3725"/>
      <c r="E6" s="3731" t="s">
        <v>1677</v>
      </c>
      <c r="F6" s="3732"/>
      <c r="G6" s="3724" t="s">
        <v>1677</v>
      </c>
      <c r="H6" s="3725"/>
      <c r="I6" s="3724" t="s">
        <v>1677</v>
      </c>
      <c r="J6" s="3725"/>
      <c r="K6" s="559" t="s">
        <v>1678</v>
      </c>
      <c r="L6" s="2714"/>
      <c r="M6" s="2715"/>
      <c r="N6" s="2715"/>
      <c r="O6" s="2715"/>
      <c r="P6" s="3715"/>
      <c r="Q6" s="3716"/>
      <c r="R6" s="3719"/>
      <c r="S6" s="3720"/>
      <c r="T6" s="3721"/>
      <c r="U6" s="3722"/>
      <c r="V6" s="3723"/>
      <c r="W6" s="3723"/>
      <c r="X6" s="1354"/>
      <c r="Y6" s="3721"/>
      <c r="Z6" s="3722"/>
      <c r="AA6" s="3706"/>
      <c r="AB6" s="3706"/>
      <c r="AC6" s="3706"/>
    </row>
    <row r="7" spans="1:30" s="108" customFormat="1" ht="15.75" thickBot="1">
      <c r="A7" s="362" t="s">
        <v>1679</v>
      </c>
      <c r="B7" s="363"/>
      <c r="C7" s="364">
        <f>'数据-取费表'!B2</f>
        <v>45954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8" t="s">
        <v>1683</v>
      </c>
      <c r="Q8" s="3729"/>
      <c r="R8" s="700" t="s">
        <v>14</v>
      </c>
      <c r="S8" s="701">
        <f t="shared" si="0"/>
        <v>0</v>
      </c>
      <c r="T8" s="700" t="s">
        <v>14</v>
      </c>
      <c r="U8" s="701">
        <f t="shared" si="1"/>
        <v>0</v>
      </c>
      <c r="V8" s="700" t="s">
        <v>14</v>
      </c>
      <c r="W8" s="701">
        <f t="shared" si="2"/>
        <v>0</v>
      </c>
      <c r="X8" s="702"/>
      <c r="Y8" s="3728" t="s">
        <v>1683</v>
      </c>
      <c r="Z8" s="372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2"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92"/>
      <c r="Q10" s="1342" t="str">
        <f t="shared" si="6"/>
        <v>土地使用年限（年）</v>
      </c>
      <c r="R10" s="700" t="s">
        <v>14</v>
      </c>
      <c r="S10" s="701">
        <f t="shared" si="0"/>
        <v>111</v>
      </c>
      <c r="T10" s="700" t="s">
        <v>14</v>
      </c>
      <c r="U10" s="701">
        <f t="shared" si="1"/>
        <v>111</v>
      </c>
      <c r="V10" s="700" t="s">
        <v>14</v>
      </c>
      <c r="W10" s="701">
        <f t="shared" si="2"/>
        <v>111</v>
      </c>
      <c r="X10" s="702"/>
      <c r="Y10" s="3567"/>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2"/>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2"/>
      <c r="Q12" s="1342" t="str">
        <f t="shared" si="6"/>
        <v>配建</v>
      </c>
      <c r="R12" s="700" t="s">
        <v>14</v>
      </c>
      <c r="S12" s="701">
        <f t="shared" si="0"/>
        <v>100</v>
      </c>
      <c r="T12" s="700" t="s">
        <v>14</v>
      </c>
      <c r="U12" s="701">
        <f t="shared" si="1"/>
        <v>100</v>
      </c>
      <c r="V12" s="700" t="s">
        <v>14</v>
      </c>
      <c r="W12" s="701">
        <f t="shared" si="2"/>
        <v>100</v>
      </c>
      <c r="X12" s="702"/>
      <c r="Y12" s="356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2"/>
      <c r="Q14" s="1342">
        <f t="shared" si="6"/>
        <v>111</v>
      </c>
      <c r="R14" s="700" t="s">
        <v>14</v>
      </c>
      <c r="S14" s="701">
        <f t="shared" si="0"/>
        <v>100</v>
      </c>
      <c r="T14" s="700" t="s">
        <v>14</v>
      </c>
      <c r="U14" s="701">
        <f t="shared" si="1"/>
        <v>100</v>
      </c>
      <c r="V14" s="700" t="s">
        <v>14</v>
      </c>
      <c r="W14" s="701">
        <f t="shared" si="2"/>
        <v>100</v>
      </c>
      <c r="X14" s="702"/>
      <c r="Y14" s="356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5"/>
      <c r="Q20" s="1351"/>
      <c r="R20" s="704"/>
      <c r="S20" s="705"/>
      <c r="T20" s="704"/>
      <c r="U20" s="705"/>
      <c r="V20" s="704"/>
      <c r="W20" s="705"/>
      <c r="X20" s="1354"/>
      <c r="Y20" s="369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5"/>
      <c r="Q24" s="1351"/>
      <c r="R24" s="704"/>
      <c r="S24" s="705"/>
      <c r="T24" s="704"/>
      <c r="U24" s="705"/>
      <c r="V24" s="704"/>
      <c r="W24" s="705"/>
      <c r="X24" s="1354"/>
      <c r="Y24" s="369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5"/>
      <c r="Q26" s="1351"/>
      <c r="R26" s="704"/>
      <c r="S26" s="705"/>
      <c r="T26" s="704"/>
      <c r="U26" s="705"/>
      <c r="V26" s="704"/>
      <c r="W26" s="705"/>
      <c r="X26" s="1354"/>
      <c r="Y26" s="369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5"/>
      <c r="Q28" s="1342"/>
      <c r="R28" s="700"/>
      <c r="S28" s="701"/>
      <c r="T28" s="700"/>
      <c r="U28" s="701"/>
      <c r="V28" s="700"/>
      <c r="W28" s="701"/>
      <c r="X28" s="702"/>
      <c r="Y28" s="369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0"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92" t="str">
        <f>A46</f>
        <v>成交单价</v>
      </c>
      <c r="Q46" s="3692"/>
      <c r="R46" s="3723">
        <f>E46</f>
        <v>0</v>
      </c>
      <c r="S46" s="3723"/>
      <c r="T46" s="3723">
        <f>G46</f>
        <v>0</v>
      </c>
      <c r="U46" s="3723"/>
      <c r="V46" s="3723">
        <f>I46</f>
        <v>0</v>
      </c>
      <c r="W46" s="3723"/>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92" t="str">
        <f>A47</f>
        <v>比较价值（元/平方米）</v>
      </c>
      <c r="Q47" s="3692"/>
      <c r="R47" s="3752" t="e">
        <f>ROUND(PRODUCT(R46,AA7:AA45),0)</f>
        <v>#DIV/0!</v>
      </c>
      <c r="S47" s="3752"/>
      <c r="T47" s="3752" t="e">
        <f>ROUND(PRODUCT(T46,AB7:AB45),0)</f>
        <v>#DIV/0!</v>
      </c>
      <c r="U47" s="3752"/>
      <c r="V47" s="3752" t="e">
        <f>ROUND(PRODUCT(V46,AC7:AC45),0)</f>
        <v>#DIV/0!</v>
      </c>
      <c r="W47" s="375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9" t="str">
        <f>A48</f>
        <v>估价对象XX用房的比较价值（楼面单价，元/平方米）</v>
      </c>
      <c r="Q48" s="3690"/>
      <c r="R48" s="3753" t="e">
        <f>ROUND(IF(D47="简单平均",AVERAGE(R47:W47),R47*F47+T47*H47+V47*J47),0)</f>
        <v>#DIV/0!</v>
      </c>
      <c r="S48" s="3753"/>
      <c r="T48" s="3753"/>
      <c r="U48" s="3753"/>
      <c r="V48" s="3753"/>
      <c r="W48" s="375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707"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255.02</v>
      </c>
      <c r="F56" s="885" t="e">
        <f t="shared" ref="F56:F64" si="15">ROUND(B56*E56/10000,0)</f>
        <v>#DIV/0!</v>
      </c>
      <c r="G56" s="3703"/>
      <c r="H56" s="369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255.02</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17" t="s">
        <v>1771</v>
      </c>
      <c r="S4" s="3718"/>
      <c r="T4" s="3717" t="s">
        <v>1772</v>
      </c>
      <c r="U4" s="3718"/>
      <c r="V4" s="3723" t="s">
        <v>1773</v>
      </c>
      <c r="W4" s="3723"/>
      <c r="X4" s="1354"/>
      <c r="Y4" s="3717" t="s">
        <v>1775</v>
      </c>
      <c r="Z4" s="3718"/>
      <c r="AA4" s="3704" t="s">
        <v>1771</v>
      </c>
      <c r="AB4" s="3705" t="s">
        <v>1772</v>
      </c>
      <c r="AC4" s="3704" t="s">
        <v>1773</v>
      </c>
    </row>
    <row r="5" spans="1:29" ht="15">
      <c r="A5" s="358"/>
      <c r="B5" s="359"/>
      <c r="C5" s="3726" t="s">
        <v>1673</v>
      </c>
      <c r="D5" s="3727"/>
      <c r="E5" s="3733" t="s">
        <v>1674</v>
      </c>
      <c r="F5" s="3734"/>
      <c r="G5" s="3726" t="s">
        <v>1675</v>
      </c>
      <c r="H5" s="3727"/>
      <c r="I5" s="3726" t="s">
        <v>1676</v>
      </c>
      <c r="J5" s="3727"/>
      <c r="K5" s="559"/>
      <c r="L5" s="2714"/>
      <c r="M5" s="2715"/>
      <c r="N5" s="2715"/>
      <c r="O5" s="2715"/>
      <c r="P5" s="3713"/>
      <c r="Q5" s="3714"/>
      <c r="R5" s="3719"/>
      <c r="S5" s="3720"/>
      <c r="T5" s="3719"/>
      <c r="U5" s="3720"/>
      <c r="V5" s="3723"/>
      <c r="W5" s="3723"/>
      <c r="X5" s="1354"/>
      <c r="Y5" s="3719"/>
      <c r="Z5" s="3720"/>
      <c r="AA5" s="3705"/>
      <c r="AB5" s="3705"/>
      <c r="AC5" s="3705"/>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715"/>
      <c r="Q6" s="3716"/>
      <c r="R6" s="3719"/>
      <c r="S6" s="3720"/>
      <c r="T6" s="3721"/>
      <c r="U6" s="3722"/>
      <c r="V6" s="3723"/>
      <c r="W6" s="3723"/>
      <c r="X6" s="1354"/>
      <c r="Y6" s="3721"/>
      <c r="Z6" s="3722"/>
      <c r="AA6" s="3706"/>
      <c r="AB6" s="3706"/>
      <c r="AC6" s="3706"/>
    </row>
    <row r="7" spans="1:29" s="108" customFormat="1" ht="15.75" thickBot="1">
      <c r="A7" s="362" t="s">
        <v>1679</v>
      </c>
      <c r="B7" s="363"/>
      <c r="C7" s="364">
        <f>'数据-取费表'!B2</f>
        <v>45954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8" t="s">
        <v>1680</v>
      </c>
      <c r="Q7" s="3730"/>
      <c r="R7" s="700" t="s">
        <v>14</v>
      </c>
      <c r="S7" s="701">
        <f t="shared" ref="S7:S15" si="0">F7</f>
        <v>0</v>
      </c>
      <c r="T7" s="700" t="s">
        <v>14</v>
      </c>
      <c r="U7" s="701">
        <f t="shared" ref="U7:U15" si="1">H7</f>
        <v>0</v>
      </c>
      <c r="V7" s="700" t="s">
        <v>14</v>
      </c>
      <c r="W7" s="701">
        <f t="shared" ref="W7:W15" si="2">J7</f>
        <v>0</v>
      </c>
      <c r="X7" s="702"/>
      <c r="Y7" s="3728" t="s">
        <v>1680</v>
      </c>
      <c r="Z7" s="372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8" t="s">
        <v>1683</v>
      </c>
      <c r="Q8" s="3729"/>
      <c r="R8" s="700" t="s">
        <v>14</v>
      </c>
      <c r="S8" s="701">
        <f t="shared" si="0"/>
        <v>0</v>
      </c>
      <c r="T8" s="700" t="s">
        <v>14</v>
      </c>
      <c r="U8" s="701">
        <f t="shared" si="1"/>
        <v>0</v>
      </c>
      <c r="V8" s="700" t="s">
        <v>14</v>
      </c>
      <c r="W8" s="701">
        <f t="shared" si="2"/>
        <v>0</v>
      </c>
      <c r="X8" s="702"/>
      <c r="Y8" s="3728" t="s">
        <v>1683</v>
      </c>
      <c r="Z8" s="372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2"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92"/>
      <c r="Q10" s="1342" t="str">
        <f t="shared" si="6"/>
        <v>土地使用年限（年）</v>
      </c>
      <c r="R10" s="700" t="s">
        <v>14</v>
      </c>
      <c r="S10" s="701">
        <f t="shared" si="0"/>
        <v>111</v>
      </c>
      <c r="T10" s="700" t="s">
        <v>14</v>
      </c>
      <c r="U10" s="701">
        <f t="shared" si="1"/>
        <v>111</v>
      </c>
      <c r="V10" s="700" t="s">
        <v>14</v>
      </c>
      <c r="W10" s="701">
        <f t="shared" si="2"/>
        <v>111</v>
      </c>
      <c r="X10" s="702"/>
      <c r="Y10" s="3567"/>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2"/>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2"/>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2"/>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2"/>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5"/>
      <c r="Q20" s="1351"/>
      <c r="R20" s="704"/>
      <c r="S20" s="705"/>
      <c r="T20" s="704"/>
      <c r="U20" s="705"/>
      <c r="V20" s="704"/>
      <c r="W20" s="705"/>
      <c r="X20" s="1354"/>
      <c r="Y20" s="369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0"/>
      <c r="S24" s="701"/>
      <c r="T24" s="700"/>
      <c r="U24" s="701"/>
      <c r="V24" s="700"/>
      <c r="W24" s="701"/>
      <c r="X24" s="702"/>
      <c r="Y24" s="369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0"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92" t="str">
        <f>A41</f>
        <v>成交单价</v>
      </c>
      <c r="Q41" s="3692"/>
      <c r="R41" s="3723">
        <f>E41</f>
        <v>0</v>
      </c>
      <c r="S41" s="3723"/>
      <c r="T41" s="3723">
        <f>G41</f>
        <v>0</v>
      </c>
      <c r="U41" s="3723"/>
      <c r="V41" s="3723">
        <f>I41</f>
        <v>0</v>
      </c>
      <c r="W41" s="3723"/>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92" t="str">
        <f>A42</f>
        <v>比较价值（元/平方米）</v>
      </c>
      <c r="Q42" s="3692"/>
      <c r="R42" s="3752" t="e">
        <f>ROUND(PRODUCT(R41,AA7:AA40),0)</f>
        <v>#DIV/0!</v>
      </c>
      <c r="S42" s="3752"/>
      <c r="T42" s="3752" t="e">
        <f>ROUND(PRODUCT(T41,AB7:AB40),0)</f>
        <v>#DIV/0!</v>
      </c>
      <c r="U42" s="3752"/>
      <c r="V42" s="3752" t="e">
        <f>ROUND(PRODUCT(V41,AC7:AC40),0)</f>
        <v>#DIV/0!</v>
      </c>
      <c r="W42" s="375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9" t="str">
        <f>A43</f>
        <v>估价对象XX用房的比较价值（楼面单价，元/平方米）</v>
      </c>
      <c r="Q43" s="3690"/>
      <c r="R43" s="3753" t="e">
        <f>ROUND(IF(D42="简单平均",AVERAGE(R42:W42),R42*F42+T42*H42+V42*J42),0)</f>
        <v>#DIV/0!</v>
      </c>
      <c r="S43" s="3753"/>
      <c r="T43" s="3753"/>
      <c r="U43" s="3753"/>
      <c r="V43" s="3753"/>
      <c r="W43" s="375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5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255.02</v>
      </c>
      <c r="F51" s="639" t="e">
        <f t="shared" ref="F51:F60" si="15">ROUND(B51*E51/10000,0)</f>
        <v>#DIV/0!</v>
      </c>
      <c r="G51" s="3703"/>
      <c r="H51" s="369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62" t="s">
        <v>2084</v>
      </c>
      <c r="D1" s="3763"/>
      <c r="E1" s="3763"/>
      <c r="F1" s="3763"/>
      <c r="G1" s="3763"/>
      <c r="H1" s="3763"/>
      <c r="I1" s="3763"/>
      <c r="J1" s="3763"/>
      <c r="K1" s="3763"/>
      <c r="L1" s="3763"/>
      <c r="M1" s="3763"/>
      <c r="N1" s="3763"/>
      <c r="O1" s="3763"/>
      <c r="P1" s="3763"/>
      <c r="Q1" s="3763"/>
      <c r="R1" s="3763"/>
      <c r="S1" s="3764"/>
      <c r="T1" s="982" t="s">
        <v>2085</v>
      </c>
    </row>
    <row r="2" spans="1:45" s="655" customFormat="1">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97</v>
      </c>
      <c r="E18" s="1021">
        <f>'比较法-办公'!E90</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11203</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32459</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3451.4800000000005</v>
      </c>
      <c r="C22" s="3759" t="s">
        <v>27</v>
      </c>
      <c r="D22" s="3760"/>
      <c r="E22" s="3760"/>
      <c r="F22" s="3760"/>
      <c r="G22" s="3760"/>
      <c r="H22" s="3760"/>
      <c r="I22" s="3760"/>
      <c r="J22" s="3760"/>
      <c r="K22" s="3760"/>
      <c r="L22" s="3760"/>
      <c r="M22" s="3760"/>
      <c r="N22" s="3760"/>
      <c r="O22" s="3760"/>
      <c r="P22" s="3760"/>
      <c r="Q22" s="3761"/>
      <c r="R22" s="662">
        <f ca="1">ROUND(S22*10000/B22,0)</f>
        <v>32459</v>
      </c>
      <c r="S22" s="21">
        <f ca="1">SUM(S24:S10000)</f>
        <v>11203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821" t="s">
        <v>3479</v>
      </c>
      <c r="B24" s="664">
        <f>面积!J2</f>
        <v>255.02</v>
      </c>
      <c r="C24" s="2809">
        <v>1</v>
      </c>
      <c r="D24" s="2810"/>
      <c r="E24" s="2809">
        <v>1</v>
      </c>
      <c r="F24" s="2810"/>
      <c r="G24" s="2809">
        <v>1</v>
      </c>
      <c r="H24" s="2810"/>
      <c r="I24" s="2809">
        <v>1</v>
      </c>
      <c r="J24" s="2810"/>
      <c r="K24" s="2809">
        <v>1</v>
      </c>
      <c r="L24" s="2810"/>
      <c r="M24" s="2809">
        <v>1</v>
      </c>
      <c r="N24" s="2810"/>
      <c r="O24" s="2809">
        <v>1</v>
      </c>
      <c r="P24" s="2810" t="s">
        <v>3496</v>
      </c>
      <c r="Q24" s="2809">
        <v>1</v>
      </c>
      <c r="R24" s="667">
        <f ca="1">结果表!G20</f>
        <v>32429</v>
      </c>
      <c r="S24" s="665">
        <f t="shared" ref="S24:S54" ca="1" si="11">ROUND(R24*B24/10000,0)</f>
        <v>827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f>面积!I3</f>
        <v>51707</v>
      </c>
      <c r="B25" s="3822">
        <f>面积!J3</f>
        <v>132.68</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10" t="s">
        <v>3496</v>
      </c>
      <c r="Q25" s="21">
        <f>(SUMIF($17:$17,P25,$18:$18)-SUMIF($17:$17,$P$24,$18:$18)+100)/100</f>
        <v>1</v>
      </c>
      <c r="R25" s="662">
        <f ca="1">IF(B25="",0,ROUND($R$24*C25*E25*G25*I25*K25*M25*O25*Q25,0))</f>
        <v>32429</v>
      </c>
      <c r="S25" s="316">
        <f t="shared" ca="1" si="11"/>
        <v>430</v>
      </c>
    </row>
    <row r="26" spans="1:45">
      <c r="A26" s="54">
        <f>面积!I4</f>
        <v>51708</v>
      </c>
      <c r="B26" s="3822">
        <f>面积!J4</f>
        <v>104.71</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10" t="s">
        <v>3496</v>
      </c>
      <c r="Q26" s="21">
        <f t="shared" ref="Q26:Q89" si="19">(SUMIF($17:$17,P26,$18:$18)-SUMIF($17:$17,$P$24,$18:$18)+100)/100</f>
        <v>1</v>
      </c>
      <c r="R26" s="662">
        <f t="shared" ref="R26:R89" ca="1" si="20">IF(B26="",0,ROUND($R$24*C26*E26*G26*I26*K26*M26*O26*Q26,0))</f>
        <v>32429</v>
      </c>
      <c r="S26" s="316">
        <f t="shared" ca="1" si="11"/>
        <v>340</v>
      </c>
    </row>
    <row r="27" spans="1:45">
      <c r="A27" s="54">
        <f>面积!I5</f>
        <v>51709</v>
      </c>
      <c r="B27" s="3822">
        <f>面积!J5</f>
        <v>69.98</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10" t="s">
        <v>3496</v>
      </c>
      <c r="Q27" s="21">
        <f t="shared" si="19"/>
        <v>1</v>
      </c>
      <c r="R27" s="662">
        <f t="shared" ca="1" si="20"/>
        <v>32429</v>
      </c>
      <c r="S27" s="316">
        <f t="shared" ca="1" si="11"/>
        <v>227</v>
      </c>
    </row>
    <row r="28" spans="1:45">
      <c r="A28" s="54">
        <f>面积!I6</f>
        <v>51710</v>
      </c>
      <c r="B28" s="3822">
        <f>面积!J6</f>
        <v>138.59</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10" t="s">
        <v>3496</v>
      </c>
      <c r="Q28" s="21">
        <f t="shared" si="19"/>
        <v>1</v>
      </c>
      <c r="R28" s="662">
        <f t="shared" ca="1" si="20"/>
        <v>32429</v>
      </c>
      <c r="S28" s="316">
        <f t="shared" ca="1" si="11"/>
        <v>449</v>
      </c>
    </row>
    <row r="29" spans="1:45">
      <c r="A29" s="54">
        <f>面积!I7</f>
        <v>51711</v>
      </c>
      <c r="B29" s="3822">
        <f>面积!J7</f>
        <v>191.75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10" t="s">
        <v>3496</v>
      </c>
      <c r="Q29" s="21">
        <f t="shared" si="19"/>
        <v>1</v>
      </c>
      <c r="R29" s="662">
        <f t="shared" ca="1" si="20"/>
        <v>32429</v>
      </c>
      <c r="S29" s="316">
        <f t="shared" ca="1" si="11"/>
        <v>622</v>
      </c>
    </row>
    <row r="30" spans="1:45">
      <c r="A30" s="54">
        <f>面积!I8</f>
        <v>51712</v>
      </c>
      <c r="B30" s="3822">
        <f>面积!J8</f>
        <v>192.94</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10" t="s">
        <v>3496</v>
      </c>
      <c r="Q30" s="21">
        <f t="shared" si="19"/>
        <v>1</v>
      </c>
      <c r="R30" s="662">
        <f t="shared" ca="1" si="20"/>
        <v>32429</v>
      </c>
      <c r="S30" s="316">
        <f t="shared" ca="1" si="11"/>
        <v>626</v>
      </c>
    </row>
    <row r="31" spans="1:45">
      <c r="A31" s="54">
        <f>面积!I9</f>
        <v>51715</v>
      </c>
      <c r="B31" s="3822">
        <f>面积!J9</f>
        <v>180.94</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10" t="s">
        <v>3496</v>
      </c>
      <c r="Q31" s="21">
        <f t="shared" si="19"/>
        <v>1</v>
      </c>
      <c r="R31" s="662">
        <f t="shared" ca="1" si="20"/>
        <v>32429</v>
      </c>
      <c r="S31" s="316">
        <f t="shared" ca="1" si="11"/>
        <v>587</v>
      </c>
    </row>
    <row r="32" spans="1:45">
      <c r="A32" s="54">
        <f>面积!I10</f>
        <v>51716</v>
      </c>
      <c r="B32" s="3822">
        <f>面积!J10</f>
        <v>135.53</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2810" t="s">
        <v>3496</v>
      </c>
      <c r="Q32" s="21">
        <f t="shared" si="19"/>
        <v>1</v>
      </c>
      <c r="R32" s="662">
        <f t="shared" ca="1" si="20"/>
        <v>32429</v>
      </c>
      <c r="S32" s="316">
        <f t="shared" ca="1" si="11"/>
        <v>440</v>
      </c>
    </row>
    <row r="33" spans="1:19">
      <c r="A33" s="54">
        <f>面积!I11</f>
        <v>51717</v>
      </c>
      <c r="B33" s="3822">
        <f>面积!J11</f>
        <v>197.93</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2810" t="s">
        <v>3496</v>
      </c>
      <c r="Q33" s="21">
        <f t="shared" si="19"/>
        <v>1</v>
      </c>
      <c r="R33" s="662">
        <f t="shared" ca="1" si="20"/>
        <v>32429</v>
      </c>
      <c r="S33" s="316">
        <f t="shared" ca="1" si="11"/>
        <v>642</v>
      </c>
    </row>
    <row r="34" spans="1:19">
      <c r="A34" s="54">
        <f>面积!I12</f>
        <v>51718</v>
      </c>
      <c r="B34" s="3822">
        <f>面积!J12</f>
        <v>194.73</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2810" t="s">
        <v>3496</v>
      </c>
      <c r="Q34" s="21">
        <f t="shared" si="19"/>
        <v>1</v>
      </c>
      <c r="R34" s="662">
        <f t="shared" ca="1" si="20"/>
        <v>32429</v>
      </c>
      <c r="S34" s="316">
        <f t="shared" ca="1" si="11"/>
        <v>631</v>
      </c>
    </row>
    <row r="35" spans="1:19">
      <c r="A35" s="54">
        <f>面积!I13</f>
        <v>51719</v>
      </c>
      <c r="B35" s="3822">
        <f>面积!J13</f>
        <v>286.73</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2810" t="s">
        <v>3496</v>
      </c>
      <c r="Q35" s="21">
        <f t="shared" si="19"/>
        <v>1</v>
      </c>
      <c r="R35" s="662">
        <f t="shared" ca="1" si="20"/>
        <v>32429</v>
      </c>
      <c r="S35" s="316">
        <f t="shared" ca="1" si="11"/>
        <v>930</v>
      </c>
    </row>
    <row r="36" spans="1:19">
      <c r="A36" s="54">
        <f>面积!I14</f>
        <v>51720</v>
      </c>
      <c r="B36" s="3822">
        <f>面积!J14</f>
        <v>286.70999999999998</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2810" t="s">
        <v>3496</v>
      </c>
      <c r="Q36" s="21">
        <f t="shared" si="19"/>
        <v>1</v>
      </c>
      <c r="R36" s="662">
        <f t="shared" ca="1" si="20"/>
        <v>32429</v>
      </c>
      <c r="S36" s="316">
        <f t="shared" ca="1" si="11"/>
        <v>930</v>
      </c>
    </row>
    <row r="37" spans="1:19">
      <c r="A37" s="54">
        <f>面积!I15</f>
        <v>51721</v>
      </c>
      <c r="B37" s="3822">
        <f>面积!J15</f>
        <v>157.32</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2810" t="s">
        <v>3496</v>
      </c>
      <c r="Q37" s="21">
        <f t="shared" si="19"/>
        <v>1</v>
      </c>
      <c r="R37" s="662">
        <f t="shared" ca="1" si="20"/>
        <v>32429</v>
      </c>
      <c r="S37" s="316">
        <f t="shared" ca="1" si="11"/>
        <v>510</v>
      </c>
    </row>
    <row r="38" spans="1:19">
      <c r="A38" s="54">
        <f>面积!I16</f>
        <v>51722</v>
      </c>
      <c r="B38" s="3822">
        <f>面积!J16</f>
        <v>216.65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2810" t="s">
        <v>3496</v>
      </c>
      <c r="Q38" s="21">
        <f t="shared" si="19"/>
        <v>1</v>
      </c>
      <c r="R38" s="662">
        <f t="shared" ca="1" si="20"/>
        <v>32429</v>
      </c>
      <c r="S38" s="316">
        <f t="shared" ca="1" si="11"/>
        <v>703</v>
      </c>
    </row>
    <row r="39" spans="1:19">
      <c r="A39" s="54">
        <f>面积!I17</f>
        <v>51723</v>
      </c>
      <c r="B39" s="3822">
        <f>面积!J17</f>
        <v>301.70999999999998</v>
      </c>
      <c r="C39" s="21">
        <f t="shared" si="12"/>
        <v>1.01</v>
      </c>
      <c r="D39" s="666"/>
      <c r="E39" s="21">
        <f t="shared" si="13"/>
        <v>1</v>
      </c>
      <c r="F39" s="666"/>
      <c r="G39" s="21">
        <f t="shared" si="14"/>
        <v>1</v>
      </c>
      <c r="H39" s="666"/>
      <c r="I39" s="21">
        <f t="shared" si="15"/>
        <v>1</v>
      </c>
      <c r="J39" s="666"/>
      <c r="K39" s="21">
        <f t="shared" si="16"/>
        <v>1</v>
      </c>
      <c r="L39" s="666"/>
      <c r="M39" s="21">
        <f t="shared" si="17"/>
        <v>1</v>
      </c>
      <c r="N39" s="666"/>
      <c r="O39" s="21">
        <f t="shared" si="18"/>
        <v>1</v>
      </c>
      <c r="P39" s="2810" t="s">
        <v>3496</v>
      </c>
      <c r="Q39" s="21">
        <f t="shared" si="19"/>
        <v>1</v>
      </c>
      <c r="R39" s="662">
        <f t="shared" ca="1" si="20"/>
        <v>32753</v>
      </c>
      <c r="S39" s="316">
        <f t="shared" ca="1" si="11"/>
        <v>988</v>
      </c>
    </row>
    <row r="40" spans="1:19">
      <c r="A40" s="54">
        <f>面积!I18</f>
        <v>51725</v>
      </c>
      <c r="B40" s="3822">
        <f>面积!J18</f>
        <v>224.27</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2810" t="s">
        <v>3496</v>
      </c>
      <c r="Q40" s="21">
        <f t="shared" si="19"/>
        <v>1</v>
      </c>
      <c r="R40" s="662">
        <f t="shared" ca="1" si="20"/>
        <v>32429</v>
      </c>
      <c r="S40" s="316">
        <f t="shared" ca="1" si="11"/>
        <v>727</v>
      </c>
    </row>
    <row r="41" spans="1:19">
      <c r="A41" s="54">
        <f>面积!I19</f>
        <v>51726</v>
      </c>
      <c r="B41" s="3822">
        <f>面积!J19</f>
        <v>183.29</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2810" t="s">
        <v>3496</v>
      </c>
      <c r="Q41" s="21">
        <f t="shared" si="19"/>
        <v>1</v>
      </c>
      <c r="R41" s="662">
        <f t="shared" ca="1" si="20"/>
        <v>32429</v>
      </c>
      <c r="S41" s="316">
        <f t="shared" ca="1" si="11"/>
        <v>594</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2"/>
      <c r="B4" s="3773"/>
      <c r="C4" s="3773"/>
      <c r="D4" s="3774"/>
      <c r="E4" s="3774"/>
      <c r="F4" s="3774"/>
      <c r="G4" s="3774"/>
      <c r="H4" s="3774"/>
      <c r="I4" s="3774"/>
      <c r="J4" s="377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3236</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9" t="s">
        <v>1960</v>
      </c>
      <c r="X8" s="377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1"/>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3242</v>
      </c>
      <c r="G14" s="3311" t="s">
        <v>3242</v>
      </c>
      <c r="H14" s="3311" t="s">
        <v>3242</v>
      </c>
      <c r="I14" s="3311" t="s">
        <v>3242</v>
      </c>
      <c r="J14" s="3311" t="s">
        <v>3242</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t="e">
        <f>ROUND(G18/I18,2)</f>
        <v>#DIV/0!</v>
      </c>
      <c r="F17" s="3321" t="s">
        <v>3249</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3248</v>
      </c>
      <c r="E19" s="3337"/>
      <c r="F19" s="3338" t="s">
        <v>3251</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6" t="s">
        <v>3253</v>
      </c>
      <c r="B20" s="167" t="s">
        <v>1994</v>
      </c>
      <c r="C20" s="3324" t="e">
        <f>ROUND(IF(F21="与级别开发程度一致",0,(G21-E21)/C21),0)</f>
        <v>#DIV/0!</v>
      </c>
      <c r="D20" s="3340" t="s">
        <v>1998</v>
      </c>
      <c r="E20" s="3341"/>
      <c r="F20" s="3782" t="s">
        <v>1995</v>
      </c>
      <c r="G20" s="3783"/>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15.7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45954</v>
      </c>
      <c r="H23" s="3342"/>
      <c r="I23" s="3343" t="str">
        <f>IF(H23="季度增幅（自定义）",SUMIF(N25:N28,E2,O25:O28),"")</f>
        <v/>
      </c>
      <c r="J23" s="3445"/>
      <c r="K23" s="1124"/>
      <c r="L23" s="2054" t="s">
        <v>2004</v>
      </c>
      <c r="M23" s="1327">
        <f>ROUND(SUMIF(地价!B2:G2,E2,地价!B16:G16),0)</f>
        <v>0</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存贷款利率!E28/100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3332</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3257</v>
      </c>
      <c r="G33" s="2098"/>
      <c r="H33" s="2098"/>
      <c r="I33" s="2098"/>
      <c r="J33" s="2099"/>
      <c r="K33" s="1118"/>
      <c r="L33" s="3348" t="s">
        <v>3260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3262</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0"/>
      <c r="B37" s="2112" t="s">
        <v>2036</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1"/>
      <c r="K37" s="3358" t="s">
        <v>3263</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1"/>
      <c r="B38" s="2040" t="s">
        <v>2037</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1"/>
      <c r="B39" s="2040" t="s">
        <v>3256</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9"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SUMIF(修正!A59:A70,G2,修正!G59:G70)</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3270</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3266</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3271</v>
      </c>
      <c r="B96" s="3384" t="s">
        <v>3282</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3272</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3273</v>
      </c>
      <c r="B98" s="3385" t="s">
        <v>3283</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3274</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3275</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3276</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8" t="s">
        <v>3291</v>
      </c>
      <c r="B103" s="3778"/>
      <c r="C103" s="3778"/>
      <c r="D103" s="3778"/>
      <c r="E103" s="3778"/>
      <c r="F103" s="3778"/>
      <c r="G103" s="3778"/>
      <c r="H103" s="3778"/>
      <c r="I103" s="3778"/>
      <c r="J103" s="3778"/>
      <c r="K103" s="3389"/>
      <c r="L103" s="3389"/>
      <c r="M103" s="3389"/>
      <c r="N103" s="3389"/>
    </row>
    <row r="104" spans="1:14">
      <c r="A104" s="3779" t="s">
        <v>3292</v>
      </c>
      <c r="B104" s="3779" t="s">
        <v>3293</v>
      </c>
      <c r="C104" s="3390" t="s">
        <v>3294</v>
      </c>
      <c r="D104" s="3391"/>
      <c r="E104" s="3391"/>
      <c r="F104" s="3391"/>
      <c r="G104" s="3391"/>
      <c r="H104" s="3391"/>
      <c r="I104" s="3391"/>
      <c r="J104" s="3392"/>
      <c r="K104" s="3393"/>
      <c r="L104" s="3393"/>
      <c r="M104" s="3393"/>
      <c r="N104" s="3393"/>
    </row>
    <row r="105" spans="1:14">
      <c r="A105" s="3779"/>
      <c r="B105" s="3779"/>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65"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3265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8" t="s">
        <v>3308</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0</v>
      </c>
      <c r="C116" s="3399" t="s">
        <v>3310</v>
      </c>
      <c r="D116" s="3400">
        <f>SUMPRODUCT((A118:A122=F116)*(B117:M117=H116)*B118:M122)</f>
        <v>0</v>
      </c>
      <c r="E116" s="1999" t="s">
        <v>3311</v>
      </c>
      <c r="F116" s="3401">
        <f>E2</f>
        <v>0</v>
      </c>
      <c r="G116" s="1999" t="s">
        <v>3312</v>
      </c>
      <c r="H116" s="3401">
        <f>G2</f>
        <v>0</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2611</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795" t="s">
        <v>2606</v>
      </c>
      <c r="B20" s="3788" t="s">
        <v>2627</v>
      </c>
      <c r="C20" s="3476" t="s">
        <v>2438</v>
      </c>
      <c r="D20" s="3476"/>
      <c r="E20" s="3104">
        <v>1</v>
      </c>
      <c r="F20" s="3105" t="s">
        <v>2439</v>
      </c>
      <c r="G20" s="3105"/>
    </row>
    <row r="21" spans="1:13" ht="19.5" customHeight="1">
      <c r="A21" s="3796"/>
      <c r="B21" s="3784"/>
      <c r="C21" s="3466" t="s">
        <v>2440</v>
      </c>
      <c r="D21" s="3466"/>
      <c r="E21" s="3108">
        <v>1</v>
      </c>
      <c r="F21" s="3105" t="s">
        <v>2441</v>
      </c>
      <c r="G21" s="3105"/>
    </row>
    <row r="22" spans="1:13" ht="19.5" customHeight="1">
      <c r="A22" s="3796"/>
      <c r="B22" s="3784"/>
      <c r="C22" s="3466" t="s">
        <v>2442</v>
      </c>
      <c r="D22" s="3466"/>
      <c r="E22" s="3108">
        <v>0.9</v>
      </c>
      <c r="F22" s="3105" t="s">
        <v>2443</v>
      </c>
      <c r="G22" s="3105"/>
    </row>
    <row r="23" spans="1:13" ht="19.5" customHeight="1">
      <c r="A23" s="3796"/>
      <c r="B23" s="3784"/>
      <c r="C23" s="3466" t="s">
        <v>2444</v>
      </c>
      <c r="D23" s="3466"/>
      <c r="E23" s="3108">
        <v>0.9</v>
      </c>
      <c r="F23" s="3105" t="s">
        <v>2445</v>
      </c>
      <c r="G23" s="3105"/>
    </row>
    <row r="24" spans="1:13" ht="19.5" customHeight="1">
      <c r="A24" s="3796"/>
      <c r="B24" s="3784"/>
      <c r="C24" s="3466" t="s">
        <v>2446</v>
      </c>
      <c r="D24" s="3466"/>
      <c r="E24" s="3108">
        <v>0.8</v>
      </c>
      <c r="F24" s="3105" t="s">
        <v>2447</v>
      </c>
      <c r="G24" s="3105"/>
    </row>
    <row r="25" spans="1:13" ht="19.5" customHeight="1">
      <c r="A25" s="3796"/>
      <c r="B25" s="3784"/>
      <c r="C25" s="3466" t="s">
        <v>2448</v>
      </c>
      <c r="D25" s="3466"/>
      <c r="E25" s="3108">
        <v>0.8</v>
      </c>
      <c r="F25" s="3105"/>
      <c r="G25" s="3105"/>
    </row>
    <row r="26" spans="1:13" ht="19.5" customHeight="1">
      <c r="A26" s="3796"/>
      <c r="B26" s="3784"/>
      <c r="C26" s="3469" t="s">
        <v>3406</v>
      </c>
      <c r="D26" s="3469"/>
      <c r="E26" s="3470">
        <v>0.43</v>
      </c>
      <c r="F26" s="3105"/>
      <c r="G26" s="3105"/>
    </row>
    <row r="27" spans="1:13" ht="19.5" customHeight="1" thickBot="1">
      <c r="A27" s="3797"/>
      <c r="B27" s="3789"/>
      <c r="C27" s="3471" t="s">
        <v>3407</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790" t="s">
        <v>2630</v>
      </c>
      <c r="B29" s="3793" t="s">
        <v>2611</v>
      </c>
      <c r="C29" s="3102" t="s">
        <v>2451</v>
      </c>
      <c r="D29" s="3103"/>
      <c r="E29" s="3104">
        <v>1</v>
      </c>
      <c r="F29" s="3105" t="s">
        <v>2452</v>
      </c>
      <c r="G29" s="3105"/>
    </row>
    <row r="30" spans="1:13" ht="19.5" customHeight="1">
      <c r="A30" s="3791"/>
      <c r="B30" s="3787"/>
      <c r="C30" s="3106" t="s">
        <v>2453</v>
      </c>
      <c r="D30" s="3107"/>
      <c r="E30" s="3108">
        <v>1</v>
      </c>
      <c r="F30" s="3105" t="s">
        <v>2454</v>
      </c>
      <c r="G30" s="3105"/>
    </row>
    <row r="31" spans="1:13" ht="19.5" customHeight="1">
      <c r="A31" s="3791"/>
      <c r="B31" s="3787"/>
      <c r="C31" s="3106" t="s">
        <v>2455</v>
      </c>
      <c r="D31" s="3107"/>
      <c r="E31" s="3108">
        <v>0.8</v>
      </c>
      <c r="F31" s="3105" t="s">
        <v>2456</v>
      </c>
      <c r="G31" s="3105"/>
    </row>
    <row r="32" spans="1:13" ht="19.5" customHeight="1">
      <c r="A32" s="3791"/>
      <c r="B32" s="3787"/>
      <c r="C32" s="3106" t="s">
        <v>2457</v>
      </c>
      <c r="D32" s="3107"/>
      <c r="E32" s="3108">
        <v>0.8</v>
      </c>
      <c r="F32" s="3105" t="s">
        <v>2458</v>
      </c>
      <c r="G32" s="3105"/>
    </row>
    <row r="33" spans="1:7" ht="19.5" customHeight="1">
      <c r="A33" s="3791"/>
      <c r="B33" s="3787"/>
      <c r="C33" s="3106" t="s">
        <v>2459</v>
      </c>
      <c r="D33" s="3107"/>
      <c r="E33" s="3108">
        <v>0.8</v>
      </c>
      <c r="F33" s="3105" t="s">
        <v>2460</v>
      </c>
      <c r="G33" s="3105"/>
    </row>
    <row r="34" spans="1:7" ht="19.5" customHeight="1">
      <c r="A34" s="3791"/>
      <c r="B34" s="3787"/>
      <c r="C34" s="3106" t="s">
        <v>2461</v>
      </c>
      <c r="D34" s="3107"/>
      <c r="E34" s="3108">
        <v>0.7</v>
      </c>
      <c r="F34" s="3105" t="s">
        <v>2462</v>
      </c>
      <c r="G34" s="3105"/>
    </row>
    <row r="35" spans="1:7" ht="19.5" customHeight="1">
      <c r="A35" s="3791"/>
      <c r="B35" s="3787"/>
      <c r="C35" s="3106" t="s">
        <v>2463</v>
      </c>
      <c r="D35" s="3107"/>
      <c r="E35" s="3108">
        <v>0.8</v>
      </c>
      <c r="F35" s="3105" t="s">
        <v>2464</v>
      </c>
      <c r="G35" s="3105"/>
    </row>
    <row r="36" spans="1:7" ht="19.5" customHeight="1">
      <c r="A36" s="3791"/>
      <c r="B36" s="3787"/>
      <c r="C36" s="3106" t="s">
        <v>2465</v>
      </c>
      <c r="D36" s="3107"/>
      <c r="E36" s="3108">
        <v>0.6</v>
      </c>
      <c r="F36" s="3105" t="s">
        <v>2466</v>
      </c>
      <c r="G36" s="3105"/>
    </row>
    <row r="37" spans="1:7" ht="19.5" customHeight="1">
      <c r="A37" s="3791"/>
      <c r="B37" s="3787"/>
      <c r="C37" s="3106" t="s">
        <v>2467</v>
      </c>
      <c r="D37" s="3107"/>
      <c r="E37" s="3108">
        <v>0.2</v>
      </c>
      <c r="F37" s="3105" t="s">
        <v>2468</v>
      </c>
      <c r="G37" s="3105"/>
    </row>
    <row r="38" spans="1:7" ht="19.5" customHeight="1">
      <c r="A38" s="3791"/>
      <c r="B38" s="3787"/>
      <c r="C38" s="3106" t="s">
        <v>2469</v>
      </c>
      <c r="D38" s="3107"/>
      <c r="E38" s="3108">
        <v>0.2</v>
      </c>
      <c r="F38" s="3105" t="s">
        <v>2470</v>
      </c>
      <c r="G38" s="3105"/>
    </row>
    <row r="39" spans="1:7" ht="19.5" customHeight="1">
      <c r="A39" s="3791"/>
      <c r="B39" s="3785" t="s">
        <v>2631</v>
      </c>
      <c r="C39" s="3106" t="s">
        <v>2471</v>
      </c>
      <c r="D39" s="3107"/>
      <c r="E39" s="3108">
        <v>0.6</v>
      </c>
      <c r="F39" s="3105" t="s">
        <v>2472</v>
      </c>
      <c r="G39" s="3105"/>
    </row>
    <row r="40" spans="1:7" ht="19.5" customHeight="1">
      <c r="A40" s="3791"/>
      <c r="B40" s="3787"/>
      <c r="C40" s="3106" t="s">
        <v>2473</v>
      </c>
      <c r="D40" s="3107"/>
      <c r="E40" s="3108">
        <v>0.6</v>
      </c>
      <c r="F40" s="3105" t="s">
        <v>2474</v>
      </c>
      <c r="G40" s="3105"/>
    </row>
    <row r="41" spans="1:7" ht="19.5" customHeight="1" thickBot="1">
      <c r="A41" s="3792"/>
      <c r="B41" s="3794"/>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795" t="s">
        <v>2609</v>
      </c>
      <c r="B43" s="3793" t="s">
        <v>2633</v>
      </c>
      <c r="C43" s="3102" t="s">
        <v>2478</v>
      </c>
      <c r="D43" s="3103"/>
      <c r="E43" s="3104">
        <v>1</v>
      </c>
      <c r="F43" s="3105" t="s">
        <v>2479</v>
      </c>
      <c r="G43" s="3105"/>
    </row>
    <row r="44" spans="1:7" ht="19.5" customHeight="1">
      <c r="A44" s="3796"/>
      <c r="B44" s="3787"/>
      <c r="C44" s="3106" t="s">
        <v>2480</v>
      </c>
      <c r="D44" s="3107"/>
      <c r="E44" s="3108">
        <v>1</v>
      </c>
      <c r="F44" s="3105" t="s">
        <v>2481</v>
      </c>
      <c r="G44" s="3105"/>
    </row>
    <row r="45" spans="1:7" ht="19.5" customHeight="1">
      <c r="A45" s="3796"/>
      <c r="B45" s="3786"/>
      <c r="C45" s="3106" t="s">
        <v>2482</v>
      </c>
      <c r="D45" s="3107"/>
      <c r="E45" s="3108">
        <v>1.5</v>
      </c>
      <c r="F45" s="3105" t="s">
        <v>2483</v>
      </c>
      <c r="G45" s="3105"/>
    </row>
    <row r="46" spans="1:7" ht="19.5" customHeight="1">
      <c r="A46" s="3796"/>
      <c r="B46" s="3117" t="s">
        <v>2634</v>
      </c>
      <c r="C46" s="3106" t="s">
        <v>2635</v>
      </c>
      <c r="D46" s="3107"/>
      <c r="E46" s="3108">
        <v>2</v>
      </c>
      <c r="F46" s="3105" t="s">
        <v>2484</v>
      </c>
      <c r="G46" s="3105"/>
    </row>
    <row r="47" spans="1:7" ht="19.5" customHeight="1">
      <c r="A47" s="3796"/>
      <c r="B47" s="3785" t="s">
        <v>2636</v>
      </c>
      <c r="C47" s="3106" t="s">
        <v>2485</v>
      </c>
      <c r="D47" s="3107"/>
      <c r="E47" s="3108">
        <v>1</v>
      </c>
      <c r="F47" s="3105" t="s">
        <v>2486</v>
      </c>
      <c r="G47" s="3105"/>
    </row>
    <row r="48" spans="1:7" ht="19.5" customHeight="1">
      <c r="A48" s="3796"/>
      <c r="B48" s="3787"/>
      <c r="C48" s="3106" t="s">
        <v>2487</v>
      </c>
      <c r="D48" s="3107"/>
      <c r="E48" s="3108">
        <v>1</v>
      </c>
      <c r="F48" s="3105" t="s">
        <v>2488</v>
      </c>
      <c r="G48" s="3105"/>
    </row>
    <row r="49" spans="1:7" ht="19.5" customHeight="1">
      <c r="A49" s="3796"/>
      <c r="B49" s="3787"/>
      <c r="C49" s="3106" t="s">
        <v>2489</v>
      </c>
      <c r="D49" s="3107"/>
      <c r="E49" s="3108">
        <v>1</v>
      </c>
      <c r="F49" s="3105" t="s">
        <v>2490</v>
      </c>
      <c r="G49" s="3105"/>
    </row>
    <row r="50" spans="1:7" ht="19.5" customHeight="1">
      <c r="A50" s="3796"/>
      <c r="B50" s="3787"/>
      <c r="C50" s="3106" t="s">
        <v>2491</v>
      </c>
      <c r="D50" s="3107"/>
      <c r="E50" s="3108">
        <v>1</v>
      </c>
      <c r="F50" s="3105" t="s">
        <v>2492</v>
      </c>
      <c r="G50" s="3105"/>
    </row>
    <row r="51" spans="1:7" ht="19.5" customHeight="1">
      <c r="A51" s="3796"/>
      <c r="B51" s="3787"/>
      <c r="C51" s="3106" t="s">
        <v>2493</v>
      </c>
      <c r="D51" s="3107"/>
      <c r="E51" s="3108">
        <v>1</v>
      </c>
      <c r="F51" s="3105" t="s">
        <v>2494</v>
      </c>
      <c r="G51" s="3105"/>
    </row>
    <row r="52" spans="1:7" ht="19.5" customHeight="1">
      <c r="A52" s="3796"/>
      <c r="B52" s="3787"/>
      <c r="C52" s="3106" t="s">
        <v>2495</v>
      </c>
      <c r="D52" s="3107"/>
      <c r="E52" s="3108">
        <v>1</v>
      </c>
      <c r="F52" s="3105" t="s">
        <v>2496</v>
      </c>
      <c r="G52" s="3105"/>
    </row>
    <row r="53" spans="1:7" ht="19.5" customHeight="1" thickBot="1">
      <c r="A53" s="3797"/>
      <c r="B53" s="3794"/>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785" t="s">
        <v>2650</v>
      </c>
      <c r="C75" s="3091" t="s">
        <v>2651</v>
      </c>
      <c r="D75" s="3091" t="s">
        <v>2652</v>
      </c>
      <c r="E75" s="3117">
        <v>0.2</v>
      </c>
      <c r="F75" s="3117">
        <v>25</v>
      </c>
    </row>
    <row r="76" spans="1:7" ht="24">
      <c r="A76" s="3117">
        <v>2</v>
      </c>
      <c r="B76" s="3787"/>
      <c r="C76" s="3091" t="s">
        <v>2653</v>
      </c>
      <c r="D76" s="3091" t="s">
        <v>2654</v>
      </c>
      <c r="E76" s="3117">
        <v>0.2</v>
      </c>
      <c r="F76" s="3117">
        <v>25</v>
      </c>
    </row>
    <row r="77" spans="1:7" ht="24">
      <c r="A77" s="3117">
        <v>3</v>
      </c>
      <c r="B77" s="3787"/>
      <c r="C77" s="3091" t="s">
        <v>2655</v>
      </c>
      <c r="D77" s="3091" t="s">
        <v>2656</v>
      </c>
      <c r="E77" s="3117">
        <v>0.2</v>
      </c>
      <c r="F77" s="3117">
        <v>25</v>
      </c>
    </row>
    <row r="78" spans="1:7" ht="13.5">
      <c r="A78" s="3117">
        <v>4</v>
      </c>
      <c r="B78" s="3787"/>
      <c r="C78" s="3091" t="s">
        <v>2657</v>
      </c>
      <c r="D78" s="3091" t="s">
        <v>2658</v>
      </c>
      <c r="E78" s="3117">
        <v>0.15</v>
      </c>
      <c r="F78" s="3117">
        <v>20</v>
      </c>
    </row>
    <row r="79" spans="1:7" ht="24">
      <c r="A79" s="3117">
        <v>5</v>
      </c>
      <c r="B79" s="3787"/>
      <c r="C79" s="3091" t="s">
        <v>2659</v>
      </c>
      <c r="D79" s="3091" t="s">
        <v>2660</v>
      </c>
      <c r="E79" s="3117">
        <v>0.15</v>
      </c>
      <c r="F79" s="3117">
        <v>20</v>
      </c>
    </row>
    <row r="80" spans="1:7" ht="24">
      <c r="A80" s="3117">
        <v>6</v>
      </c>
      <c r="B80" s="3787"/>
      <c r="C80" s="3091" t="s">
        <v>2661</v>
      </c>
      <c r="D80" s="3091" t="s">
        <v>2662</v>
      </c>
      <c r="E80" s="3117">
        <v>0.15</v>
      </c>
      <c r="F80" s="3117">
        <v>20</v>
      </c>
    </row>
    <row r="81" spans="1:6" ht="24">
      <c r="A81" s="3117">
        <v>7</v>
      </c>
      <c r="B81" s="3787"/>
      <c r="C81" s="3091" t="s">
        <v>2663</v>
      </c>
      <c r="D81" s="3091" t="s">
        <v>2664</v>
      </c>
      <c r="E81" s="3117">
        <v>0.15</v>
      </c>
      <c r="F81" s="3117">
        <v>20</v>
      </c>
    </row>
    <row r="82" spans="1:6" ht="24">
      <c r="A82" s="3117">
        <v>8</v>
      </c>
      <c r="B82" s="3787"/>
      <c r="C82" s="3091" t="s">
        <v>2665</v>
      </c>
      <c r="D82" s="3091" t="s">
        <v>2666</v>
      </c>
      <c r="E82" s="3117">
        <v>0.1</v>
      </c>
      <c r="F82" s="3117">
        <v>15</v>
      </c>
    </row>
    <row r="83" spans="1:6" ht="24">
      <c r="A83" s="3117">
        <v>9</v>
      </c>
      <c r="B83" s="3787"/>
      <c r="C83" s="3091" t="s">
        <v>2667</v>
      </c>
      <c r="D83" s="3091" t="s">
        <v>2668</v>
      </c>
      <c r="E83" s="3117">
        <v>0.1</v>
      </c>
      <c r="F83" s="3117">
        <v>15</v>
      </c>
    </row>
    <row r="84" spans="1:6" ht="24">
      <c r="A84" s="3117">
        <v>10</v>
      </c>
      <c r="B84" s="3787"/>
      <c r="C84" s="3091" t="s">
        <v>2669</v>
      </c>
      <c r="D84" s="3091" t="s">
        <v>2670</v>
      </c>
      <c r="E84" s="3117">
        <v>0.1</v>
      </c>
      <c r="F84" s="3117">
        <v>15</v>
      </c>
    </row>
    <row r="85" spans="1:6" ht="24">
      <c r="A85" s="3117">
        <v>11</v>
      </c>
      <c r="B85" s="3787"/>
      <c r="C85" s="3091" t="s">
        <v>2671</v>
      </c>
      <c r="D85" s="3091" t="s">
        <v>2672</v>
      </c>
      <c r="E85" s="3117">
        <v>0.1</v>
      </c>
      <c r="F85" s="3117">
        <v>15</v>
      </c>
    </row>
    <row r="86" spans="1:6" ht="24">
      <c r="A86" s="3117">
        <v>12</v>
      </c>
      <c r="B86" s="3787"/>
      <c r="C86" s="3091" t="s">
        <v>2673</v>
      </c>
      <c r="D86" s="3091" t="s">
        <v>2674</v>
      </c>
      <c r="E86" s="3117">
        <v>0.1</v>
      </c>
      <c r="F86" s="3117">
        <v>15</v>
      </c>
    </row>
    <row r="87" spans="1:6" ht="13.5">
      <c r="A87" s="3117">
        <v>13</v>
      </c>
      <c r="B87" s="3787"/>
      <c r="C87" s="3091" t="s">
        <v>2675</v>
      </c>
      <c r="D87" s="3091" t="s">
        <v>2676</v>
      </c>
      <c r="E87" s="3117">
        <v>0.1</v>
      </c>
      <c r="F87" s="3117">
        <v>15</v>
      </c>
    </row>
    <row r="88" spans="1:6" ht="13.5">
      <c r="A88" s="3117">
        <v>14</v>
      </c>
      <c r="B88" s="3787"/>
      <c r="C88" s="3091" t="s">
        <v>2677</v>
      </c>
      <c r="D88" s="3091" t="s">
        <v>2678</v>
      </c>
      <c r="E88" s="3117">
        <v>0.1</v>
      </c>
      <c r="F88" s="3117">
        <v>15</v>
      </c>
    </row>
    <row r="89" spans="1:6" ht="13.5">
      <c r="A89" s="3117">
        <v>15</v>
      </c>
      <c r="B89" s="3787"/>
      <c r="C89" s="3091" t="s">
        <v>2679</v>
      </c>
      <c r="D89" s="3091" t="s">
        <v>2680</v>
      </c>
      <c r="E89" s="3117">
        <v>0.1</v>
      </c>
      <c r="F89" s="3117">
        <v>15</v>
      </c>
    </row>
    <row r="90" spans="1:6" ht="24">
      <c r="A90" s="3117">
        <v>16</v>
      </c>
      <c r="B90" s="3787"/>
      <c r="C90" s="3091" t="s">
        <v>2681</v>
      </c>
      <c r="D90" s="3091" t="s">
        <v>2682</v>
      </c>
      <c r="E90" s="3117">
        <v>0.1</v>
      </c>
      <c r="F90" s="3117">
        <v>15</v>
      </c>
    </row>
    <row r="91" spans="1:6" ht="24">
      <c r="A91" s="3117">
        <v>17</v>
      </c>
      <c r="B91" s="3786"/>
      <c r="C91" s="3091" t="s">
        <v>2683</v>
      </c>
      <c r="D91" s="3091" t="s">
        <v>2684</v>
      </c>
      <c r="E91" s="3117">
        <v>0.1</v>
      </c>
      <c r="F91" s="3117">
        <v>15</v>
      </c>
    </row>
    <row r="92" spans="1:6" ht="13.5">
      <c r="A92" s="3117">
        <v>18</v>
      </c>
      <c r="B92" s="3785" t="s">
        <v>2685</v>
      </c>
      <c r="C92" s="3091" t="s">
        <v>2686</v>
      </c>
      <c r="D92" s="3091" t="s">
        <v>2687</v>
      </c>
      <c r="E92" s="3117">
        <v>0.2</v>
      </c>
      <c r="F92" s="3117">
        <v>25</v>
      </c>
    </row>
    <row r="93" spans="1:6" ht="24">
      <c r="A93" s="3117">
        <v>19</v>
      </c>
      <c r="B93" s="3787"/>
      <c r="C93" s="3091" t="s">
        <v>2688</v>
      </c>
      <c r="D93" s="3091" t="s">
        <v>2689</v>
      </c>
      <c r="E93" s="3117">
        <v>0.2</v>
      </c>
      <c r="F93" s="3117">
        <v>25</v>
      </c>
    </row>
    <row r="94" spans="1:6" ht="13.5">
      <c r="A94" s="3117">
        <v>20</v>
      </c>
      <c r="B94" s="3787"/>
      <c r="C94" s="3091" t="s">
        <v>2690</v>
      </c>
      <c r="D94" s="3091" t="s">
        <v>2691</v>
      </c>
      <c r="E94" s="3117">
        <v>0.15</v>
      </c>
      <c r="F94" s="3117">
        <v>20</v>
      </c>
    </row>
    <row r="95" spans="1:6" ht="13.5">
      <c r="A95" s="3117">
        <v>21</v>
      </c>
      <c r="B95" s="3787"/>
      <c r="C95" s="3091" t="s">
        <v>2692</v>
      </c>
      <c r="D95" s="3091" t="s">
        <v>2693</v>
      </c>
      <c r="E95" s="3117">
        <v>0.15</v>
      </c>
      <c r="F95" s="3117">
        <v>20</v>
      </c>
    </row>
    <row r="96" spans="1:6" ht="13.5">
      <c r="A96" s="3117">
        <v>22</v>
      </c>
      <c r="B96" s="3787"/>
      <c r="C96" s="3091" t="s">
        <v>2694</v>
      </c>
      <c r="D96" s="3091" t="s">
        <v>2695</v>
      </c>
      <c r="E96" s="3117">
        <v>0.15</v>
      </c>
      <c r="F96" s="3117">
        <v>20</v>
      </c>
    </row>
    <row r="97" spans="1:6" ht="36">
      <c r="A97" s="3117">
        <v>23</v>
      </c>
      <c r="B97" s="3787"/>
      <c r="C97" s="3091" t="s">
        <v>2696</v>
      </c>
      <c r="D97" s="3091" t="s">
        <v>2697</v>
      </c>
      <c r="E97" s="3117">
        <v>0.15</v>
      </c>
      <c r="F97" s="3117">
        <v>20</v>
      </c>
    </row>
    <row r="98" spans="1:6" ht="13.5">
      <c r="A98" s="3117">
        <v>24</v>
      </c>
      <c r="B98" s="3787"/>
      <c r="C98" s="3091" t="s">
        <v>2698</v>
      </c>
      <c r="D98" s="3091" t="s">
        <v>2699</v>
      </c>
      <c r="E98" s="3117">
        <v>0.1</v>
      </c>
      <c r="F98" s="3117">
        <v>15</v>
      </c>
    </row>
    <row r="99" spans="1:6" ht="13.5">
      <c r="A99" s="3117">
        <v>25</v>
      </c>
      <c r="B99" s="3787"/>
      <c r="C99" s="3091" t="s">
        <v>2700</v>
      </c>
      <c r="D99" s="3091" t="s">
        <v>2701</v>
      </c>
      <c r="E99" s="3117">
        <v>0.1</v>
      </c>
      <c r="F99" s="3117">
        <v>15</v>
      </c>
    </row>
    <row r="100" spans="1:6" ht="24">
      <c r="A100" s="3117">
        <v>26</v>
      </c>
      <c r="B100" s="3787"/>
      <c r="C100" s="3091" t="s">
        <v>2702</v>
      </c>
      <c r="D100" s="3091" t="s">
        <v>2703</v>
      </c>
      <c r="E100" s="3117">
        <v>0.1</v>
      </c>
      <c r="F100" s="3117">
        <v>15</v>
      </c>
    </row>
    <row r="101" spans="1:6" ht="24">
      <c r="A101" s="3117">
        <v>27</v>
      </c>
      <c r="B101" s="3787"/>
      <c r="C101" s="3091" t="s">
        <v>2704</v>
      </c>
      <c r="D101" s="3091" t="s">
        <v>2705</v>
      </c>
      <c r="E101" s="3117">
        <v>0.1</v>
      </c>
      <c r="F101" s="3117">
        <v>15</v>
      </c>
    </row>
    <row r="102" spans="1:6" ht="13.5">
      <c r="A102" s="3117">
        <v>28</v>
      </c>
      <c r="B102" s="3787"/>
      <c r="C102" s="3091" t="s">
        <v>2706</v>
      </c>
      <c r="D102" s="3091" t="s">
        <v>2707</v>
      </c>
      <c r="E102" s="3117">
        <v>0.1</v>
      </c>
      <c r="F102" s="3117">
        <v>15</v>
      </c>
    </row>
    <row r="103" spans="1:6" ht="13.5">
      <c r="A103" s="3117">
        <v>29</v>
      </c>
      <c r="B103" s="3787"/>
      <c r="C103" s="3091" t="s">
        <v>2708</v>
      </c>
      <c r="D103" s="3091" t="s">
        <v>2709</v>
      </c>
      <c r="E103" s="3117">
        <v>0.1</v>
      </c>
      <c r="F103" s="3117">
        <v>15</v>
      </c>
    </row>
    <row r="104" spans="1:6" ht="13.5">
      <c r="A104" s="3117">
        <v>30</v>
      </c>
      <c r="B104" s="3787"/>
      <c r="C104" s="3091" t="s">
        <v>2710</v>
      </c>
      <c r="D104" s="3091" t="s">
        <v>2711</v>
      </c>
      <c r="E104" s="3117">
        <v>0.1</v>
      </c>
      <c r="F104" s="3117">
        <v>15</v>
      </c>
    </row>
    <row r="105" spans="1:6" ht="24">
      <c r="A105" s="3117">
        <v>31</v>
      </c>
      <c r="B105" s="3787"/>
      <c r="C105" s="3091" t="s">
        <v>2712</v>
      </c>
      <c r="D105" s="3091" t="s">
        <v>2713</v>
      </c>
      <c r="E105" s="3117">
        <v>0.1</v>
      </c>
      <c r="F105" s="3117">
        <v>15</v>
      </c>
    </row>
    <row r="106" spans="1:6" ht="24">
      <c r="A106" s="3117">
        <v>32</v>
      </c>
      <c r="B106" s="3787"/>
      <c r="C106" s="3091" t="s">
        <v>2714</v>
      </c>
      <c r="D106" s="3091" t="s">
        <v>2715</v>
      </c>
      <c r="E106" s="3117">
        <v>0.1</v>
      </c>
      <c r="F106" s="3117">
        <v>15</v>
      </c>
    </row>
    <row r="107" spans="1:6" ht="24">
      <c r="A107" s="3117">
        <v>33</v>
      </c>
      <c r="B107" s="3787"/>
      <c r="C107" s="3091" t="s">
        <v>2716</v>
      </c>
      <c r="D107" s="3091" t="s">
        <v>2717</v>
      </c>
      <c r="E107" s="3117">
        <v>0.1</v>
      </c>
      <c r="F107" s="3117">
        <v>15</v>
      </c>
    </row>
    <row r="108" spans="1:6" ht="24">
      <c r="A108" s="3117">
        <v>34</v>
      </c>
      <c r="B108" s="3786"/>
      <c r="C108" s="3091" t="s">
        <v>2718</v>
      </c>
      <c r="D108" s="3091" t="s">
        <v>2719</v>
      </c>
      <c r="E108" s="3117">
        <v>0.1</v>
      </c>
      <c r="F108" s="3117">
        <v>15</v>
      </c>
    </row>
    <row r="109" spans="1:6" ht="24">
      <c r="A109" s="3117">
        <v>35</v>
      </c>
      <c r="B109" s="3785" t="s">
        <v>2720</v>
      </c>
      <c r="C109" s="3117" t="s">
        <v>2721</v>
      </c>
      <c r="D109" s="3091" t="s">
        <v>2722</v>
      </c>
      <c r="E109" s="3117">
        <v>0.15</v>
      </c>
      <c r="F109" s="3117">
        <v>20</v>
      </c>
    </row>
    <row r="110" spans="1:6" ht="13.5">
      <c r="A110" s="3117">
        <v>36</v>
      </c>
      <c r="B110" s="3787"/>
      <c r="C110" s="3117" t="s">
        <v>2723</v>
      </c>
      <c r="D110" s="3091" t="s">
        <v>2724</v>
      </c>
      <c r="E110" s="3117">
        <v>0.15</v>
      </c>
      <c r="F110" s="3117">
        <v>20</v>
      </c>
    </row>
    <row r="111" spans="1:6" ht="13.5">
      <c r="A111" s="3117">
        <v>37</v>
      </c>
      <c r="B111" s="3787"/>
      <c r="C111" s="3117" t="s">
        <v>2725</v>
      </c>
      <c r="D111" s="3091" t="s">
        <v>2726</v>
      </c>
      <c r="E111" s="3117">
        <v>0.15</v>
      </c>
      <c r="F111" s="3117">
        <v>20</v>
      </c>
    </row>
    <row r="112" spans="1:6" ht="13.5">
      <c r="A112" s="3117">
        <v>38</v>
      </c>
      <c r="B112" s="3787"/>
      <c r="C112" s="3117" t="s">
        <v>2727</v>
      </c>
      <c r="D112" s="3091" t="s">
        <v>2728</v>
      </c>
      <c r="E112" s="3117">
        <v>0.1</v>
      </c>
      <c r="F112" s="3117">
        <v>15</v>
      </c>
    </row>
    <row r="113" spans="1:6" ht="24">
      <c r="A113" s="3117">
        <v>39</v>
      </c>
      <c r="B113" s="3787"/>
      <c r="C113" s="3117" t="s">
        <v>2729</v>
      </c>
      <c r="D113" s="3091" t="s">
        <v>2730</v>
      </c>
      <c r="E113" s="3117">
        <v>0.1</v>
      </c>
      <c r="F113" s="3117">
        <v>15</v>
      </c>
    </row>
    <row r="114" spans="1:6" ht="24">
      <c r="A114" s="3117">
        <v>40</v>
      </c>
      <c r="B114" s="3786"/>
      <c r="C114" s="3117" t="s">
        <v>2731</v>
      </c>
      <c r="D114" s="3091" t="s">
        <v>2732</v>
      </c>
      <c r="E114" s="3117">
        <v>0.1</v>
      </c>
      <c r="F114" s="3117">
        <v>15</v>
      </c>
    </row>
    <row r="115" spans="1:6" ht="13.5">
      <c r="A115" s="3117">
        <v>41</v>
      </c>
      <c r="B115" s="3784" t="s">
        <v>2733</v>
      </c>
      <c r="C115" s="3117" t="s">
        <v>2734</v>
      </c>
      <c r="D115" s="3091" t="s">
        <v>2735</v>
      </c>
      <c r="E115" s="3117">
        <v>0.1</v>
      </c>
      <c r="F115" s="3117">
        <v>15</v>
      </c>
    </row>
    <row r="116" spans="1:6" ht="13.5">
      <c r="A116" s="3117">
        <v>42</v>
      </c>
      <c r="B116" s="3784"/>
      <c r="C116" s="3117" t="s">
        <v>2736</v>
      </c>
      <c r="D116" s="3091" t="s">
        <v>2737</v>
      </c>
      <c r="E116" s="3117">
        <v>0.1</v>
      </c>
      <c r="F116" s="3117">
        <v>15</v>
      </c>
    </row>
    <row r="117" spans="1:6" ht="24">
      <c r="A117" s="3117">
        <v>43</v>
      </c>
      <c r="B117" s="3784"/>
      <c r="C117" s="3117" t="s">
        <v>2738</v>
      </c>
      <c r="D117" s="3091" t="s">
        <v>2739</v>
      </c>
      <c r="E117" s="3117">
        <v>0.1</v>
      </c>
      <c r="F117" s="3117">
        <v>15</v>
      </c>
    </row>
    <row r="118" spans="1:6" ht="13.5">
      <c r="A118" s="3117">
        <v>44</v>
      </c>
      <c r="B118" s="3785" t="s">
        <v>2740</v>
      </c>
      <c r="C118" s="3117" t="s">
        <v>2741</v>
      </c>
      <c r="D118" s="3091" t="s">
        <v>2742</v>
      </c>
      <c r="E118" s="3117">
        <v>0.1</v>
      </c>
      <c r="F118" s="3117">
        <v>15</v>
      </c>
    </row>
    <row r="119" spans="1:6" ht="24">
      <c r="A119" s="3117">
        <v>45</v>
      </c>
      <c r="B119" s="3786"/>
      <c r="C119" s="3091" t="s">
        <v>2743</v>
      </c>
      <c r="D119" s="3091" t="s">
        <v>2744</v>
      </c>
      <c r="E119" s="3117">
        <v>0.1</v>
      </c>
      <c r="F119" s="3117">
        <v>15</v>
      </c>
    </row>
    <row r="120" spans="1:6" ht="24">
      <c r="A120" s="3117">
        <v>46</v>
      </c>
      <c r="B120" s="3785" t="s">
        <v>2745</v>
      </c>
      <c r="C120" s="3117" t="s">
        <v>2746</v>
      </c>
      <c r="D120" s="3091" t="s">
        <v>2747</v>
      </c>
      <c r="E120" s="3117">
        <v>0.1</v>
      </c>
      <c r="F120" s="3117">
        <v>15</v>
      </c>
    </row>
    <row r="121" spans="1:6" ht="24">
      <c r="A121" s="3117">
        <v>47</v>
      </c>
      <c r="B121" s="3786"/>
      <c r="C121" s="3117" t="s">
        <v>2748</v>
      </c>
      <c r="D121" s="3091" t="s">
        <v>2749</v>
      </c>
      <c r="E121" s="3117">
        <v>0.1</v>
      </c>
      <c r="F121" s="3117">
        <v>15</v>
      </c>
    </row>
    <row r="122" spans="1:6" ht="13.5">
      <c r="A122" s="3117">
        <v>48</v>
      </c>
      <c r="B122" s="3785" t="s">
        <v>2750</v>
      </c>
      <c r="C122" s="3117" t="s">
        <v>2751</v>
      </c>
      <c r="D122" s="3091" t="s">
        <v>2752</v>
      </c>
      <c r="E122" s="3117">
        <v>0.1</v>
      </c>
      <c r="F122" s="3117">
        <v>15</v>
      </c>
    </row>
    <row r="123" spans="1:6" ht="13.5">
      <c r="A123" s="3117">
        <v>49</v>
      </c>
      <c r="B123" s="3786"/>
      <c r="C123" s="3117" t="s">
        <v>2753</v>
      </c>
      <c r="D123" s="3091" t="s">
        <v>2754</v>
      </c>
      <c r="E123" s="3117">
        <v>0.1</v>
      </c>
      <c r="F123" s="3117">
        <v>15</v>
      </c>
    </row>
    <row r="124" spans="1:6" ht="24">
      <c r="A124" s="3117">
        <v>50</v>
      </c>
      <c r="B124" s="3784" t="s">
        <v>2755</v>
      </c>
      <c r="C124" s="3117" t="s">
        <v>2756</v>
      </c>
      <c r="D124" s="3091" t="s">
        <v>2757</v>
      </c>
      <c r="E124" s="3117">
        <v>0.1</v>
      </c>
      <c r="F124" s="3117">
        <v>15</v>
      </c>
    </row>
    <row r="125" spans="1:6" ht="24">
      <c r="A125" s="3117">
        <v>51</v>
      </c>
      <c r="B125" s="3784"/>
      <c r="C125" s="3117" t="s">
        <v>2758</v>
      </c>
      <c r="D125" s="3091" t="s">
        <v>2759</v>
      </c>
      <c r="E125" s="3117">
        <v>0.1</v>
      </c>
      <c r="F125" s="3117">
        <v>15</v>
      </c>
    </row>
    <row r="126" spans="1:6" ht="24">
      <c r="A126" s="3117">
        <v>52</v>
      </c>
      <c r="B126" s="3784" t="s">
        <v>2760</v>
      </c>
      <c r="C126" s="3117" t="s">
        <v>2761</v>
      </c>
      <c r="D126" s="3091" t="s">
        <v>2762</v>
      </c>
      <c r="E126" s="3117">
        <v>0.1</v>
      </c>
      <c r="F126" s="3117">
        <v>15</v>
      </c>
    </row>
    <row r="127" spans="1:6" ht="24">
      <c r="A127" s="3117">
        <v>53</v>
      </c>
      <c r="B127" s="3784"/>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784" t="s">
        <v>2768</v>
      </c>
      <c r="C129" s="3117" t="s">
        <v>2769</v>
      </c>
      <c r="D129" s="3091" t="s">
        <v>2770</v>
      </c>
      <c r="E129" s="3117">
        <v>0.1</v>
      </c>
      <c r="F129" s="3117">
        <v>15</v>
      </c>
    </row>
    <row r="130" spans="1:6" ht="13.5">
      <c r="A130" s="3117">
        <v>56</v>
      </c>
      <c r="B130" s="3784"/>
      <c r="C130" s="3117" t="s">
        <v>2771</v>
      </c>
      <c r="D130" s="3091" t="s">
        <v>2772</v>
      </c>
      <c r="E130" s="3117">
        <v>0.1</v>
      </c>
      <c r="F130" s="3117">
        <v>15</v>
      </c>
    </row>
    <row r="131" spans="1:6" ht="24">
      <c r="A131" s="3117">
        <v>57</v>
      </c>
      <c r="B131" s="3784"/>
      <c r="C131" s="3117" t="s">
        <v>2773</v>
      </c>
      <c r="D131" s="3091" t="s">
        <v>2774</v>
      </c>
      <c r="E131" s="3117">
        <v>0.1</v>
      </c>
      <c r="F131" s="3117">
        <v>15</v>
      </c>
    </row>
    <row r="132" spans="1:6" ht="24">
      <c r="A132" s="3117">
        <v>58</v>
      </c>
      <c r="B132" s="3784" t="s">
        <v>2775</v>
      </c>
      <c r="C132" s="3117" t="s">
        <v>2776</v>
      </c>
      <c r="D132" s="3091" t="s">
        <v>2777</v>
      </c>
      <c r="E132" s="3117">
        <v>0.1</v>
      </c>
      <c r="F132" s="3117">
        <v>15</v>
      </c>
    </row>
    <row r="133" spans="1:6" ht="13.5">
      <c r="A133" s="3117">
        <v>59</v>
      </c>
      <c r="B133" s="3784"/>
      <c r="C133" s="3117" t="s">
        <v>2778</v>
      </c>
      <c r="D133" s="3091" t="s">
        <v>2779</v>
      </c>
      <c r="E133" s="3117">
        <v>0.1</v>
      </c>
      <c r="F133" s="3117">
        <v>15</v>
      </c>
    </row>
    <row r="134" spans="1:6" ht="13.5">
      <c r="A134" s="3117">
        <v>60</v>
      </c>
      <c r="B134" s="3785" t="s">
        <v>2780</v>
      </c>
      <c r="C134" s="3117" t="s">
        <v>2781</v>
      </c>
      <c r="D134" s="3091" t="s">
        <v>2782</v>
      </c>
      <c r="E134" s="3117">
        <v>0.1</v>
      </c>
      <c r="F134" s="3117">
        <v>15</v>
      </c>
    </row>
    <row r="135" spans="1:6" ht="13.5">
      <c r="A135" s="3117">
        <v>61</v>
      </c>
      <c r="B135" s="3786"/>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784" t="s">
        <v>2788</v>
      </c>
      <c r="C137" s="3117" t="s">
        <v>2789</v>
      </c>
      <c r="D137" s="3091" t="s">
        <v>2790</v>
      </c>
      <c r="E137" s="3117">
        <v>0.1</v>
      </c>
      <c r="F137" s="3117">
        <v>15</v>
      </c>
    </row>
    <row r="138" spans="1:6" ht="13.5">
      <c r="A138" s="3117">
        <v>64</v>
      </c>
      <c r="B138" s="3784"/>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2797</v>
      </c>
      <c r="B1" s="3126"/>
      <c r="C1" s="3126"/>
      <c r="D1" s="3126"/>
      <c r="E1" s="3126"/>
      <c r="F1" s="3126"/>
      <c r="G1" s="3126"/>
      <c r="H1" s="3126"/>
      <c r="I1" s="3126"/>
      <c r="J1" s="3126"/>
      <c r="K1" s="3126"/>
      <c r="L1" s="3126"/>
      <c r="M1" s="3126"/>
      <c r="N1" s="748"/>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49">
        <f>SUMPRODUCT((A95:A184=ROUNDDOWN(基准地价修正!G3,1))*(B94:M94=基准地价修正!G2)*(B95:M184))</f>
        <v>0</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49">
        <f>SUMPRODUCT((A371:A460=ROUNDDOWN(基准地价修正!G3,1))*(B370:M370=基准地价修正!G2)*(B371:M460))</f>
        <v>0</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2"/>
      <c r="B4" s="3481" t="s">
        <v>917</v>
      </c>
      <c r="C4" s="3481"/>
      <c r="D4" s="3481"/>
      <c r="E4" s="1492"/>
    </row>
    <row r="5" spans="1:5" ht="16.5" thickTop="1">
      <c r="A5" s="1490"/>
      <c r="B5" s="3479" t="s">
        <v>909</v>
      </c>
      <c r="C5" s="1493" t="s">
        <v>910</v>
      </c>
      <c r="D5" s="849">
        <f ca="1">结果表!H101</f>
        <v>827</v>
      </c>
      <c r="E5" s="1490"/>
    </row>
    <row r="6" spans="1:5" ht="15.75">
      <c r="A6" s="1490"/>
      <c r="B6" s="3479"/>
      <c r="C6" s="1493" t="s">
        <v>911</v>
      </c>
      <c r="D6" s="849" t="str">
        <f ca="1">NUMBERSTRING(INT(D5*10000),2)&amp;"元整"</f>
        <v>捌佰贰拾柒万元整</v>
      </c>
      <c r="E6" s="1490"/>
    </row>
    <row r="7" spans="1:5" ht="15.75">
      <c r="A7" s="1490"/>
      <c r="B7" s="3484"/>
      <c r="C7" s="1494" t="s">
        <v>912</v>
      </c>
      <c r="D7" s="850">
        <f ca="1">结果表!H102</f>
        <v>32429</v>
      </c>
      <c r="E7" s="1490"/>
    </row>
    <row r="8" spans="1:5" ht="15.75">
      <c r="A8" s="1490"/>
      <c r="B8" s="3485" t="str">
        <f>结果表!E103</f>
        <v>2.估价师知悉的法定优先受偿款</v>
      </c>
      <c r="C8" s="1495" t="s">
        <v>913</v>
      </c>
      <c r="D8" s="850">
        <f>结果表!H103</f>
        <v>0</v>
      </c>
      <c r="E8" s="1490"/>
    </row>
    <row r="9" spans="1:5" ht="15.75">
      <c r="A9" s="1490"/>
      <c r="B9" s="348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8" t="str">
        <f>结果表!E107</f>
        <v>3.房地产抵押价值</v>
      </c>
      <c r="C13" s="1498" t="s">
        <v>910</v>
      </c>
      <c r="D13" s="852">
        <f ca="1">结果表!H107</f>
        <v>827</v>
      </c>
      <c r="E13" s="1490"/>
    </row>
    <row r="14" spans="1:5" ht="15.75">
      <c r="A14" s="1490"/>
      <c r="B14" s="3479"/>
      <c r="C14" s="1493" t="s">
        <v>911</v>
      </c>
      <c r="D14" s="849" t="str">
        <f ca="1">NUMBERSTRING(INT(D13*10000),2)&amp;"元整"</f>
        <v>捌佰贰拾柒万元整</v>
      </c>
      <c r="E14" s="1490"/>
    </row>
    <row r="15" spans="1:5" ht="15">
      <c r="A15" s="1490"/>
      <c r="B15" s="3484"/>
      <c r="C15" s="1494" t="s">
        <v>921</v>
      </c>
      <c r="D15" s="858">
        <f ca="1">结果表!H108</f>
        <v>32429</v>
      </c>
      <c r="E15" s="1490"/>
    </row>
    <row r="16" spans="1:5" ht="15">
      <c r="A16" s="1490"/>
      <c r="B16" s="3485" t="str">
        <f>结果表!E109</f>
        <v>——</v>
      </c>
      <c r="C16" s="1498" t="s">
        <v>922</v>
      </c>
      <c r="D16" s="1499" t="str">
        <f>结果表!H109</f>
        <v>——</v>
      </c>
      <c r="E16" s="1490"/>
    </row>
    <row r="17" spans="1:5" ht="15.75">
      <c r="A17" s="1490"/>
      <c r="B17" s="3486"/>
      <c r="C17" s="1493" t="s">
        <v>923</v>
      </c>
      <c r="D17" s="849" t="e">
        <f>NUMBERSTRING(INT(D16*10000),2)&amp;"元整"</f>
        <v>#VALUE!</v>
      </c>
      <c r="E17" s="1490"/>
    </row>
    <row r="18" spans="1:5" ht="15">
      <c r="A18" s="1490"/>
      <c r="B18" s="3487"/>
      <c r="C18" s="1494" t="s">
        <v>912</v>
      </c>
      <c r="D18" s="858" t="str">
        <f>结果表!H110</f>
        <v>——</v>
      </c>
      <c r="E18" s="1490"/>
    </row>
    <row r="19" spans="1:5" ht="15.75">
      <c r="A19" s="1490"/>
      <c r="B19" s="3478" t="str">
        <f>结果表!E111</f>
        <v>——</v>
      </c>
      <c r="C19" s="1498" t="s">
        <v>910</v>
      </c>
      <c r="D19" s="850" t="str">
        <f>结果表!H111</f>
        <v>——</v>
      </c>
      <c r="E19" s="1490"/>
    </row>
    <row r="20" spans="1:5" ht="15.75">
      <c r="A20" s="1490"/>
      <c r="B20" s="3479"/>
      <c r="C20" s="1493" t="s">
        <v>923</v>
      </c>
      <c r="D20" s="849" t="e">
        <f>NUMBERSTRING(INT(D19*10000),2)&amp;"元整"</f>
        <v>#VALUE!</v>
      </c>
      <c r="E20" s="1490"/>
    </row>
    <row r="21" spans="1:5" ht="15.75" thickBot="1">
      <c r="A21" s="1490"/>
      <c r="B21" s="348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28025</v>
      </c>
      <c r="C2" s="2" t="s">
        <v>106</v>
      </c>
      <c r="D2" s="199"/>
      <c r="E2" s="199"/>
      <c r="F2" s="199"/>
      <c r="G2" s="199"/>
    </row>
    <row r="3" spans="1:7" s="200" customFormat="1" ht="18" customHeight="1" thickBot="1">
      <c r="A3" s="203" t="s">
        <v>58</v>
      </c>
      <c r="B3" s="204">
        <f ca="1">ROUND(B2*10000/'数据-汇总表'!E3,0)</f>
        <v>1098933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v>
      </c>
      <c r="D10" s="844">
        <f>'数据-汇总表'!E6</f>
        <v>255.02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255.02</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115</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255.02</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60" t="s">
        <v>94</v>
      </c>
    </row>
    <row r="43" spans="1:7" ht="13.5" customHeight="1">
      <c r="A43" s="779" t="s">
        <v>347</v>
      </c>
      <c r="B43" s="215" t="s">
        <v>426</v>
      </c>
      <c r="C43" s="238">
        <f ca="1">ROUND(IF('数据-取费表'!B22&lt;=1,C39*F22*'数据-取费表'!B21/2,C39*(POWER((1+F22),'数据-取费表'!B21/2)-1)),0)</f>
        <v>0</v>
      </c>
      <c r="D43" s="238"/>
      <c r="E43" s="238"/>
      <c r="F43" s="239"/>
      <c r="G43" s="3661"/>
    </row>
    <row r="44" spans="1:7" ht="13.5" customHeight="1">
      <c r="A44" s="779" t="s">
        <v>348</v>
      </c>
      <c r="B44" s="215" t="s">
        <v>428</v>
      </c>
      <c r="C44" s="238">
        <f ca="1">ROUND(IF('数据-取费表'!B22&lt;=1,C40*F22*'数据-取费表'!B21/2,C40*(POWER((1+F22),'数据-取费表'!B21/2)-1)),4)</f>
        <v>5.9999999999999995E-4</v>
      </c>
      <c r="D44" s="238"/>
      <c r="E44" s="238"/>
      <c r="F44" s="239"/>
      <c r="G44" s="3662"/>
    </row>
    <row r="45" spans="1:7" s="214" customFormat="1" ht="13.5" customHeight="1">
      <c r="A45" s="776" t="s">
        <v>341</v>
      </c>
      <c r="B45" s="244" t="s">
        <v>85</v>
      </c>
      <c r="C45" s="245">
        <f>C46</f>
        <v>20</v>
      </c>
      <c r="D45" s="235">
        <f>C47</f>
        <v>3.0000000000000001E-3</v>
      </c>
      <c r="E45" s="236" t="s">
        <v>102</v>
      </c>
      <c r="F45" s="246"/>
      <c r="G45" s="247" t="s">
        <v>434</v>
      </c>
    </row>
    <row r="46" spans="1:7" s="214" customFormat="1" ht="13.5" customHeight="1">
      <c r="A46" s="779" t="s">
        <v>349</v>
      </c>
      <c r="B46" s="248" t="s">
        <v>427</v>
      </c>
      <c r="C46" s="249">
        <f>ROUND((C33+C39)*F27,0)</f>
        <v>20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169</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132</v>
      </c>
      <c r="D51" s="232"/>
      <c r="E51" s="232"/>
      <c r="F51" s="264"/>
      <c r="G51" s="234" t="s">
        <v>37</v>
      </c>
    </row>
    <row r="52" spans="1:7" s="208" customFormat="1" ht="16.5" thickBot="1">
      <c r="A52" s="265" t="s">
        <v>38</v>
      </c>
      <c r="B52" s="266"/>
      <c r="C52" s="267">
        <f ca="1">C31+C51</f>
        <v>28025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3180</v>
      </c>
      <c r="B1" s="3798"/>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3231</v>
      </c>
      <c r="B1" s="3799"/>
      <c r="C1" s="3799"/>
      <c r="D1" s="3799"/>
      <c r="E1" s="3799"/>
      <c r="F1" s="3800"/>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45954</v>
      </c>
      <c r="B1" s="3209" t="s">
        <v>3375</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3400</v>
      </c>
      <c r="AG2" t="s">
        <v>673</v>
      </c>
      <c r="AH2" t="s">
        <v>21</v>
      </c>
      <c r="AI2" t="s">
        <v>3401</v>
      </c>
      <c r="AJ2" t="s">
        <v>3</v>
      </c>
      <c r="AK2" t="s">
        <v>3402</v>
      </c>
      <c r="AM2" t="s">
        <v>3400</v>
      </c>
      <c r="AN2" t="s">
        <v>673</v>
      </c>
      <c r="AO2" t="s">
        <v>21</v>
      </c>
      <c r="AP2" t="s">
        <v>3401</v>
      </c>
      <c r="AQ2" t="s">
        <v>3</v>
      </c>
      <c r="AR2" t="s">
        <v>3402</v>
      </c>
    </row>
    <row r="3" spans="1:44" s="3160" customFormat="1" ht="12.75">
      <c r="A3" s="3148" t="s">
        <v>2818</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3399</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3413</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3414</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3405</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3404</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01" t="s">
        <v>2826</v>
      </c>
      <c r="S29" s="3802"/>
      <c r="T29" s="3802"/>
      <c r="U29" s="3802"/>
      <c r="V29" s="3802"/>
      <c r="W29" s="3802"/>
      <c r="X29" s="3164"/>
      <c r="Y29" s="3801" t="s">
        <v>2827</v>
      </c>
      <c r="Z29" s="3802"/>
      <c r="AA29" s="3802"/>
      <c r="AB29" s="3802"/>
      <c r="AC29" s="3802"/>
      <c r="AD29" s="3802"/>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3401</v>
      </c>
      <c r="AJ30"/>
      <c r="AK30" t="s">
        <v>3402</v>
      </c>
      <c r="AN30" t="s">
        <v>673</v>
      </c>
      <c r="AO30" t="s">
        <v>21</v>
      </c>
      <c r="AP30" t="s">
        <v>3401</v>
      </c>
      <c r="AQ30"/>
      <c r="AR30" t="s">
        <v>3402</v>
      </c>
    </row>
    <row r="31" spans="1:44" s="3160" customFormat="1" ht="12.75">
      <c r="A31" s="3148" t="s">
        <v>2833</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3399</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3415</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3414</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3403</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3404</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3377</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6" t="s">
        <v>2838</v>
      </c>
      <c r="B1" s="3816"/>
      <c r="C1" s="3816"/>
      <c r="D1" s="3816"/>
      <c r="E1" s="3816"/>
      <c r="F1" s="3816"/>
      <c r="G1" s="3817"/>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14"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15"/>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45954</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36" sqref="O36"/>
    </sheetView>
  </sheetViews>
  <sheetFormatPr defaultRowHeight="13.5"/>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I66" sqref="I66"/>
    </sheetView>
  </sheetViews>
  <sheetFormatPr defaultRowHeight="13.5"/>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3" t="s">
        <v>925</v>
      </c>
      <c r="E3" s="853" t="s">
        <v>931</v>
      </c>
      <c r="F3" s="853" t="s">
        <v>925</v>
      </c>
      <c r="G3" s="853" t="s">
        <v>926</v>
      </c>
      <c r="H3" s="853" t="s">
        <v>925</v>
      </c>
      <c r="I3" s="853" t="s">
        <v>926</v>
      </c>
    </row>
    <row r="4" spans="1:9" ht="15">
      <c r="A4" s="1504" t="str">
        <f>项目基本情况!S2</f>
        <v>北京市东城区南竹杆胡同2号1幢14层51706等18套办公用房房地产</v>
      </c>
      <c r="B4" s="853">
        <f>项目基本情况!C17</f>
        <v>255.02</v>
      </c>
      <c r="C4" s="853">
        <f>项目基本情况!C18</f>
        <v>0</v>
      </c>
      <c r="D4" s="853">
        <f ca="1">结果表!D118</f>
        <v>624</v>
      </c>
      <c r="E4" s="853">
        <f ca="1">结果表!E118</f>
        <v>24451</v>
      </c>
      <c r="F4" s="853">
        <f ca="1">结果表!F118</f>
        <v>203</v>
      </c>
      <c r="G4" s="853">
        <f ca="1">结果表!G118</f>
        <v>7978</v>
      </c>
      <c r="H4" s="853">
        <f ca="1">结果表!H118</f>
        <v>827</v>
      </c>
      <c r="I4" s="853">
        <f ca="1">结果表!I118</f>
        <v>32429</v>
      </c>
    </row>
    <row r="5" spans="1:9" ht="30" customHeight="1">
      <c r="A5" s="3491" t="s">
        <v>927</v>
      </c>
      <c r="B5" s="3491"/>
      <c r="C5" s="3491"/>
      <c r="D5" s="3491" t="str">
        <f ca="1">结果表!D119</f>
        <v>陆佰贰拾肆万元整</v>
      </c>
      <c r="E5" s="3491"/>
      <c r="F5" s="3491" t="str">
        <f ca="1">结果表!F119</f>
        <v>贰佰零叁万元整</v>
      </c>
      <c r="G5" s="3491"/>
      <c r="H5" s="3491" t="str">
        <f ca="1">结果表!H119</f>
        <v>捌佰贰拾柒万元整</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f ca="1">结果表!D122</f>
        <v>827</v>
      </c>
      <c r="E8" s="3490"/>
      <c r="F8" s="3490"/>
      <c r="G8" s="3490"/>
      <c r="H8" s="3490"/>
      <c r="I8" s="3490"/>
    </row>
    <row r="9" spans="1:9" ht="15">
      <c r="A9" s="3491" t="s">
        <v>927</v>
      </c>
      <c r="B9" s="3491"/>
      <c r="C9" s="3491"/>
      <c r="D9" s="3491" t="str">
        <f ca="1">结果表!D123</f>
        <v>捌佰贰拾柒万元整</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1" t="s">
        <v>956</v>
      </c>
      <c r="B15" s="3506" t="s">
        <v>109</v>
      </c>
      <c r="C15" s="3507"/>
    </row>
    <row r="16" spans="1:7" ht="13.5">
      <c r="A16" s="3512"/>
      <c r="B16" s="3506" t="s">
        <v>42</v>
      </c>
      <c r="C16" s="3507"/>
    </row>
    <row r="17" spans="1:3" ht="13.5">
      <c r="A17" s="3512"/>
      <c r="B17" s="3509" t="s">
        <v>957</v>
      </c>
      <c r="C17" s="1531" t="s">
        <v>956</v>
      </c>
    </row>
    <row r="18" spans="1:3" ht="13.5">
      <c r="A18" s="3512"/>
      <c r="B18" s="3509"/>
      <c r="C18" s="1531" t="s">
        <v>958</v>
      </c>
    </row>
    <row r="19" spans="1:3" ht="13.5">
      <c r="A19" s="3512"/>
      <c r="B19" s="3509"/>
      <c r="C19" s="1531" t="s">
        <v>959</v>
      </c>
    </row>
    <row r="20" spans="1:3" ht="13.5">
      <c r="A20" s="3513"/>
      <c r="B20" s="3508" t="s">
        <v>960</v>
      </c>
      <c r="C20" s="3507"/>
    </row>
    <row r="21" spans="1:3" ht="13.5">
      <c r="A21" s="1532" t="s">
        <v>961</v>
      </c>
      <c r="B21" s="1533"/>
      <c r="C21" s="1534"/>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1" t="s">
        <v>967</v>
      </c>
    </row>
    <row r="26" spans="1:3" ht="13.5">
      <c r="A26" s="3510"/>
      <c r="B26" s="3509"/>
      <c r="C26" s="1531" t="s">
        <v>968</v>
      </c>
    </row>
    <row r="27" spans="1:3" ht="13.5">
      <c r="A27" s="3510"/>
      <c r="B27" s="3509"/>
      <c r="C27" s="1531" t="s">
        <v>969</v>
      </c>
    </row>
    <row r="28" spans="1:3" ht="13.5">
      <c r="A28" s="3510"/>
      <c r="B28" s="3509"/>
      <c r="C28" s="1531" t="s">
        <v>970</v>
      </c>
    </row>
    <row r="29" spans="1:3" ht="13.5">
      <c r="A29" s="3510"/>
      <c r="B29" s="3509"/>
      <c r="C29" s="1531" t="s">
        <v>971</v>
      </c>
    </row>
    <row r="30" spans="1:3" ht="13.5">
      <c r="A30" s="3510"/>
      <c r="B30" s="3509"/>
      <c r="C30" s="1531" t="s">
        <v>972</v>
      </c>
    </row>
    <row r="31" spans="1:3" ht="13.5">
      <c r="A31" s="3510"/>
      <c r="B31" s="3509"/>
      <c r="C31" s="1531" t="s">
        <v>973</v>
      </c>
    </row>
    <row r="32" spans="1:3" ht="13.5">
      <c r="A32" s="3510"/>
      <c r="B32" s="3509"/>
      <c r="C32" s="1531" t="s">
        <v>974</v>
      </c>
    </row>
    <row r="33" spans="1:3" ht="13.5">
      <c r="A33" s="3510"/>
      <c r="B33" s="350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42"/>
      <c r="E18" s="3516" t="s">
        <v>2161</v>
      </c>
      <c r="F18" s="3515"/>
      <c r="G18" s="351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2025-10-24T05:45:38Z</dcterms:modified>
</cp:coreProperties>
</file>