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询价-天使大厦\"/>
    </mc:Choice>
  </mc:AlternateContent>
  <xr:revisionPtr revIDLastSave="0" documentId="13_ncr:1_{5134FF7D-A43E-4D29-8163-4C9E12C91425}" xr6:coauthVersionLast="47" xr6:coauthVersionMax="47" xr10:uidLastSave="{00000000-0000-0000-0000-000000000000}"/>
  <bookViews>
    <workbookView xWindow="0" yWindow="0" windowWidth="19200" windowHeight="2100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Sheet1" sheetId="80" r:id="rId29"/>
    <sheet name="商业租金" sheetId="81" r:id="rId30"/>
    <sheet name="办公租金" sheetId="84" r:id="rId31"/>
    <sheet name="Sheet4" sheetId="82"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人">'[1]比较法-办公'!$A$62:$M$62</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我">'[1]比较法-办公'!$B$115:$M$115</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D104" i="33"/>
  <c r="E104" i="33" s="1"/>
  <c r="E48" i="34"/>
  <c r="M34" i="34"/>
  <c r="G51" i="34"/>
  <c r="E51" i="34"/>
  <c r="I48" i="34"/>
  <c r="G48" i="34"/>
  <c r="I34" i="34"/>
  <c r="G34" i="34"/>
  <c r="E34" i="34"/>
  <c r="G5" i="34"/>
  <c r="E5" i="34"/>
  <c r="H105" i="34"/>
  <c r="O30" i="33"/>
  <c r="O31" i="33"/>
  <c r="O32" i="33"/>
  <c r="O29" i="33"/>
  <c r="M32" i="33"/>
  <c r="M31" i="33"/>
  <c r="M30" i="33"/>
  <c r="M29" i="33"/>
  <c r="G33" i="33"/>
  <c r="G47" i="33"/>
  <c r="E47" i="33"/>
  <c r="F94" i="33" l="1"/>
  <c r="E94" i="33"/>
  <c r="D94" i="33"/>
  <c r="C94" i="33"/>
  <c r="I47" i="33"/>
  <c r="E5" i="33"/>
  <c r="H66" i="81"/>
  <c r="I5" i="34"/>
  <c r="E105" i="34"/>
  <c r="F105" i="34" s="1"/>
  <c r="G105" i="34" s="1"/>
  <c r="D105" i="34"/>
  <c r="C34" i="34"/>
  <c r="C33" i="33"/>
  <c r="I33" i="33"/>
  <c r="E33" i="33"/>
  <c r="I5" i="33"/>
  <c r="G5" i="33"/>
  <c r="F22" i="82" l="1"/>
  <c r="H18" i="82"/>
  <c r="H15" i="82" s="1"/>
  <c r="H17" i="82"/>
  <c r="G13" i="82"/>
  <c r="G14" i="82" s="1"/>
  <c r="F10" i="82"/>
  <c r="M9" i="82"/>
  <c r="L9" i="82"/>
  <c r="K9" i="82"/>
  <c r="N9" i="82" s="1"/>
  <c r="J9" i="82"/>
  <c r="I9" i="82"/>
  <c r="F9" i="82"/>
  <c r="F6" i="82"/>
  <c r="M5" i="82"/>
  <c r="L5" i="82"/>
  <c r="K5" i="82"/>
  <c r="N5" i="82" s="1"/>
  <c r="J5" i="82"/>
  <c r="I5" i="82"/>
  <c r="F5" i="82"/>
  <c r="M4" i="82"/>
  <c r="K4" i="82"/>
  <c r="N4" i="82" s="1"/>
  <c r="J4" i="82"/>
  <c r="I4" i="82"/>
  <c r="F4" i="82"/>
  <c r="E4" i="82"/>
  <c r="D4" i="82"/>
  <c r="B4" i="82"/>
  <c r="M3" i="82"/>
  <c r="M2" i="82"/>
  <c r="AY43" i="81"/>
  <c r="AR43" i="81"/>
  <c r="D43" i="81"/>
  <c r="AY42" i="81"/>
  <c r="AR42" i="81"/>
  <c r="AS42" i="81" s="1"/>
  <c r="D42" i="81"/>
  <c r="AY41" i="81"/>
  <c r="AR41" i="81"/>
  <c r="AS41" i="81" s="1"/>
  <c r="AT41" i="81" s="1"/>
  <c r="D41" i="81"/>
  <c r="AY40" i="81"/>
  <c r="AR40" i="81"/>
  <c r="AS40" i="81" s="1"/>
  <c r="AT40" i="81" s="1"/>
  <c r="D40" i="81"/>
  <c r="AY39" i="81"/>
  <c r="AT39" i="81"/>
  <c r="AY38" i="81"/>
  <c r="AT38" i="81"/>
  <c r="AY37" i="81"/>
  <c r="AT37" i="81"/>
  <c r="AY36" i="81"/>
  <c r="AT36" i="81"/>
  <c r="AY35" i="81"/>
  <c r="AT35" i="81"/>
  <c r="AY34" i="81"/>
  <c r="AT34" i="81"/>
  <c r="AX33" i="81"/>
  <c r="AY33" i="81" s="1"/>
  <c r="AS33" i="81"/>
  <c r="AT33" i="81" s="1"/>
  <c r="D33" i="81"/>
  <c r="L27" i="81"/>
  <c r="J27" i="81"/>
  <c r="L26" i="81"/>
  <c r="J26" i="81"/>
  <c r="K6" i="82" s="1"/>
  <c r="N6" i="82" s="1"/>
  <c r="L25" i="81"/>
  <c r="J25" i="81"/>
  <c r="K10" i="82" s="1"/>
  <c r="N10" i="82" s="1"/>
  <c r="L24" i="81"/>
  <c r="J24" i="81"/>
  <c r="L23" i="81"/>
  <c r="J23" i="81"/>
  <c r="L22" i="81"/>
  <c r="J22" i="81"/>
  <c r="L21" i="81"/>
  <c r="J21" i="81"/>
  <c r="L20" i="81"/>
  <c r="J20" i="81"/>
  <c r="L19" i="81"/>
  <c r="J19" i="81"/>
  <c r="L18" i="81"/>
  <c r="J18" i="81"/>
  <c r="L17" i="81"/>
  <c r="J17" i="81"/>
  <c r="L16" i="81"/>
  <c r="J16" i="81"/>
  <c r="L15" i="81"/>
  <c r="J15" i="81"/>
  <c r="L14" i="81"/>
  <c r="J14" i="81"/>
  <c r="L13" i="81"/>
  <c r="J13" i="81"/>
  <c r="L12" i="81"/>
  <c r="J12" i="81"/>
  <c r="L11" i="81"/>
  <c r="J11" i="81"/>
  <c r="L10" i="81"/>
  <c r="J10" i="81"/>
  <c r="L9" i="81"/>
  <c r="J9" i="81"/>
  <c r="L8" i="81"/>
  <c r="J8" i="81"/>
  <c r="L7" i="81"/>
  <c r="J7" i="81"/>
  <c r="L6" i="81"/>
  <c r="J6" i="81"/>
  <c r="L5" i="81"/>
  <c r="J5" i="81"/>
  <c r="L4" i="81"/>
  <c r="J4" i="81"/>
  <c r="L3" i="81"/>
  <c r="J3" i="81"/>
  <c r="AS43" i="81" l="1"/>
  <c r="AT43" i="81" s="1"/>
  <c r="G15" i="82"/>
  <c r="I14" i="82" s="1"/>
  <c r="AT42" i="81"/>
  <c r="R6" i="82"/>
  <c r="I15" i="82" l="1"/>
  <c r="I16" i="82" s="1"/>
  <c r="N2" i="82"/>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U46" i="79"/>
  <c r="AI46" i="79" s="1"/>
  <c r="AD47" i="79"/>
  <c r="U50" i="79"/>
  <c r="AI50" i="79" s="1"/>
  <c r="AD51" i="79"/>
  <c r="AR18" i="79"/>
  <c r="AR19" i="79" s="1"/>
  <c r="AR20" i="79" s="1"/>
  <c r="AR21" i="79" s="1"/>
  <c r="AR22" i="79" s="1"/>
  <c r="AR23" i="79" s="1"/>
  <c r="AR24" i="79" s="1"/>
  <c r="T35" i="79"/>
  <c r="T34" i="79"/>
  <c r="T33" i="79"/>
  <c r="W22" i="79"/>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T40" i="79"/>
  <c r="S48" i="79"/>
  <c r="AG48"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9" i="71"/>
  <c r="B40" i="71" s="1"/>
  <c r="S40" i="71" s="1"/>
  <c r="E38" i="71"/>
  <c r="E39" i="71" s="1"/>
  <c r="E40" i="71" s="1"/>
  <c r="U40" i="71" s="1"/>
  <c r="N68" i="71"/>
  <c r="E34" i="71"/>
  <c r="C30" i="71"/>
  <c r="X31" i="71"/>
  <c r="X34" i="71"/>
  <c r="F51" i="71"/>
  <c r="F52" i="71" s="1"/>
  <c r="V52" i="71" s="1"/>
  <c r="B28" i="71"/>
  <c r="B27" i="71" s="1"/>
  <c r="B26" i="71"/>
  <c r="D30" i="71"/>
  <c r="D47"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U21" i="37" s="1"/>
  <c r="F21" i="37"/>
  <c r="AA21" i="37" s="1"/>
  <c r="F84" i="34"/>
  <c r="G84" i="34" s="1"/>
  <c r="H21" i="34"/>
  <c r="AB21" i="34" s="1"/>
  <c r="H21" i="33"/>
  <c r="U21" i="33" s="1"/>
  <c r="F21" i="33"/>
  <c r="AA21" i="33" s="1"/>
  <c r="H1" i="69"/>
  <c r="AC25" i="40"/>
  <c r="W25" i="40"/>
  <c r="U25" i="40"/>
  <c r="U29" i="39"/>
  <c r="W18" i="36"/>
  <c r="AB21" i="37"/>
  <c r="S21" i="37"/>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C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AZ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G5"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AB34" i="35" s="1"/>
  <c r="B77" i="35"/>
  <c r="B75" i="35"/>
  <c r="J24" i="35" s="1"/>
  <c r="AC24" i="35" s="1"/>
  <c r="B73" i="35"/>
  <c r="J23" i="35" s="1"/>
  <c r="AC23" i="35" s="1"/>
  <c r="H23" i="35"/>
  <c r="U23" i="35" s="1"/>
  <c r="B57" i="35"/>
  <c r="B61" i="35"/>
  <c r="B59" i="35"/>
  <c r="B131" i="34"/>
  <c r="B129" i="34"/>
  <c r="B127" i="34"/>
  <c r="F45" i="34" s="1"/>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H43" i="34" s="1"/>
  <c r="E124" i="34"/>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c r="B88" i="33"/>
  <c r="F26" i="33" s="1"/>
  <c r="S26" i="33" s="1"/>
  <c r="J26" i="33"/>
  <c r="AC26" i="33" s="1"/>
  <c r="C23" i="33"/>
  <c r="C19" i="33"/>
  <c r="C17" i="33"/>
  <c r="C15" i="33"/>
  <c r="C15" i="21"/>
  <c r="D125" i="33"/>
  <c r="D123" i="33"/>
  <c r="J42" i="33" s="1"/>
  <c r="AC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J35" i="39"/>
  <c r="AC35" i="39" s="1"/>
  <c r="F35" i="39"/>
  <c r="AA35" i="39" s="1"/>
  <c r="U9" i="39"/>
  <c r="W40" i="39"/>
  <c r="U30" i="37"/>
  <c r="W31" i="37"/>
  <c r="E103" i="37"/>
  <c r="F103" i="37" s="1"/>
  <c r="G103" i="37" s="1"/>
  <c r="H103" i="37" s="1"/>
  <c r="I103" i="37" s="1"/>
  <c r="J103" i="37" s="1"/>
  <c r="K103" i="37" s="1"/>
  <c r="L103" i="37" s="1"/>
  <c r="M103" i="37" s="1"/>
  <c r="F29" i="36"/>
  <c r="AA29" i="36" s="1"/>
  <c r="F16" i="36"/>
  <c r="AA16" i="36" s="1"/>
  <c r="J33" i="36"/>
  <c r="AC33" i="36" s="1"/>
  <c r="H22" i="35"/>
  <c r="AB22" i="35" s="1"/>
  <c r="W28" i="35"/>
  <c r="U31" i="35"/>
  <c r="S31" i="35"/>
  <c r="U34" i="35"/>
  <c r="J35" i="34"/>
  <c r="U34" i="34"/>
  <c r="H39" i="33"/>
  <c r="AB39" i="33" s="1"/>
  <c r="S40" i="33"/>
  <c r="W39" i="33"/>
  <c r="S27" i="35"/>
  <c r="F11" i="40"/>
  <c r="AA11" i="40" s="1"/>
  <c r="H11" i="40"/>
  <c r="AB11" i="40"/>
  <c r="W8" i="40"/>
  <c r="AB39" i="40"/>
  <c r="U9" i="40"/>
  <c r="S34" i="40"/>
  <c r="U34" i="40"/>
  <c r="F42" i="39"/>
  <c r="AA42" i="39" s="1"/>
  <c r="F41" i="39"/>
  <c r="S41" i="39" s="1"/>
  <c r="H40" i="39"/>
  <c r="AB40" i="39" s="1"/>
  <c r="H39" i="39"/>
  <c r="U39" i="39" s="1"/>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W32" i="40"/>
  <c r="S44" i="39"/>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37" i="34"/>
  <c r="AA37" i="34" s="1"/>
  <c r="S35" i="34"/>
  <c r="F28" i="34"/>
  <c r="AA28" i="34" s="1"/>
  <c r="F25" i="34"/>
  <c r="S25" i="34" s="1"/>
  <c r="H23" i="34"/>
  <c r="J23" i="34"/>
  <c r="F19" i="34"/>
  <c r="AA19" i="34" s="1"/>
  <c r="H17" i="34"/>
  <c r="F15" i="34"/>
  <c r="AA15" i="34" s="1"/>
  <c r="J15" i="34"/>
  <c r="W15" i="34" s="1"/>
  <c r="H15" i="34"/>
  <c r="AB15" i="34" s="1"/>
  <c r="J28" i="34"/>
  <c r="W28" i="34" s="1"/>
  <c r="F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AB42" i="34"/>
  <c r="J40" i="34"/>
  <c r="F114" i="34"/>
  <c r="G114" i="34" s="1"/>
  <c r="H114" i="34" s="1"/>
  <c r="I114" i="34" s="1"/>
  <c r="J114" i="34" s="1"/>
  <c r="K114" i="34" s="1"/>
  <c r="L114" i="34" s="1"/>
  <c r="M114" i="34" s="1"/>
  <c r="H38" i="34"/>
  <c r="AB38"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H30" i="33"/>
  <c r="AB30" i="33" s="1"/>
  <c r="F30" i="33"/>
  <c r="J30" i="33"/>
  <c r="H44" i="33"/>
  <c r="J46" i="33"/>
  <c r="AC46" i="33" s="1"/>
  <c r="F46" i="33"/>
  <c r="AA46" i="33" s="1"/>
  <c r="H46" i="33"/>
  <c r="AB46" i="33"/>
  <c r="F13" i="34"/>
  <c r="AA13" i="34" s="1"/>
  <c r="J29" i="34"/>
  <c r="F29" i="34"/>
  <c r="S29" i="34" s="1"/>
  <c r="H29" i="34"/>
  <c r="AB29" i="34" s="1"/>
  <c r="F31" i="34"/>
  <c r="S31" i="34" s="1"/>
  <c r="J45" i="34"/>
  <c r="W45" i="34" s="1"/>
  <c r="F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J36" i="37"/>
  <c r="AC36" i="37" s="1"/>
  <c r="J10" i="36"/>
  <c r="AC10" i="36" s="1"/>
  <c r="S11" i="36"/>
  <c r="S45" i="33"/>
  <c r="AC28" i="21"/>
  <c r="BA586" i="3"/>
  <c r="F17" i="21"/>
  <c r="AA17" i="21" s="1"/>
  <c r="H17" i="21"/>
  <c r="AB17" i="21" s="1"/>
  <c r="F15" i="21"/>
  <c r="S15" i="21" s="1"/>
  <c r="J41" i="39"/>
  <c r="W41" i="39" s="1"/>
  <c r="W44" i="39"/>
  <c r="S35" i="39"/>
  <c r="G544" i="3"/>
  <c r="G540" i="3"/>
  <c r="G535" i="3"/>
  <c r="G532" i="3"/>
  <c r="G531" i="3"/>
  <c r="G527" i="3"/>
  <c r="G523" i="3"/>
  <c r="G518" i="3"/>
  <c r="G510" i="3"/>
  <c r="G508" i="3"/>
  <c r="G504" i="3"/>
  <c r="G496" i="3"/>
  <c r="G584" i="3"/>
  <c r="G580" i="3"/>
  <c r="G576" i="3"/>
  <c r="G572" i="3"/>
  <c r="G568" i="3"/>
  <c r="G564" i="3"/>
  <c r="G554" i="3"/>
  <c r="G550" i="3"/>
  <c r="BL576" i="3"/>
  <c r="BL568" i="3"/>
  <c r="BL560" i="3"/>
  <c r="BL554" i="3"/>
  <c r="BL546" i="3"/>
  <c r="BL538" i="3"/>
  <c r="BL534" i="3"/>
  <c r="BL530" i="3"/>
  <c r="BL522" i="3"/>
  <c r="AZ522" i="3" s="1"/>
  <c r="BL516" i="3"/>
  <c r="BL512" i="3"/>
  <c r="BL502" i="3"/>
  <c r="BL498" i="3"/>
  <c r="BL494" i="3"/>
  <c r="BL578" i="3"/>
  <c r="BL570" i="3"/>
  <c r="BL562" i="3"/>
  <c r="BL556" i="3"/>
  <c r="BL552" i="3"/>
  <c r="BL540" i="3"/>
  <c r="AZ540" i="3" s="1"/>
  <c r="BL536" i="3"/>
  <c r="G533" i="3"/>
  <c r="G529" i="3"/>
  <c r="BL528" i="3"/>
  <c r="G525" i="3"/>
  <c r="BL518" i="3"/>
  <c r="BL514" i="3"/>
  <c r="BL510" i="3"/>
  <c r="BL500" i="3"/>
  <c r="BL496" i="3"/>
  <c r="G493" i="3"/>
  <c r="BA582" i="3"/>
  <c r="BA578" i="3"/>
  <c r="BA574" i="3"/>
  <c r="AZ574" i="3" s="1"/>
  <c r="BA570" i="3"/>
  <c r="AZ570" i="3" s="1"/>
  <c r="BA566" i="3"/>
  <c r="AZ566" i="3" s="1"/>
  <c r="BA564" i="3"/>
  <c r="BA562" i="3"/>
  <c r="BA558" i="3"/>
  <c r="AZ558" i="3" s="1"/>
  <c r="BA556" i="3"/>
  <c r="AZ556" i="3" s="1"/>
  <c r="BA554" i="3"/>
  <c r="AZ554" i="3" s="1"/>
  <c r="BA552" i="3"/>
  <c r="AZ552" i="3" s="1"/>
  <c r="BA548" i="3"/>
  <c r="BA546" i="3"/>
  <c r="BA544" i="3"/>
  <c r="AZ544" i="3" s="1"/>
  <c r="BA542" i="3"/>
  <c r="AZ542" i="3" s="1"/>
  <c r="BA540" i="3"/>
  <c r="AZ538" i="3"/>
  <c r="BA536" i="3"/>
  <c r="AZ536" i="3"/>
  <c r="AZ534" i="3"/>
  <c r="BA532" i="3"/>
  <c r="BA528" i="3"/>
  <c r="AZ528" i="3" s="1"/>
  <c r="BA526" i="3"/>
  <c r="BA524" i="3"/>
  <c r="BA520" i="3"/>
  <c r="BA518" i="3"/>
  <c r="BA516" i="3"/>
  <c r="AZ516" i="3" s="1"/>
  <c r="BA512" i="3"/>
  <c r="AZ512" i="3" s="1"/>
  <c r="BA510" i="3"/>
  <c r="AZ510" i="3" s="1"/>
  <c r="BA508" i="3"/>
  <c r="AZ508" i="3" s="1"/>
  <c r="BA506" i="3"/>
  <c r="BA504" i="3"/>
  <c r="AZ504" i="3" s="1"/>
  <c r="BA502" i="3"/>
  <c r="BA500" i="3"/>
  <c r="AZ500" i="3" s="1"/>
  <c r="BA498" i="3"/>
  <c r="AZ498" i="3" s="1"/>
  <c r="BA496" i="3"/>
  <c r="BA494" i="3"/>
  <c r="AZ494" i="3" s="1"/>
  <c r="BA583" i="3"/>
  <c r="BA579" i="3"/>
  <c r="BA575" i="3"/>
  <c r="AZ575" i="3" s="1"/>
  <c r="BA571" i="3"/>
  <c r="BA567" i="3"/>
  <c r="BA565" i="3"/>
  <c r="BA563" i="3"/>
  <c r="BA559" i="3"/>
  <c r="BA555" i="3"/>
  <c r="BA553" i="3"/>
  <c r="BA547" i="3"/>
  <c r="BA545" i="3"/>
  <c r="BA543" i="3"/>
  <c r="BA539" i="3"/>
  <c r="BA537" i="3"/>
  <c r="BA535" i="3"/>
  <c r="BA531" i="3"/>
  <c r="BA529" i="3"/>
  <c r="BA527" i="3"/>
  <c r="AZ527" i="3" s="1"/>
  <c r="BA523" i="3"/>
  <c r="BA519" i="3"/>
  <c r="BA517" i="3"/>
  <c r="BA513" i="3"/>
  <c r="BA511" i="3"/>
  <c r="BA507" i="3"/>
  <c r="BA503" i="3"/>
  <c r="AZ503" i="3" s="1"/>
  <c r="BA501" i="3"/>
  <c r="BA499" i="3"/>
  <c r="BA495" i="3"/>
  <c r="BA493" i="3"/>
  <c r="G581" i="3"/>
  <c r="G577" i="3"/>
  <c r="G575" i="3"/>
  <c r="G573" i="3"/>
  <c r="G571" i="3"/>
  <c r="G569" i="3"/>
  <c r="G567" i="3"/>
  <c r="G565" i="3"/>
  <c r="G563" i="3"/>
  <c r="G561" i="3"/>
  <c r="BA557" i="3"/>
  <c r="AZ557" i="3" s="1"/>
  <c r="AC557" i="3"/>
  <c r="G557" i="3" s="1"/>
  <c r="BQ557" i="3"/>
  <c r="BL557" i="3" s="1"/>
  <c r="BQ583" i="3"/>
  <c r="BQ581" i="3"/>
  <c r="BQ579" i="3"/>
  <c r="BQ577" i="3"/>
  <c r="BL577" i="3" s="1"/>
  <c r="AZ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Q535" i="3"/>
  <c r="BL535" i="3" s="1"/>
  <c r="AZ535" i="3" s="1"/>
  <c r="BQ533" i="3"/>
  <c r="BL533" i="3"/>
  <c r="BQ531" i="3"/>
  <c r="BQ529" i="3"/>
  <c r="BL529" i="3" s="1"/>
  <c r="BQ527" i="3"/>
  <c r="BL527" i="3" s="1"/>
  <c r="BQ525" i="3"/>
  <c r="BL525" i="3" s="1"/>
  <c r="AZ525" i="3" s="1"/>
  <c r="BQ523" i="3"/>
  <c r="BL523" i="3" s="1"/>
  <c r="AC521" i="3"/>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s="1"/>
  <c r="AZ505" i="3" s="1"/>
  <c r="BQ503" i="3"/>
  <c r="BL503" i="3" s="1"/>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c r="H19" i="37"/>
  <c r="AB19" i="37" s="1"/>
  <c r="H42" i="33"/>
  <c r="AB42" i="33" s="1"/>
  <c r="S28" i="31"/>
  <c r="S27" i="31"/>
  <c r="S26" i="31"/>
  <c r="U14" i="40"/>
  <c r="W23" i="35"/>
  <c r="U26" i="37"/>
  <c r="AA13" i="33"/>
  <c r="AC31" i="33"/>
  <c r="AC45" i="33"/>
  <c r="U19" i="21"/>
  <c r="W44" i="21"/>
  <c r="AB38" i="2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M5" i="3"/>
  <c r="BJ5" i="3"/>
  <c r="BH5" i="3"/>
  <c r="BD5" i="3"/>
  <c r="AZ341" i="3"/>
  <c r="AZ506" i="3"/>
  <c r="AZ496" i="3"/>
  <c r="G548" i="3"/>
  <c r="G538" i="3"/>
  <c r="G520" i="3"/>
  <c r="G502" i="3"/>
  <c r="BS5" i="3"/>
  <c r="BN5" i="3"/>
  <c r="BK5" i="3"/>
  <c r="BI5" i="3"/>
  <c r="BE5" i="3"/>
  <c r="BC5" i="3"/>
  <c r="G17" i="3"/>
  <c r="BA17" i="3"/>
  <c r="BT5" i="3"/>
  <c r="AZ356" i="3"/>
  <c r="BA15" i="3"/>
  <c r="BB5" i="3"/>
  <c r="BR5" i="3"/>
  <c r="AZ392" i="3"/>
  <c r="AZ499" i="3"/>
  <c r="AZ509" i="3"/>
  <c r="G509" i="3"/>
  <c r="BL493" i="3"/>
  <c r="AZ493" i="3" s="1"/>
  <c r="U36" i="40"/>
  <c r="F83" i="43"/>
  <c r="H85" i="43" s="1"/>
  <c r="F50" i="43"/>
  <c r="H54" i="43" s="1"/>
  <c r="F72" i="43"/>
  <c r="H75" i="43" s="1"/>
  <c r="U17" i="39"/>
  <c r="S14" i="35"/>
  <c r="U43" i="21"/>
  <c r="U35" i="21"/>
  <c r="AC11" i="39"/>
  <c r="AZ563" i="3"/>
  <c r="AZ501" i="3"/>
  <c r="W37" i="37"/>
  <c r="S15" i="37"/>
  <c r="U12" i="40"/>
  <c r="AA12" i="40"/>
  <c r="J37" i="33"/>
  <c r="W37" i="33" s="1"/>
  <c r="F106" i="33"/>
  <c r="G106" i="33" s="1"/>
  <c r="H106" i="33" s="1"/>
  <c r="I106" i="33" s="1"/>
  <c r="J106" i="33" s="1"/>
  <c r="K106" i="33" s="1"/>
  <c r="L106" i="33" s="1"/>
  <c r="M106" i="33" s="1"/>
  <c r="J34" i="33"/>
  <c r="W34" i="33"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C40" i="11"/>
  <c r="AZ227" i="3"/>
  <c r="AZ235" i="3"/>
  <c r="AZ251" i="3"/>
  <c r="AZ72" i="3"/>
  <c r="F23" i="39"/>
  <c r="AA23" i="39" s="1"/>
  <c r="H27" i="36"/>
  <c r="U27" i="36" s="1"/>
  <c r="F27" i="36"/>
  <c r="AA27" i="36" s="1"/>
  <c r="F32" i="37"/>
  <c r="AA32" i="37" s="1"/>
  <c r="G96" i="37"/>
  <c r="H96" i="37" s="1"/>
  <c r="I96" i="37" s="1"/>
  <c r="J96" i="37" s="1"/>
  <c r="K96" i="37" s="1"/>
  <c r="L96" i="37" s="1"/>
  <c r="M96" i="37" s="1"/>
  <c r="F20" i="36"/>
  <c r="AA20" i="36" s="1"/>
  <c r="H23" i="39"/>
  <c r="U23" i="39" s="1"/>
  <c r="D48" i="9"/>
  <c r="M52" i="9" s="1"/>
  <c r="K9" i="1"/>
  <c r="M9" i="1" s="1"/>
  <c r="D93" i="9"/>
  <c r="K6" i="1"/>
  <c r="AP6" i="1" s="1"/>
  <c r="W26" i="33"/>
  <c r="W27" i="34"/>
  <c r="AC27" i="34"/>
  <c r="AB33" i="36"/>
  <c r="U33" i="36"/>
  <c r="AC12" i="39"/>
  <c r="W12" i="39"/>
  <c r="AC39" i="40"/>
  <c r="W39" i="40"/>
  <c r="AZ586" i="3"/>
  <c r="W12" i="33"/>
  <c r="AC12" i="33"/>
  <c r="AA32" i="36"/>
  <c r="S32" i="36"/>
  <c r="AZ473" i="3"/>
  <c r="BL14" i="3"/>
  <c r="U30" i="33"/>
  <c r="W28" i="37"/>
  <c r="S19" i="39"/>
  <c r="F12" i="33"/>
  <c r="H12" i="39"/>
  <c r="AB12" i="39"/>
  <c r="F39" i="40"/>
  <c r="BA14" i="3"/>
  <c r="AZ367" i="3"/>
  <c r="AZ286" i="3"/>
  <c r="B12" i="1"/>
  <c r="E12" i="1" s="1"/>
  <c r="B10" i="1"/>
  <c r="E10" i="1" s="1"/>
  <c r="K12" i="1"/>
  <c r="M12" i="1" s="1"/>
  <c r="S13" i="1"/>
  <c r="AR13" i="1" s="1"/>
  <c r="R13" i="1"/>
  <c r="J51" i="67"/>
  <c r="B41" i="1"/>
  <c r="F48" i="9" s="1"/>
  <c r="O52" i="9" s="1"/>
  <c r="AB37" i="40"/>
  <c r="S35" i="40"/>
  <c r="U35" i="40"/>
  <c r="AC36" i="40"/>
  <c r="AA32" i="40"/>
  <c r="S17" i="40"/>
  <c r="S23" i="40"/>
  <c r="AC17" i="40"/>
  <c r="AC15" i="40"/>
  <c r="AB27" i="40"/>
  <c r="S30" i="40"/>
  <c r="AA19" i="40"/>
  <c r="S28" i="40"/>
  <c r="AA27" i="40"/>
  <c r="AB19" i="40"/>
  <c r="U37"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39" i="34"/>
  <c r="W41" i="34"/>
  <c r="AC42" i="34"/>
  <c r="AB35" i="34"/>
  <c r="AB41" i="34"/>
  <c r="AA25" i="34"/>
  <c r="U28" i="34"/>
  <c r="AA29" i="34"/>
  <c r="U27" i="34"/>
  <c r="S23" i="34"/>
  <c r="S13" i="34"/>
  <c r="H10" i="34"/>
  <c r="AB10" i="34" s="1"/>
  <c r="F11" i="34"/>
  <c r="S11" i="34" s="1"/>
  <c r="F70" i="34"/>
  <c r="S27" i="33"/>
  <c r="W38" i="33"/>
  <c r="H41" i="33"/>
  <c r="F121" i="33"/>
  <c r="G121" i="33" s="1"/>
  <c r="H121" i="33" s="1"/>
  <c r="I121" i="33" s="1"/>
  <c r="J121" i="33" s="1"/>
  <c r="K121" i="33" s="1"/>
  <c r="L121" i="33" s="1"/>
  <c r="M121" i="33" s="1"/>
  <c r="G108" i="33"/>
  <c r="H108" i="33" s="1"/>
  <c r="I108" i="33" s="1"/>
  <c r="J108" i="33" s="1"/>
  <c r="K108" i="33" s="1"/>
  <c r="L108" i="33" s="1"/>
  <c r="M108" i="33" s="1"/>
  <c r="S37" i="33"/>
  <c r="AA37" i="33"/>
  <c r="S39" i="33"/>
  <c r="F101" i="33"/>
  <c r="G101" i="33"/>
  <c r="H101" i="33" s="1"/>
  <c r="I101" i="33" s="1"/>
  <c r="J101" i="33" s="1"/>
  <c r="K101" i="33" s="1"/>
  <c r="L101" i="33" s="1"/>
  <c r="M101" i="33" s="1"/>
  <c r="J32" i="33"/>
  <c r="AC32" i="33" s="1"/>
  <c r="S46" i="33"/>
  <c r="F91" i="33"/>
  <c r="H27" i="33"/>
  <c r="AB27" i="33" s="1"/>
  <c r="F87" i="33"/>
  <c r="H25" i="33"/>
  <c r="F25" i="33"/>
  <c r="S25" i="33" s="1"/>
  <c r="J23" i="33"/>
  <c r="AC23" i="33" s="1"/>
  <c r="F85" i="33"/>
  <c r="H23" i="33"/>
  <c r="U23" i="33" s="1"/>
  <c r="F81" i="33"/>
  <c r="G81" i="33" s="1"/>
  <c r="F19" i="33"/>
  <c r="S19" i="33" s="1"/>
  <c r="W19" i="33"/>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A31" i="34"/>
  <c r="AA30" i="34"/>
  <c r="AC14" i="34"/>
  <c r="AC32" i="34"/>
  <c r="AC29" i="34"/>
  <c r="W29" i="34"/>
  <c r="W46" i="34"/>
  <c r="AC46" i="34"/>
  <c r="S32" i="34"/>
  <c r="AA32" i="34"/>
  <c r="U30" i="34"/>
  <c r="AB30" i="34"/>
  <c r="U38" i="34"/>
  <c r="AC40" i="34"/>
  <c r="W40" i="34"/>
  <c r="AA8" i="34"/>
  <c r="S8" i="34"/>
  <c r="S46" i="34"/>
  <c r="AA46" i="34"/>
  <c r="U32" i="34"/>
  <c r="AB32" i="34"/>
  <c r="U14" i="34"/>
  <c r="AB14" i="34"/>
  <c r="W23" i="34"/>
  <c r="AC23" i="34"/>
  <c r="AC35" i="34"/>
  <c r="W35" i="34"/>
  <c r="U12" i="34"/>
  <c r="AB12" i="34"/>
  <c r="W46" i="33"/>
  <c r="U39" i="33"/>
  <c r="U38" i="33"/>
  <c r="U44" i="33"/>
  <c r="AB44" i="33"/>
  <c r="S30" i="33"/>
  <c r="AA30"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U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U19" i="33" s="1"/>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W25" i="33"/>
  <c r="AC25" i="33"/>
  <c r="U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F36" i="15"/>
  <c r="B8" i="76"/>
  <c r="B9" i="76"/>
  <c r="F8" i="67"/>
  <c r="D6" i="73"/>
  <c r="B10" i="76"/>
  <c r="C76" i="67"/>
  <c r="F16" i="15"/>
  <c r="E2" i="68"/>
  <c r="M26" i="67"/>
  <c r="M6" i="67"/>
  <c r="F20" i="31"/>
  <c r="C19" i="9"/>
  <c r="E9" i="76"/>
  <c r="F7" i="67"/>
  <c r="M8" i="67"/>
  <c r="L48" i="67"/>
  <c r="M28" i="15"/>
  <c r="F5" i="73"/>
  <c r="M29" i="67"/>
  <c r="D19" i="9"/>
  <c r="F4" i="73"/>
  <c r="J15" i="15"/>
  <c r="E8" i="76"/>
  <c r="F6" i="73"/>
  <c r="F6" i="67"/>
  <c r="F3" i="73"/>
  <c r="E7" i="76"/>
  <c r="E2" i="69"/>
  <c r="M29" i="15"/>
  <c r="L47" i="15"/>
  <c r="AO13" i="1"/>
  <c r="F13" i="15"/>
  <c r="F38" i="67"/>
  <c r="F42" i="67"/>
  <c r="F9" i="15"/>
  <c r="E13" i="76"/>
  <c r="F26" i="15"/>
  <c r="F6" i="15"/>
  <c r="J15" i="67"/>
  <c r="D20" i="9"/>
  <c r="B12" i="76"/>
  <c r="L47" i="67"/>
  <c r="M24" i="15"/>
  <c r="F16" i="67"/>
  <c r="F43" i="67"/>
  <c r="F13" i="67"/>
  <c r="F37" i="15"/>
  <c r="M28" i="67"/>
  <c r="C20" i="9"/>
  <c r="F37" i="67"/>
  <c r="F7" i="73"/>
  <c r="M9" i="15"/>
  <c r="M23" i="67"/>
  <c r="F40" i="67"/>
  <c r="M22" i="15"/>
  <c r="D34" i="9"/>
  <c r="E11" i="76"/>
  <c r="F9" i="67"/>
  <c r="M24" i="67"/>
  <c r="M26" i="15"/>
  <c r="F40" i="15"/>
  <c r="M22" i="67"/>
  <c r="E10" i="76"/>
  <c r="E12" i="76"/>
  <c r="F26" i="67"/>
  <c r="D35" i="9"/>
  <c r="B11" i="76"/>
  <c r="B7" i="76"/>
  <c r="F8" i="15"/>
  <c r="M23" i="15"/>
  <c r="S28" i="33" l="1"/>
  <c r="AB28" i="33"/>
  <c r="AC28" i="33"/>
  <c r="AB21" i="33"/>
  <c r="S21" i="33"/>
  <c r="AB19" i="33"/>
  <c r="J36" i="34"/>
  <c r="W36" i="34" s="1"/>
  <c r="H36" i="34"/>
  <c r="U36" i="34" s="1"/>
  <c r="F36" i="34"/>
  <c r="J35" i="33"/>
  <c r="W35" i="33" s="1"/>
  <c r="U25" i="34"/>
  <c r="J43" i="33"/>
  <c r="AC43" i="33" s="1"/>
  <c r="F43" i="33"/>
  <c r="AA43" i="33" s="1"/>
  <c r="E125" i="33"/>
  <c r="AC37" i="33"/>
  <c r="AB36" i="34"/>
  <c r="U39" i="34"/>
  <c r="AC44" i="34"/>
  <c r="W25" i="34"/>
  <c r="S21" i="34"/>
  <c r="U21" i="34"/>
  <c r="S19" i="34"/>
  <c r="W19" i="34"/>
  <c r="S17" i="34"/>
  <c r="AC17" i="34"/>
  <c r="U15" i="34"/>
  <c r="AC15" i="34"/>
  <c r="U35" i="33"/>
  <c r="W32" i="33"/>
  <c r="S32" i="33"/>
  <c r="AB34" i="33"/>
  <c r="AA34" i="33"/>
  <c r="AC34" i="33"/>
  <c r="U32" i="33"/>
  <c r="W43" i="33"/>
  <c r="AB8" i="34"/>
  <c r="AB43" i="34"/>
  <c r="U43" i="34"/>
  <c r="F43" i="34"/>
  <c r="AA43" i="34" s="1"/>
  <c r="J43" i="34"/>
  <c r="W43" i="34" s="1"/>
  <c r="S33" i="33"/>
  <c r="W33" i="33"/>
  <c r="W8" i="34"/>
  <c r="S37" i="34"/>
  <c r="F33" i="34"/>
  <c r="S33" i="34" s="1"/>
  <c r="J33" i="34"/>
  <c r="AC33" i="34" s="1"/>
  <c r="H33" i="34"/>
  <c r="U33" i="34" s="1"/>
  <c r="F79" i="33"/>
  <c r="G79" i="33" s="1"/>
  <c r="H17" i="33"/>
  <c r="U17" i="33" s="1"/>
  <c r="F17" i="33"/>
  <c r="AA17" i="33" s="1"/>
  <c r="J17" i="33"/>
  <c r="AC17" i="33" s="1"/>
  <c r="W42" i="33"/>
  <c r="S42" i="33"/>
  <c r="U42" i="33"/>
  <c r="H111" i="33"/>
  <c r="I111" i="33" s="1"/>
  <c r="J111" i="33" s="1"/>
  <c r="K111" i="33" s="1"/>
  <c r="L111" i="33" s="1"/>
  <c r="M111" i="33" s="1"/>
  <c r="F36" i="33"/>
  <c r="AA36" i="33" s="1"/>
  <c r="AB29" i="33"/>
  <c r="AA29" i="33"/>
  <c r="AA26" i="33"/>
  <c r="U26" i="33"/>
  <c r="AA33" i="34"/>
  <c r="S45" i="34"/>
  <c r="AA45" i="34"/>
  <c r="AC45" i="34"/>
  <c r="H45" i="34"/>
  <c r="W15" i="33"/>
  <c r="U15" i="33"/>
  <c r="U11" i="33"/>
  <c r="AB36" i="33"/>
  <c r="G29" i="6"/>
  <c r="BP5" i="3"/>
  <c r="M47" i="9"/>
  <c r="C7" i="35"/>
  <c r="C48" i="35" s="1"/>
  <c r="D48" i="35" s="1"/>
  <c r="C7" i="34"/>
  <c r="C7" i="40"/>
  <c r="C63" i="40" s="1"/>
  <c r="C7" i="39"/>
  <c r="C67" i="39" s="1"/>
  <c r="C42" i="1"/>
  <c r="C24" i="12" s="1"/>
  <c r="C7" i="37"/>
  <c r="C52" i="37" s="1"/>
  <c r="D52" i="37" s="1"/>
  <c r="W9" i="21"/>
  <c r="AC9" i="21"/>
  <c r="AA13" i="21"/>
  <c r="S13" i="21"/>
  <c r="AC27" i="33"/>
  <c r="AC23" i="37"/>
  <c r="D6" i="52"/>
  <c r="AA23" i="37"/>
  <c r="S17" i="37"/>
  <c r="W27" i="40"/>
  <c r="U32" i="37"/>
  <c r="AB20" i="36"/>
  <c r="U25" i="39"/>
  <c r="U21" i="40"/>
  <c r="AZ334" i="3"/>
  <c r="AZ347" i="3"/>
  <c r="AZ344" i="3"/>
  <c r="AZ336" i="3"/>
  <c r="AZ305" i="3"/>
  <c r="AZ380" i="3"/>
  <c r="AZ360" i="3"/>
  <c r="AC5" i="3"/>
  <c r="G521" i="3"/>
  <c r="AZ513" i="3"/>
  <c r="S47" i="34"/>
  <c r="AA47" i="34"/>
  <c r="U17" i="34"/>
  <c r="AB17" i="34"/>
  <c r="B101" i="43"/>
  <c r="B79" i="43"/>
  <c r="AB33" i="33"/>
  <c r="U33" i="33"/>
  <c r="J14" i="33"/>
  <c r="F14" i="33"/>
  <c r="F44" i="33"/>
  <c r="J44" i="33"/>
  <c r="J13" i="34"/>
  <c r="H13" i="34"/>
  <c r="U13" i="34" s="1"/>
  <c r="H31" i="34"/>
  <c r="J31" i="34"/>
  <c r="H47" i="34"/>
  <c r="J47" i="34"/>
  <c r="AC22" i="35"/>
  <c r="W22" i="35"/>
  <c r="AC28" i="36"/>
  <c r="W28" i="36"/>
  <c r="J39" i="37"/>
  <c r="H39" i="37"/>
  <c r="F39" i="37"/>
  <c r="S39" i="37" s="1"/>
  <c r="J37" i="39"/>
  <c r="F37" i="39"/>
  <c r="AA38" i="39"/>
  <c r="S38" i="39"/>
  <c r="H36" i="39"/>
  <c r="J36" i="39"/>
  <c r="AC36" i="39" s="1"/>
  <c r="F36" i="39"/>
  <c r="BL584" i="3"/>
  <c r="BA584" i="3"/>
  <c r="BL582" i="3"/>
  <c r="AZ582" i="3" s="1"/>
  <c r="BL581" i="3"/>
  <c r="BA581" i="3"/>
  <c r="AZ580" i="3"/>
  <c r="AZ576" i="3"/>
  <c r="AZ572" i="3"/>
  <c r="AA35" i="33"/>
  <c r="S32" i="37"/>
  <c r="S20" i="35"/>
  <c r="AZ14" i="3"/>
  <c r="AZ338" i="3"/>
  <c r="AZ390" i="3"/>
  <c r="AZ371" i="3"/>
  <c r="AZ351" i="3"/>
  <c r="AZ304" i="3"/>
  <c r="AZ306" i="3"/>
  <c r="AA11" i="39"/>
  <c r="AA14" i="37"/>
  <c r="S14" i="37"/>
  <c r="AB46" i="34"/>
  <c r="U46" i="34"/>
  <c r="AB30" i="21"/>
  <c r="U30" i="21"/>
  <c r="AC35" i="21"/>
  <c r="W35" i="21"/>
  <c r="J45" i="21"/>
  <c r="F45" i="21"/>
  <c r="U12" i="35"/>
  <c r="AB12" i="35"/>
  <c r="H12" i="36"/>
  <c r="F12" i="36"/>
  <c r="J12" i="36"/>
  <c r="J34" i="36"/>
  <c r="W34" i="36" s="1"/>
  <c r="H34" i="36"/>
  <c r="F34" i="36"/>
  <c r="AC25" i="37"/>
  <c r="W25" i="37"/>
  <c r="H31" i="39"/>
  <c r="F31" i="39"/>
  <c r="J31" i="39"/>
  <c r="J43" i="39"/>
  <c r="F43" i="39"/>
  <c r="H43" i="39"/>
  <c r="AC31" i="40"/>
  <c r="W31" i="40"/>
  <c r="AZ183" i="3"/>
  <c r="U45" i="33"/>
  <c r="AB45" i="33"/>
  <c r="AC36" i="34"/>
  <c r="S29" i="35"/>
  <c r="AA29" i="35"/>
  <c r="S41" i="33"/>
  <c r="AA41" i="33"/>
  <c r="U34" i="39"/>
  <c r="AB34" i="39"/>
  <c r="BL587" i="3"/>
  <c r="BA587" i="3"/>
  <c r="AZ587" i="3" s="1"/>
  <c r="BA585" i="3"/>
  <c r="AZ585" i="3" s="1"/>
  <c r="H9" i="33"/>
  <c r="F9" i="33"/>
  <c r="AA9" i="33" s="1"/>
  <c r="J9" i="33"/>
  <c r="AC9" i="34"/>
  <c r="W9" i="34"/>
  <c r="AC12" i="40"/>
  <c r="W12" i="40"/>
  <c r="BO5" i="3"/>
  <c r="F29" i="6" s="1"/>
  <c r="BF5" i="3"/>
  <c r="AZ187" i="3"/>
  <c r="AZ324" i="3"/>
  <c r="AZ520" i="3"/>
  <c r="AZ502" i="3"/>
  <c r="S44" i="34"/>
  <c r="AA44" i="34"/>
  <c r="AB23" i="34"/>
  <c r="U23" i="34"/>
  <c r="AC27" i="35"/>
  <c r="W27" i="35"/>
  <c r="H38" i="40"/>
  <c r="F38" i="40"/>
  <c r="J38" i="40"/>
  <c r="AZ560" i="3"/>
  <c r="AZ539" i="3"/>
  <c r="AZ529" i="3"/>
  <c r="AZ537" i="3"/>
  <c r="AZ518" i="3"/>
  <c r="AZ526" i="3"/>
  <c r="AZ546" i="3"/>
  <c r="AZ564" i="3"/>
  <c r="H9" i="34"/>
  <c r="BL550" i="3"/>
  <c r="AZ402" i="3"/>
  <c r="AZ406" i="3"/>
  <c r="AZ413" i="3"/>
  <c r="U13" i="37"/>
  <c r="AZ357" i="3"/>
  <c r="AZ322" i="3"/>
  <c r="AZ313" i="3"/>
  <c r="AZ124" i="3"/>
  <c r="AZ394" i="3"/>
  <c r="S14" i="40"/>
  <c r="AA25" i="21"/>
  <c r="AC28" i="34"/>
  <c r="BL519" i="3"/>
  <c r="AZ519" i="3" s="1"/>
  <c r="BL531" i="3"/>
  <c r="AZ531" i="3" s="1"/>
  <c r="BL559" i="3"/>
  <c r="AZ559" i="3" s="1"/>
  <c r="BL573" i="3"/>
  <c r="AZ573" i="3" s="1"/>
  <c r="BL583" i="3"/>
  <c r="AZ583" i="3" s="1"/>
  <c r="AA14" i="34"/>
  <c r="AB8" i="39"/>
  <c r="C15" i="39"/>
  <c r="S34" i="39"/>
  <c r="AA9" i="40"/>
  <c r="U31" i="36"/>
  <c r="G587" i="3"/>
  <c r="F12" i="35"/>
  <c r="J12" i="35"/>
  <c r="AZ451" i="3"/>
  <c r="AZ228" i="3"/>
  <c r="AZ515" i="3"/>
  <c r="AZ523" i="3"/>
  <c r="AZ533" i="3"/>
  <c r="AZ547" i="3"/>
  <c r="AZ561" i="3"/>
  <c r="AZ569" i="3"/>
  <c r="AZ571" i="3"/>
  <c r="AZ579" i="3"/>
  <c r="AZ524" i="3"/>
  <c r="BL585" i="3"/>
  <c r="H25" i="37"/>
  <c r="F25" i="37"/>
  <c r="BL15" i="3"/>
  <c r="AZ15" i="3" s="1"/>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BA457" i="3"/>
  <c r="BA459" i="3"/>
  <c r="AZ459" i="3" s="1"/>
  <c r="BA460" i="3"/>
  <c r="AZ460" i="3" s="1"/>
  <c r="BA461" i="3"/>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G163" i="3"/>
  <c r="G167" i="3"/>
  <c r="AZ404" i="3"/>
  <c r="AZ405" i="3"/>
  <c r="AZ407" i="3"/>
  <c r="AZ419" i="3"/>
  <c r="AZ444" i="3"/>
  <c r="AZ448" i="3"/>
  <c r="AZ476" i="3"/>
  <c r="AZ480" i="3"/>
  <c r="BA281" i="3"/>
  <c r="BL283" i="3"/>
  <c r="BL284" i="3"/>
  <c r="G288" i="3"/>
  <c r="BL292" i="3"/>
  <c r="BA294" i="3"/>
  <c r="BL295"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BL301" i="3"/>
  <c r="AZ301" i="3" s="1"/>
  <c r="BL302" i="3"/>
  <c r="AZ302" i="3" s="1"/>
  <c r="BA114" i="3"/>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A284" i="3"/>
  <c r="AZ284" i="3" s="1"/>
  <c r="BL290" i="3"/>
  <c r="BL291" i="3"/>
  <c r="AZ291" i="3" s="1"/>
  <c r="BL293" i="3"/>
  <c r="BL294" i="3"/>
  <c r="BA297" i="3"/>
  <c r="AZ297" i="3" s="1"/>
  <c r="BL297" i="3"/>
  <c r="G116" i="3"/>
  <c r="BA117" i="3"/>
  <c r="BL127" i="3"/>
  <c r="AZ127" i="3" s="1"/>
  <c r="G150" i="3"/>
  <c r="BL163" i="3"/>
  <c r="AZ163" i="3" s="1"/>
  <c r="BA121" i="3"/>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P27" i="6"/>
  <c r="C38" i="71"/>
  <c r="F34" i="71"/>
  <c r="F35" i="71" s="1"/>
  <c r="F36" i="71" s="1"/>
  <c r="V36" i="71" s="1"/>
  <c r="AB33" i="71"/>
  <c r="AB32" i="71"/>
  <c r="AB27" i="71"/>
  <c r="X38" i="71"/>
  <c r="X26" i="71"/>
  <c r="D67" i="71"/>
  <c r="C66" i="71"/>
  <c r="O67" i="71"/>
  <c r="Y26" i="71"/>
  <c r="Z26" i="71" s="1"/>
  <c r="AZ201" i="3"/>
  <c r="AZ52" i="3"/>
  <c r="E28" i="71"/>
  <c r="AA27" i="71"/>
  <c r="AA28" i="71"/>
  <c r="C31" i="71"/>
  <c r="Y30" i="71"/>
  <c r="Z30" i="71" s="1"/>
  <c r="Y29" i="71"/>
  <c r="Z29" i="71" s="1"/>
  <c r="D50" i="71"/>
  <c r="C51" i="71"/>
  <c r="C64" i="71"/>
  <c r="D63" i="71"/>
  <c r="T72" i="71"/>
  <c r="C71" i="71"/>
  <c r="U76" i="71"/>
  <c r="E75" i="71"/>
  <c r="E74" i="71" s="1"/>
  <c r="D84" i="71"/>
  <c r="C83" i="71"/>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BL61" i="3"/>
  <c r="G64" i="3"/>
  <c r="BA64" i="3"/>
  <c r="AZ64" i="3" s="1"/>
  <c r="G67" i="3"/>
  <c r="BL68" i="3"/>
  <c r="AZ68" i="3" s="1"/>
  <c r="BA69" i="3"/>
  <c r="AZ69" i="3" s="1"/>
  <c r="G72" i="3"/>
  <c r="BL73" i="3"/>
  <c r="BA74" i="3"/>
  <c r="AZ74" i="3" s="1"/>
  <c r="BA75" i="3"/>
  <c r="BL77" i="3"/>
  <c r="AZ77" i="3" s="1"/>
  <c r="BA79" i="3"/>
  <c r="AZ79" i="3" s="1"/>
  <c r="BL85" i="3"/>
  <c r="BA86" i="3"/>
  <c r="AZ86" i="3" s="1"/>
  <c r="BA87" i="3"/>
  <c r="BL103" i="3"/>
  <c r="F40" i="68"/>
  <c r="C21" i="68"/>
  <c r="AA18" i="36"/>
  <c r="S18" i="36"/>
  <c r="Y27" i="71"/>
  <c r="Z27" i="71" s="1"/>
  <c r="C28" i="71"/>
  <c r="Y28" i="71"/>
  <c r="Z28" i="71" s="1"/>
  <c r="Y25" i="71"/>
  <c r="Z25" i="71" s="1"/>
  <c r="D34" i="71"/>
  <c r="C35" i="71"/>
  <c r="C44" i="71"/>
  <c r="D43" i="71"/>
  <c r="AB26" i="71"/>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L76" i="3"/>
  <c r="BL88" i="3"/>
  <c r="AZ88" i="3" s="1"/>
  <c r="BL90" i="3"/>
  <c r="BA92" i="3"/>
  <c r="BA95" i="3"/>
  <c r="AZ95" i="3" s="1"/>
  <c r="AC29" i="39"/>
  <c r="W29" i="39"/>
  <c r="AA3" i="71"/>
  <c r="D72" i="71"/>
  <c r="AA34" i="71"/>
  <c r="AA30" i="71"/>
  <c r="Y35" i="71"/>
  <c r="Z35" i="71" s="1"/>
  <c r="X36" i="71"/>
  <c r="D56" i="71"/>
  <c r="T56" i="71"/>
  <c r="F66" i="71"/>
  <c r="Q67" i="71"/>
  <c r="T80" i="71"/>
  <c r="C79" i="71"/>
  <c r="X25" i="71"/>
  <c r="BL97" i="3"/>
  <c r="AZ97" i="3" s="1"/>
  <c r="BL101" i="3"/>
  <c r="AZ101" i="3" s="1"/>
  <c r="BL102" i="3"/>
  <c r="BL106" i="3"/>
  <c r="AZ106" i="3" s="1"/>
  <c r="BA108" i="3"/>
  <c r="AZ108" i="3" s="1"/>
  <c r="BA110" i="3"/>
  <c r="AZ110" i="3" s="1"/>
  <c r="F3" i="35"/>
  <c r="AB25" i="71"/>
  <c r="X33" i="71"/>
  <c r="BA73" i="3"/>
  <c r="BA80" i="3"/>
  <c r="G84" i="3"/>
  <c r="BL84" i="3"/>
  <c r="AZ84" i="3" s="1"/>
  <c r="BA89" i="3"/>
  <c r="G99" i="3"/>
  <c r="G103" i="3"/>
  <c r="BA103" i="3"/>
  <c r="AZ103" i="3" s="1"/>
  <c r="BA104" i="3"/>
  <c r="BA106" i="3"/>
  <c r="BL108" i="3"/>
  <c r="G110" i="3"/>
  <c r="BL111" i="3"/>
  <c r="C5" i="68"/>
  <c r="P66" i="71"/>
  <c r="S28" i="71"/>
  <c r="C75" i="71"/>
  <c r="O68" i="71"/>
  <c r="D46" i="71"/>
  <c r="X35" i="71"/>
  <c r="X28" i="71"/>
  <c r="X32" i="71"/>
  <c r="F38" i="71"/>
  <c r="F39" i="71" s="1"/>
  <c r="F40" i="71" s="1"/>
  <c r="V40" i="71" s="1"/>
  <c r="AB38" i="71"/>
  <c r="F75" i="71"/>
  <c r="F74" i="71" s="1"/>
  <c r="B79" i="71"/>
  <c r="B78" i="71" s="1"/>
  <c r="E22" i="71"/>
  <c r="E21" i="71" s="1"/>
  <c r="E20" i="71" s="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30" i="3"/>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51" i="15"/>
  <c r="F66" i="67"/>
  <c r="L59" i="15"/>
  <c r="N59" i="15"/>
  <c r="M59" i="15"/>
  <c r="Q71" i="67"/>
  <c r="F64" i="15"/>
  <c r="D103" i="9"/>
  <c r="C27" i="67"/>
  <c r="F71" i="67"/>
  <c r="C27" i="15"/>
  <c r="F65" i="15"/>
  <c r="G20" i="9"/>
  <c r="C103" i="9"/>
  <c r="N59" i="67"/>
  <c r="L59" i="67"/>
  <c r="L58" i="67"/>
  <c r="M59" i="67"/>
  <c r="B13" i="70"/>
  <c r="M7" i="67"/>
  <c r="F50" i="67"/>
  <c r="F68" i="67"/>
  <c r="F68" i="15"/>
  <c r="C36" i="68"/>
  <c r="D9" i="69"/>
  <c r="C36" i="69"/>
  <c r="D9" i="68"/>
  <c r="C16" i="67"/>
  <c r="M9" i="67"/>
  <c r="D7" i="73"/>
  <c r="F36" i="67"/>
  <c r="M8" i="15"/>
  <c r="C76" i="15"/>
  <c r="F38" i="15"/>
  <c r="F7" i="15"/>
  <c r="F42" i="15"/>
  <c r="D3" i="73"/>
  <c r="F43" i="15"/>
  <c r="L48" i="15"/>
  <c r="D4" i="73"/>
  <c r="C16" i="15"/>
  <c r="D5" i="73"/>
  <c r="M6" i="15"/>
  <c r="S36" i="34" l="1"/>
  <c r="AA36" i="34"/>
  <c r="AC35" i="33"/>
  <c r="F125" i="33"/>
  <c r="G125" i="33" s="1"/>
  <c r="H43" i="33"/>
  <c r="S43" i="33"/>
  <c r="AC43" i="34"/>
  <c r="S43" i="34"/>
  <c r="S17" i="33"/>
  <c r="AB33" i="34"/>
  <c r="W33" i="34"/>
  <c r="W17" i="33"/>
  <c r="S36" i="33"/>
  <c r="U45" i="34"/>
  <c r="AB45" i="34"/>
  <c r="S9" i="33"/>
  <c r="Q16" i="1"/>
  <c r="F27" i="69" s="1"/>
  <c r="C47" i="69" s="1"/>
  <c r="D45" i="69" s="1"/>
  <c r="H16" i="1"/>
  <c r="E59" i="40"/>
  <c r="F64" i="67"/>
  <c r="F50" i="15"/>
  <c r="C49" i="15" s="1"/>
  <c r="M7" i="15"/>
  <c r="J6" i="15" s="1"/>
  <c r="J18" i="15" s="1"/>
  <c r="C6" i="15"/>
  <c r="C32" i="15" s="1"/>
  <c r="F31" i="15"/>
  <c r="F66" i="15"/>
  <c r="J53" i="15"/>
  <c r="L56" i="15" s="1"/>
  <c r="L58" i="15"/>
  <c r="Q73" i="15" s="1"/>
  <c r="J57" i="15"/>
  <c r="J55" i="15" s="1"/>
  <c r="J58" i="15" s="1"/>
  <c r="Q50" i="15" s="1"/>
  <c r="I54" i="15"/>
  <c r="Q71" i="15"/>
  <c r="F71" i="15"/>
  <c r="E29" i="6"/>
  <c r="K15" i="1" s="1"/>
  <c r="K16" i="1" s="1"/>
  <c r="F30" i="6"/>
  <c r="F31" i="6" s="1"/>
  <c r="AZ83" i="3"/>
  <c r="AZ202" i="3"/>
  <c r="AZ174" i="3"/>
  <c r="D75" i="71"/>
  <c r="C74" i="71"/>
  <c r="D74" i="71" s="1"/>
  <c r="AZ130" i="3"/>
  <c r="C36" i="71"/>
  <c r="D35" i="71"/>
  <c r="T28" i="71"/>
  <c r="D28" i="71"/>
  <c r="U28" i="71" s="1"/>
  <c r="C27" i="71"/>
  <c r="AZ75" i="3"/>
  <c r="AZ272" i="3"/>
  <c r="O65" i="71"/>
  <c r="D66" i="71"/>
  <c r="O66" i="71"/>
  <c r="D38" i="71"/>
  <c r="C39" i="71"/>
  <c r="AZ353" i="3"/>
  <c r="AZ428" i="3"/>
  <c r="AZ411" i="3"/>
  <c r="AZ273" i="3"/>
  <c r="AZ256" i="3"/>
  <c r="AZ491" i="3"/>
  <c r="AZ483" i="3"/>
  <c r="AZ461" i="3"/>
  <c r="AZ454" i="3"/>
  <c r="AZ418" i="3"/>
  <c r="W12" i="35"/>
  <c r="AC12" i="35"/>
  <c r="AB38" i="40"/>
  <c r="U38" i="40"/>
  <c r="AC43" i="39"/>
  <c r="W43" i="39"/>
  <c r="U47" i="34"/>
  <c r="AB47" i="34"/>
  <c r="W13" i="34"/>
  <c r="AC13" i="34"/>
  <c r="AC14" i="33"/>
  <c r="W14" i="33"/>
  <c r="AZ31" i="3"/>
  <c r="AA25" i="37"/>
  <c r="S25" i="37"/>
  <c r="AB9" i="34"/>
  <c r="U9" i="34"/>
  <c r="AB9" i="33"/>
  <c r="U9" i="33"/>
  <c r="AC31" i="39"/>
  <c r="W31" i="39"/>
  <c r="W12" i="36"/>
  <c r="AC12" i="36"/>
  <c r="S36" i="39"/>
  <c r="AA36" i="39"/>
  <c r="AB39" i="37"/>
  <c r="U39" i="37"/>
  <c r="AC31" i="34"/>
  <c r="W31" i="34"/>
  <c r="AC44" i="33"/>
  <c r="W44" i="33"/>
  <c r="G5" i="3"/>
  <c r="B3" i="3" s="1"/>
  <c r="E215" i="3" s="1"/>
  <c r="AZ59" i="3"/>
  <c r="C82" i="71"/>
  <c r="D82" i="71" s="1"/>
  <c r="D83" i="71"/>
  <c r="C70" i="71"/>
  <c r="D70" i="71" s="1"/>
  <c r="D71" i="71"/>
  <c r="C52" i="71"/>
  <c r="D51" i="71"/>
  <c r="D31" i="71"/>
  <c r="C32" i="71"/>
  <c r="AZ121" i="3"/>
  <c r="AZ277" i="3"/>
  <c r="AZ368" i="3"/>
  <c r="AZ271" i="3"/>
  <c r="AZ415" i="3"/>
  <c r="U25" i="37"/>
  <c r="AB25" i="37"/>
  <c r="AC38" i="40"/>
  <c r="W38" i="40"/>
  <c r="AB43" i="39"/>
  <c r="U43" i="39"/>
  <c r="AA31" i="39"/>
  <c r="S31" i="39"/>
  <c r="S34" i="36"/>
  <c r="AA34" i="36"/>
  <c r="AA12" i="36"/>
  <c r="S12" i="36"/>
  <c r="AA45" i="21"/>
  <c r="S45" i="21"/>
  <c r="AA37" i="39"/>
  <c r="S37" i="39"/>
  <c r="AC39" i="37"/>
  <c r="W39" i="37"/>
  <c r="S44" i="33"/>
  <c r="AA44" i="33"/>
  <c r="J6" i="67"/>
  <c r="J18" i="67" s="1"/>
  <c r="J7" i="36"/>
  <c r="C78" i="71"/>
  <c r="D78" i="71" s="1"/>
  <c r="D79" i="71"/>
  <c r="AZ61" i="3"/>
  <c r="AZ49" i="3"/>
  <c r="D44" i="71"/>
  <c r="T44" i="71"/>
  <c r="AZ27" i="3"/>
  <c r="AZ118" i="3"/>
  <c r="AZ45" i="3"/>
  <c r="AZ197" i="3"/>
  <c r="AZ126" i="3"/>
  <c r="AZ429" i="3"/>
  <c r="AZ241" i="3"/>
  <c r="AZ210" i="3"/>
  <c r="AZ294" i="3"/>
  <c r="AZ457" i="3"/>
  <c r="AZ414" i="3"/>
  <c r="AA38" i="40"/>
  <c r="S38" i="40"/>
  <c r="AC9" i="33"/>
  <c r="W9" i="33"/>
  <c r="AA43" i="39"/>
  <c r="S43" i="39"/>
  <c r="AB31" i="39"/>
  <c r="U31" i="39"/>
  <c r="U34" i="36"/>
  <c r="AB34" i="36"/>
  <c r="AB12" i="36"/>
  <c r="U12" i="36"/>
  <c r="W45" i="21"/>
  <c r="AC45" i="21"/>
  <c r="AZ584" i="3"/>
  <c r="AB36" i="39"/>
  <c r="U36" i="39"/>
  <c r="AC37" i="39"/>
  <c r="W37" i="39"/>
  <c r="AC47" i="34"/>
  <c r="W47" i="34"/>
  <c r="S14" i="33"/>
  <c r="AA14" i="33"/>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F11" i="15"/>
  <c r="M11" i="15"/>
  <c r="J10" i="15" s="1"/>
  <c r="F11" i="67"/>
  <c r="F1" i="67"/>
  <c r="Q52" i="67"/>
  <c r="Q61" i="67"/>
  <c r="Q74" i="67"/>
  <c r="Q74" i="15"/>
  <c r="Q61" i="15"/>
  <c r="AE11" i="1"/>
  <c r="AE6" i="1"/>
  <c r="AE9" i="1"/>
  <c r="AE7" i="1"/>
  <c r="AE8" i="1"/>
  <c r="AE12" i="1"/>
  <c r="AE10" i="1"/>
  <c r="F41" i="67"/>
  <c r="G1" i="73"/>
  <c r="U43" i="33" l="1"/>
  <c r="AB43" i="33"/>
  <c r="T49" i="34"/>
  <c r="G49" i="34" s="1"/>
  <c r="G53" i="34" s="1"/>
  <c r="H53" i="34" s="1"/>
  <c r="Q52" i="15"/>
  <c r="M17" i="15"/>
  <c r="H10" i="39"/>
  <c r="U10" i="39" s="1"/>
  <c r="J10" i="40"/>
  <c r="AC10" i="40" s="1"/>
  <c r="F1" i="15"/>
  <c r="F45" i="69"/>
  <c r="F27" i="68"/>
  <c r="C29" i="68" s="1"/>
  <c r="D27" i="68" s="1"/>
  <c r="F27" i="11"/>
  <c r="C29" i="11" s="1"/>
  <c r="D27" i="11" s="1"/>
  <c r="E131" i="3"/>
  <c r="C29" i="69"/>
  <c r="D27" i="69" s="1"/>
  <c r="Q60" i="15"/>
  <c r="E30" i="6"/>
  <c r="E201" i="3"/>
  <c r="X6" i="3"/>
  <c r="E423" i="3"/>
  <c r="E378" i="3"/>
  <c r="J5" i="15"/>
  <c r="J24" i="15" s="1"/>
  <c r="J5" i="67"/>
  <c r="J24" i="67" s="1"/>
  <c r="AY6" i="3"/>
  <c r="AY51" i="3" s="1"/>
  <c r="E3" i="6"/>
  <c r="E536" i="3"/>
  <c r="E539" i="3"/>
  <c r="E541" i="3"/>
  <c r="E56" i="3"/>
  <c r="E349" i="3"/>
  <c r="E103" i="3"/>
  <c r="E144" i="3"/>
  <c r="E283" i="3"/>
  <c r="E75" i="3"/>
  <c r="E251" i="3"/>
  <c r="E197" i="3"/>
  <c r="E360" i="3"/>
  <c r="E243" i="3"/>
  <c r="E35" i="3"/>
  <c r="E223" i="3"/>
  <c r="E490" i="3"/>
  <c r="E25" i="3"/>
  <c r="E372" i="3"/>
  <c r="E79" i="3"/>
  <c r="E234" i="3"/>
  <c r="E52" i="3"/>
  <c r="E289" i="3"/>
  <c r="E62"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199" i="3"/>
  <c r="I3" i="6"/>
  <c r="E37" i="3"/>
  <c r="E76" i="3"/>
  <c r="E300" i="3"/>
  <c r="E184" i="3"/>
  <c r="E21" i="3"/>
  <c r="E129" i="3"/>
  <c r="AF6" i="3"/>
  <c r="E534" i="3"/>
  <c r="E452" i="3"/>
  <c r="E356" i="3"/>
  <c r="E370" i="3"/>
  <c r="E493" i="3"/>
  <c r="E376" i="3"/>
  <c r="E202" i="3"/>
  <c r="E43" i="3"/>
  <c r="E38" i="3"/>
  <c r="E339" i="3"/>
  <c r="E36" i="3"/>
  <c r="E340" i="3"/>
  <c r="E218"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R6" i="3"/>
  <c r="AP6" i="3"/>
  <c r="E192" i="3"/>
  <c r="E425" i="3"/>
  <c r="E371" i="3"/>
  <c r="E381" i="3"/>
  <c r="E332" i="3"/>
  <c r="E174" i="3"/>
  <c r="E287" i="3"/>
  <c r="E469" i="3"/>
  <c r="E470" i="3"/>
  <c r="E78" i="3"/>
  <c r="E83" i="3"/>
  <c r="E564" i="3"/>
  <c r="E498" i="3"/>
  <c r="E226" i="3"/>
  <c r="E540" i="3"/>
  <c r="E137" i="3"/>
  <c r="E325" i="3"/>
  <c r="E112" i="3"/>
  <c r="E50" i="3"/>
  <c r="E265" i="3"/>
  <c r="E141" i="3"/>
  <c r="E460" i="3"/>
  <c r="E58" i="3"/>
  <c r="E24" i="3"/>
  <c r="E244" i="3"/>
  <c r="E500" i="3"/>
  <c r="E446" i="3"/>
  <c r="E48" i="3"/>
  <c r="E149" i="3"/>
  <c r="E297" i="3"/>
  <c r="E584" i="3"/>
  <c r="E374" i="3"/>
  <c r="E502" i="3"/>
  <c r="E23" i="3"/>
  <c r="E140" i="3"/>
  <c r="E329" i="3"/>
  <c r="E455" i="3"/>
  <c r="E20" i="3"/>
  <c r="E521" i="3"/>
  <c r="E138" i="3"/>
  <c r="E341" i="3"/>
  <c r="AD6" i="3"/>
  <c r="E187" i="3"/>
  <c r="E136" i="3"/>
  <c r="E474" i="3"/>
  <c r="E168" i="3"/>
  <c r="E207" i="3"/>
  <c r="E547" i="3"/>
  <c r="E317" i="3"/>
  <c r="E328" i="3"/>
  <c r="E523" i="3"/>
  <c r="E304" i="3"/>
  <c r="E303" i="3"/>
  <c r="E434" i="3"/>
  <c r="Q6" i="3"/>
  <c r="E429" i="3"/>
  <c r="E256" i="3"/>
  <c r="I6" i="3"/>
  <c r="E448" i="3"/>
  <c r="E444" i="3"/>
  <c r="E295" i="3"/>
  <c r="E366" i="3"/>
  <c r="E516" i="3"/>
  <c r="E358" i="3"/>
  <c r="E294" i="3"/>
  <c r="E395" i="3"/>
  <c r="E61" i="3"/>
  <c r="E336" i="3"/>
  <c r="E314" i="3"/>
  <c r="E519" i="3"/>
  <c r="E571" i="3"/>
  <c r="E150"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18" i="3"/>
  <c r="E435" i="3"/>
  <c r="E264" i="3"/>
  <c r="E512" i="3"/>
  <c r="E486" i="3"/>
  <c r="E194" i="3"/>
  <c r="E365" i="3"/>
  <c r="E250" i="3"/>
  <c r="E284" i="3"/>
  <c r="E39" i="3"/>
  <c r="E459" i="3"/>
  <c r="E504" i="3"/>
  <c r="E352" i="3"/>
  <c r="E438" i="3"/>
  <c r="E208" i="3"/>
  <c r="E145" i="3"/>
  <c r="E403" i="3"/>
  <c r="AM6" i="3"/>
  <c r="O6" i="3"/>
  <c r="E506" i="3"/>
  <c r="E565" i="3"/>
  <c r="E402" i="3"/>
  <c r="E128" i="3"/>
  <c r="E481" i="3"/>
  <c r="E496" i="3"/>
  <c r="E274" i="3"/>
  <c r="E252" i="3"/>
  <c r="P6" i="3"/>
  <c r="E404" i="3"/>
  <c r="E334" i="3"/>
  <c r="E553" i="3"/>
  <c r="E569" i="3"/>
  <c r="E551" i="3"/>
  <c r="E230" i="3"/>
  <c r="E260" i="3"/>
  <c r="E382" i="3"/>
  <c r="E583" i="3"/>
  <c r="E511" i="3"/>
  <c r="E458" i="3"/>
  <c r="E450"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10" i="3"/>
  <c r="E467" i="3"/>
  <c r="E522" i="3"/>
  <c r="E342" i="3"/>
  <c r="E333" i="3"/>
  <c r="E147" i="3"/>
  <c r="E90" i="3"/>
  <c r="E520" i="3"/>
  <c r="E375" i="3"/>
  <c r="E66" i="3"/>
  <c r="E154" i="3"/>
  <c r="E82" i="3"/>
  <c r="E313" i="3"/>
  <c r="E471" i="3"/>
  <c r="E93" i="3"/>
  <c r="E548" i="3"/>
  <c r="E126" i="3"/>
  <c r="E501" i="3"/>
  <c r="E97" i="3"/>
  <c r="E298" i="3"/>
  <c r="E221" i="3"/>
  <c r="AA6" i="3"/>
  <c r="E330" i="3"/>
  <c r="E344" i="3"/>
  <c r="E203" i="3"/>
  <c r="E32" i="3"/>
  <c r="E576" i="3"/>
  <c r="E581" i="3"/>
  <c r="E166" i="3"/>
  <c r="E480" i="3"/>
  <c r="E239" i="3"/>
  <c r="E151" i="3"/>
  <c r="E407" i="3"/>
  <c r="E415" i="3"/>
  <c r="E290" i="3"/>
  <c r="E518" i="3"/>
  <c r="E85" i="3"/>
  <c r="E193" i="3"/>
  <c r="E457" i="3"/>
  <c r="E111" i="3"/>
  <c r="E31" i="3"/>
  <c r="E271" i="3"/>
  <c r="E478" i="3"/>
  <c r="AS6" i="3"/>
  <c r="E162" i="3"/>
  <c r="E384" i="3"/>
  <c r="E530" i="3"/>
  <c r="E388" i="3"/>
  <c r="E143" i="3"/>
  <c r="E561" i="3"/>
  <c r="E231" i="3"/>
  <c r="E180" i="3"/>
  <c r="E350" i="3"/>
  <c r="E399" i="3"/>
  <c r="E181" i="3"/>
  <c r="E277" i="3"/>
  <c r="E472" i="3"/>
  <c r="E577" i="3"/>
  <c r="E146" i="3"/>
  <c r="E362" i="3"/>
  <c r="E89" i="3"/>
  <c r="E557" i="3"/>
  <c r="E377" i="3"/>
  <c r="E509" i="3"/>
  <c r="M6" i="3"/>
  <c r="E363" i="3"/>
  <c r="E391" i="3"/>
  <c r="E104" i="3"/>
  <c r="E40" i="3"/>
  <c r="E392" i="3"/>
  <c r="E552" i="3"/>
  <c r="E312" i="3"/>
  <c r="E464" i="3"/>
  <c r="E163" i="3"/>
  <c r="E87" i="3"/>
  <c r="E127" i="3"/>
  <c r="E224" i="3"/>
  <c r="E537" i="3"/>
  <c r="E14" i="3"/>
  <c r="E411" i="3"/>
  <c r="E92" i="3"/>
  <c r="E319" i="3"/>
  <c r="E285" i="3"/>
  <c r="E321" i="3"/>
  <c r="E302" i="3"/>
  <c r="E280" i="3"/>
  <c r="E177" i="3"/>
  <c r="E424" i="3"/>
  <c r="E55" i="3"/>
  <c r="E580" i="3"/>
  <c r="E164" i="3"/>
  <c r="E443" i="3"/>
  <c r="E121" i="3"/>
  <c r="E30" i="3"/>
  <c r="E282" i="3"/>
  <c r="E229" i="3"/>
  <c r="V6" i="3"/>
  <c r="E130" i="3"/>
  <c r="E117" i="3"/>
  <c r="E578" i="3"/>
  <c r="E253" i="3"/>
  <c r="E45" i="3"/>
  <c r="E527" i="3"/>
  <c r="E433"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28" i="3"/>
  <c r="AO6" i="3"/>
  <c r="E70" i="3"/>
  <c r="E526" i="3"/>
  <c r="E248" i="3"/>
  <c r="E242" i="3"/>
  <c r="E161" i="3"/>
  <c r="E119" i="3"/>
  <c r="E563" i="3"/>
  <c r="F59" i="15"/>
  <c r="E419" i="3"/>
  <c r="E507" i="3"/>
  <c r="E116" i="3"/>
  <c r="E80" i="3"/>
  <c r="E190" i="3"/>
  <c r="E41" i="3"/>
  <c r="E556" i="3"/>
  <c r="T6" i="3"/>
  <c r="E308" i="3"/>
  <c r="E86" i="3"/>
  <c r="E482" i="3"/>
  <c r="E494" i="3"/>
  <c r="E68" i="3"/>
  <c r="E84" i="3"/>
  <c r="E160" i="3"/>
  <c r="E59" i="3"/>
  <c r="E258" i="3"/>
  <c r="E491" i="3"/>
  <c r="E430" i="3"/>
  <c r="E286" i="3"/>
  <c r="J10" i="39"/>
  <c r="W10" i="39" s="1"/>
  <c r="F10" i="40"/>
  <c r="S10" i="40" s="1"/>
  <c r="T32" i="71"/>
  <c r="D32" i="71"/>
  <c r="R36" i="3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36" i="71"/>
  <c r="T36" i="71"/>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C40" i="71"/>
  <c r="D39"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C35" i="9"/>
  <c r="F41" i="15"/>
  <c r="M27" i="67"/>
  <c r="M27" i="15"/>
  <c r="G54" i="34" l="1"/>
  <c r="H54" i="34" s="1"/>
  <c r="R50" i="34"/>
  <c r="C50" i="34" s="1"/>
  <c r="C47" i="68"/>
  <c r="D45" i="68" s="1"/>
  <c r="F45" i="68"/>
  <c r="W10" i="40"/>
  <c r="C47" i="11"/>
  <c r="D45" i="11" s="1"/>
  <c r="H6" i="3"/>
  <c r="AC6" i="3"/>
  <c r="AA10" i="40"/>
  <c r="AY452" i="3"/>
  <c r="AY342" i="3"/>
  <c r="AY395" i="3"/>
  <c r="AY245" i="3"/>
  <c r="AY106" i="3"/>
  <c r="AY428" i="3"/>
  <c r="AY318" i="3"/>
  <c r="AY252" i="3"/>
  <c r="AY123" i="3"/>
  <c r="AY139" i="3"/>
  <c r="AY67" i="3"/>
  <c r="AY366" i="3"/>
  <c r="AY236" i="3"/>
  <c r="AY168" i="3"/>
  <c r="AY281" i="3"/>
  <c r="AY42" i="3"/>
  <c r="AY124" i="3"/>
  <c r="AY207" i="3"/>
  <c r="AC10" i="39"/>
  <c r="F25" i="12"/>
  <c r="C26" i="12" s="1"/>
  <c r="D25" i="12" s="1"/>
  <c r="D116" i="43"/>
  <c r="T40" i="71"/>
  <c r="D40" i="71"/>
  <c r="F22" i="68"/>
  <c r="C23"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67"/>
  <c r="C17" i="15"/>
  <c r="C49" i="34" l="1"/>
  <c r="E54" i="34"/>
  <c r="F54" i="34" s="1"/>
  <c r="E53" i="34"/>
  <c r="F53" i="34" s="1"/>
  <c r="C44" i="68"/>
  <c r="D41" i="68" s="1"/>
  <c r="H24" i="6"/>
  <c r="R24" i="6" s="1"/>
  <c r="R11" i="1" s="1"/>
  <c r="C26" i="11"/>
  <c r="D22" i="11" s="1"/>
  <c r="C44" i="11"/>
  <c r="D41" i="11" s="1"/>
  <c r="H22" i="6"/>
  <c r="H25" i="6"/>
  <c r="R25" i="6" s="1"/>
  <c r="R12" i="1" s="1"/>
  <c r="E6" i="3"/>
  <c r="C26" i="68"/>
  <c r="D22" i="68" s="1"/>
  <c r="F41"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14" i="74" l="1"/>
  <c r="D14" i="74" s="1"/>
  <c r="L15" i="74"/>
  <c r="E15" i="74"/>
  <c r="D15" i="74" s="1"/>
  <c r="F15" i="74" s="1"/>
  <c r="L16" i="74"/>
  <c r="M47" i="34"/>
  <c r="M46" i="34"/>
  <c r="M46" i="33"/>
  <c r="M45" i="33"/>
  <c r="M37" i="34"/>
  <c r="M39" i="34"/>
  <c r="M40" i="34" s="1"/>
  <c r="M42" i="33"/>
  <c r="M4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8" i="74" l="1"/>
  <c r="L19" i="74" s="1"/>
  <c r="E10" i="74" s="1"/>
  <c r="B10" i="74"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6" i="1"/>
  <c r="AO12" i="1"/>
  <c r="AO11"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B49" i="72" l="1"/>
  <c r="D5" i="52"/>
  <c r="D119" i="9"/>
  <c r="B31" i="72"/>
  <c r="D15" i="53"/>
  <c r="D54" i="9"/>
  <c r="C68" i="9"/>
  <c r="H5" i="52"/>
  <c r="H119" i="9"/>
  <c r="E81" i="9"/>
  <c r="E80" i="9"/>
  <c r="C80" i="9"/>
  <c r="B22" i="72"/>
  <c r="D6" i="53"/>
  <c r="C73" i="9"/>
  <c r="C78" i="9"/>
  <c r="D8" i="52"/>
  <c r="F119" i="9"/>
  <c r="F5" i="52"/>
  <c r="B53" i="72"/>
  <c r="B32" i="72"/>
  <c r="D14" i="53"/>
  <c r="B51" i="72"/>
  <c r="F4" i="52"/>
  <c r="P57" i="9"/>
  <c r="N58" i="9"/>
  <c r="C86" i="9"/>
  <c r="C93" i="9"/>
  <c r="D5" i="53"/>
  <c r="B20" i="72"/>
  <c r="M55" i="9"/>
  <c r="C64" i="9"/>
  <c r="C63" i="9"/>
  <c r="C67" i="9"/>
  <c r="D59" i="9"/>
  <c r="B48" i="72"/>
  <c r="E4" i="52"/>
  <c r="C96" i="9"/>
  <c r="E96" i="9"/>
  <c r="E97" i="9"/>
  <c r="E118" i="9"/>
  <c r="D118" i="9"/>
  <c r="D4" i="52"/>
  <c r="B47" i="72"/>
  <c r="D13" i="53"/>
  <c r="B30" i="72"/>
  <c r="M48" i="9"/>
  <c r="C104" i="9"/>
  <c r="H4" i="52"/>
  <c r="H102" i="9"/>
  <c r="D7" i="53"/>
  <c r="B21" i="72"/>
  <c r="F118" i="9"/>
  <c r="G118" i="9"/>
  <c r="G4" i="52"/>
  <c r="B52" i="72"/>
  <c r="C85" i="9"/>
  <c r="C95" i="9"/>
  <c r="C97" i="9"/>
  <c r="D58" i="9"/>
  <c r="D56" i="9"/>
  <c r="M54" i="9"/>
  <c r="C105" i="9"/>
  <c r="I4" i="52"/>
  <c r="H108" i="9"/>
  <c r="C6" i="74"/>
  <c r="C72" i="9"/>
  <c r="C79" i="9"/>
  <c r="C81" i="9"/>
  <c r="N60" i="9"/>
  <c r="D55" i="9"/>
  <c r="M53" i="9"/>
  <c r="N57" i="9"/>
  <c r="N59" i="9"/>
  <c r="N61" i="9"/>
  <c r="H107" i="9"/>
  <c r="D122" i="9"/>
  <c r="D123" i="9"/>
  <c r="D9" i="5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<sst xmlns="http://schemas.openxmlformats.org/spreadsheetml/2006/main" count="9296" uniqueCount="3846">
  <si>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</si>
  <si>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</si>
  <si>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</si>
  <si>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</si>
  <si>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</si>
  <si>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</si>
  <si>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</si>
  <si>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</si>
  <si>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</si>
  <si>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</si>
  <si>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</si>
  <si>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</si>
  <si>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</si>
  <si>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</si>
  <si>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</si>
  <si>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</si>
  <si>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</si>
  <si>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</si>
  <si>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</si>
  <si>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</si>
  <si>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</si>
  <si>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</si>
  <si>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</si>
  <si>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</si>
  <si>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</si>
  <si>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</si>
  <si>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</si>
  <si>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</si>
  <si>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</si>
  <si>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</si>
  <si>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</si>
  <si>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</si>
  <si>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</si>
  <si>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</si>
  <si>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</si>
  <si>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</si>
  <si>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</si>
  <si>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</si>
  <si>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</si>
  <si>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</si>
  <si>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</si>
  <si>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</si>
  <si>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</si>
  <si>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</si>
  <si>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</si>
  <si>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</si>
  <si>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</si>
  <si>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</si>
  <si>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</si>
  <si>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</si>
  <si>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</si>
  <si>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</si>
  <si>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</si>
  <si>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</si>
  <si>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</si>
  <si>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</si>
  <si>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</si>
  <si>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</si>
  <si>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</si>
  <si>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</si>
  <si>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</si>
  <si>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</si>
  <si>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</si>
  <si>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</si>
  <si>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</si>
  <si>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</si>
  <si>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</si>
  <si>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</si>
  <si>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</si>
  <si>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</si>
  <si>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</si>
  <si>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</si>
  <si>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</si>
  <si>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</si>
  <si>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</si>
  <si>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</si>
  <si>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</si>
  <si>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</si>
  <si>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</si>
  <si>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</si>
  <si>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</si>
  <si>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</si>
  <si>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</si>
  <si>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</si>
  <si>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</si>
  <si>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</si>
  <si>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</si>
  <si>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</si>
  <si>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</si>
  <si>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</si>
  <si>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</si>
  <si>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</si>
  <si>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</si>
  <si>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</si>
  <si>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</si>
  <si>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</si>
  <si>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</si>
  <si>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</si>
  <si>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</si>
  <si>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</si>
  <si>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</si>
  <si>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</si>
  <si>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</si>
  <si>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</si>
  <si>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</si>
  <si>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</si>
  <si>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</si>
  <si>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</si>
  <si>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</si>
  <si>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</si>
  <si>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</si>
  <si>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</si>
  <si>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</si>
  <si>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</si>
  <si>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</si>
  <si>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</si>
  <si>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</si>
  <si>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</si>
  <si>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</si>
  <si>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</si>
  <si>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</si>
  <si>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</si>
  <si>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</si>
  <si>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</si>
  <si>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</si>
  <si>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</si>
  <si>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</si>
  <si>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</si>
  <si>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</si>
  <si>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</si>
  <si>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</si>
  <si>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</si>
  <si>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</si>
  <si>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</si>
  <si>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</si>
  <si>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</si>
  <si>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</si>
  <si>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</si>
  <si>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</si>
  <si>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</si>
  <si>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</si>
  <si>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</si>
  <si>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</si>
  <si>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</si>
  <si>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</si>
  <si>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</si>
  <si>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</si>
  <si>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</si>
  <si>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</si>
  <si>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</si>
  <si>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</si>
  <si>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</si>
  <si>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</si>
  <si>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</si>
  <si>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</si>
  <si>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</si>
  <si>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</si>
  <si>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</si>
  <si>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</si>
  <si>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</si>
  <si>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</si>
  <si>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</si>
  <si>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</si>
  <si>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</si>
  <si>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</si>
  <si>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</si>
  <si>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</si>
  <si>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</si>
  <si>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</si>
  <si>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</si>
  <si>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</si>
  <si>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</si>
  <si>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</si>
  <si>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</si>
  <si>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</si>
  <si>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</si>
  <si>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</si>
  <si>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</si>
  <si>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</si>
  <si>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</si>
  <si>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</si>
  <si>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</si>
  <si>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</si>
  <si>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</si>
  <si>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</si>
  <si>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</si>
  <si>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</si>
  <si>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</si>
  <si>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</si>
  <si>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</si>
  <si>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</si>
  <si>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</si>
  <si>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</si>
  <si>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</si>
  <si>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</si>
  <si>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</si>
  <si>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</si>
  <si>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</si>
  <si>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</si>
  <si>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</si>
  <si>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</si>
  <si>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</si>
  <si>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</si>
  <si>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</si>
  <si>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</si>
  <si>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</si>
  <si>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</si>
  <si>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</si>
  <si>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</si>
  <si>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</si>
  <si>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</si>
  <si>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</si>
  <si>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</si>
  <si>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</si>
  <si>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</si>
  <si>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</si>
  <si>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</si>
  <si>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</si>
  <si>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</si>
  <si>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</si>
  <si>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</si>
  <si>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</si>
  <si>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</si>
  <si>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</si>
  <si>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</si>
  <si>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</si>
  <si>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</si>
  <si>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</si>
  <si>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</si>
  <si>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</si>
  <si>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</si>
  <si>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</si>
  <si>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</si>
  <si>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</si>
  <si>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</si>
  <si>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</si>
  <si>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</si>
  <si>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</si>
  <si>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</si>
  <si>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</si>
  <si>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</si>
  <si>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</si>
  <si>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</si>
  <si>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</si>
  <si>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</si>
  <si>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</si>
  <si>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</si>
  <si>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</si>
  <si>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</si>
  <si>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</si>
  <si>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</si>
  <si>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</si>
  <si>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</si>
  <si>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</si>
  <si>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</si>
  <si>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</si>
  <si>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</si>
  <si>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</si>
  <si>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</si>
  <si>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</si>
  <si>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</si>
  <si>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</si>
  <si>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</si>
  <si>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</si>
  <si>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</si>
  <si>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</si>
  <si>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</si>
  <si>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</si>
  <si>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</si>
  <si>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</si>
  <si>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</si>
  <si>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</si>
  <si>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</si>
  <si>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</si>
  <si>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</si>
  <si>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</si>
  <si>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</si>
  <si>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</si>
  <si>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</si>
  <si>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</si>
  <si>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</si>
  <si>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</si>
  <si>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</si>
  <si>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</si>
  <si>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</si>
  <si>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</si>
  <si>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</si>
  <si>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</si>
  <si>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</si>
  <si>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</si>
  <si>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</si>
  <si>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</si>
  <si>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</si>
  <si>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</si>
  <si>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</si>
  <si>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</si>
  <si>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</si>
  <si>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</si>
  <si>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</si>
  <si>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</si>
  <si>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</si>
  <si>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</si>
  <si>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</si>
  <si>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</si>
  <si>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</si>
  <si>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</si>
  <si>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</si>
  <si>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</si>
  <si>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</si>
  <si>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</si>
  <si>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</si>
  <si>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</si>
  <si>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</si>
  <si>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</si>
  <si>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</si>
  <si>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</si>
  <si>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</si>
  <si>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</si>
  <si>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</si>
  <si>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</si>
  <si>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</si>
  <si>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</si>
  <si>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</si>
  <si>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</si>
  <si>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</si>
  <si>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</si>
  <si>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</si>
  <si>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</si>
  <si>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</si>
  <si>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</si>
  <si>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</si>
  <si>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</si>
  <si>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</si>
  <si>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</si>
  <si>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</si>
  <si>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</si>
  <si>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</si>
  <si>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</si>
  <si>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</si>
  <si>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</si>
  <si>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</si>
  <si>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</si>
  <si>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</si>
  <si>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</si>
  <si>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</si>
  <si>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</si>
  <si>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</si>
  <si>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</si>
  <si>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</si>
  <si>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</si>
  <si>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</si>
  <si>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</si>
  <si>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</si>
  <si>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</si>
  <si>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</si>
  <si>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</si>
  <si>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</si>
  <si>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</si>
  <si>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</si>
  <si>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</si>
  <si>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</si>
  <si>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</si>
  <si>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</si>
  <si>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</si>
  <si>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</si>
  <si>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</si>
  <si>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</si>
  <si>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</si>
  <si>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</si>
  <si>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</si>
  <si>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</si>
  <si>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</si>
  <si>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</si>
  <si>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</si>
  <si>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</si>
  <si>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</si>
  <si>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</si>
  <si>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</si>
  <si>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</si>
  <si>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</si>
  <si>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</si>
  <si>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</si>
  <si>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</si>
  <si>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</si>
  <si>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</si>
  <si>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</si>
  <si>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</si>
  <si>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</si>
  <si>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</si>
  <si>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</si>
  <si>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</si>
  <si>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</si>
  <si>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</si>
  <si>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</si>
  <si>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</si>
  <si>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</si>
  <si>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</si>
  <si>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</si>
  <si>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</si>
  <si>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</si>
  <si>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</si>
  <si>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</si>
  <si>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</si>
  <si>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</si>
  <si>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</si>
  <si>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</si>
  <si>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</si>
  <si>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</si>
  <si>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</si>
  <si>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</si>
  <si>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</si>
  <si>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</si>
  <si>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</si>
  <si>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</si>
  <si>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</si>
  <si>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</si>
  <si>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</si>
  <si>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</si>
  <si>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</si>
  <si>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</si>
  <si>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</si>
  <si>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</si>
  <si>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</si>
  <si>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</si>
  <si>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</si>
  <si>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</si>
  <si>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</si>
  <si>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</si>
  <si>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</si>
  <si>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</si>
  <si>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</si>
  <si>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</si>
  <si>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</si>
  <si>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</si>
  <si>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</si>
  <si>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</si>
  <si>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</si>
  <si>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</si>
  <si>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</si>
  <si>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</si>
  <si>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</si>
  <si>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</si>
  <si>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</si>
  <si>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</si>
  <si>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</si>
  <si>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</si>
  <si>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</si>
  <si>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</si>
  <si>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</si>
  <si>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</si>
  <si>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</si>
  <si>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</si>
  <si>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</si>
  <si>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</si>
  <si>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</si>
  <si>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</si>
  <si>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</si>
  <si>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</si>
  <si>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</si>
  <si>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</si>
  <si>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</si>
  <si>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</si>
  <si>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</si>
  <si>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</si>
  <si>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</si>
  <si>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</si>
  <si>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</si>
  <si>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</si>
  <si>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</si>
  <si>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</si>
  <si>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</si>
  <si>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</si>
  <si>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</si>
  <si>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</si>
  <si>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</si>
  <si>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</si>
  <si>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</si>
  <si>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</si>
  <si>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</si>
  <si>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</si>
  <si>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</si>
  <si>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</si>
  <si>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</si>
  <si>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</si>
  <si>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</si>
  <si>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</si>
  <si>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</si>
  <si>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</si>
  <si>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</si>
  <si>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</si>
  <si>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</si>
  <si>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</si>
  <si>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</si>
  <si>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</si>
  <si>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</si>
  <si>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</si>
  <si>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</si>
  <si>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</si>
  <si>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</si>
  <si>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</si>
  <si>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</si>
  <si>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</si>
  <si>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</si>
  <si>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</si>
  <si>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</si>
  <si>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</si>
  <si>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</si>
  <si>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</si>
  <si>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</si>
  <si>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</si>
  <si>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</si>
  <si>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</si>
  <si>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</si>
  <si>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</si>
  <si>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</si>
  <si>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</si>
  <si>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</si>
  <si>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</si>
  <si>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</si>
  <si>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</si>
  <si>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</si>
  <si>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</si>
  <si>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</si>
  <si>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</si>
  <si>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</si>
  <si>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</si>
  <si>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</si>
  <si>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</si>
  <si>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</si>
  <si>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</si>
  <si>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</si>
  <si>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</si>
  <si>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</si>
  <si>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</si>
  <si>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</si>
  <si>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</si>
  <si>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</si>
  <si>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</si>
  <si>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</si>
  <si>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</si>
  <si>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</si>
  <si>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</si>
  <si>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</si>
  <si>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</si>
  <si>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</si>
  <si>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</si>
  <si>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</si>
  <si>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</si>
  <si>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</si>
  <si>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</si>
  <si>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</si>
  <si>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</si>
  <si>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</si>
  <si>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</si>
  <si>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</si>
  <si>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</si>
  <si>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</si>
  <si>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</si>
  <si>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</si>
  <si>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</si>
  <si>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</si>
  <si>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</si>
  <si>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</si>
  <si>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</si>
  <si>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</si>
  <si>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</si>
  <si>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</si>
  <si>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</si>
  <si>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</si>
  <si>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</si>
  <si>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</si>
  <si>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</si>
  <si>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</si>
  <si>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</si>
  <si>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</si>
  <si>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</si>
  <si>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</si>
  <si>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</si>
  <si>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</si>
  <si>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</si>
  <si>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</si>
  <si>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</si>
  <si>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</si>
  <si>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</si>
  <si>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</si>
  <si>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</si>
  <si>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</si>
  <si>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</si>
  <si>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</si>
  <si>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</si>
  <si>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</si>
  <si>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</si>
  <si>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</si>
  <si>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</si>
  <si>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</si>
  <si>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</si>
  <si>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</si>
  <si>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</si>
  <si>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</si>
  <si>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</si>
  <si>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</si>
  <si>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</si>
  <si>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</si>
  <si>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</si>
  <si>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</si>
  <si>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</si>
  <si>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</si>
  <si>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</si>
  <si>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</si>
  <si>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</si>
  <si>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</si>
  <si>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</si>
  <si>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</si>
  <si>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</si>
  <si>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</si>
  <si>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</si>
  <si>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</si>
  <si>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</si>
  <si>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</si>
  <si>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</si>
  <si>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</si>
  <si>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</si>
  <si>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</si>
  <si>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</si>
  <si>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</si>
  <si>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</si>
  <si>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</si>
  <si>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</si>
  <si>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</si>
  <si>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</si>
  <si>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</si>
  <si>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</si>
  <si>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</si>
  <si>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</si>
  <si>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</si>
  <si>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</si>
  <si>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</si>
  <si>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</si>
  <si>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</si>
  <si>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</si>
  <si>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</si>
  <si>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</si>
  <si>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</si>
  <si>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</si>
  <si>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</si>
  <si>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</si>
  <si>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</si>
  <si>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</si>
  <si>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</si>
  <si>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</si>
  <si>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</si>
  <si>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</si>
  <si>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</si>
  <si>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</si>
  <si>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</si>
  <si>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</si>
  <si>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</si>
  <si>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</si>
  <si>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</si>
  <si>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</si>
  <si>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</si>
  <si>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</si>
  <si>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</si>
  <si>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</si>
  <si>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</si>
  <si>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</si>
  <si>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</si>
  <si>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</si>
  <si>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</si>
  <si>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</si>
  <si>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</si>
  <si>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</si>
  <si>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</si>
  <si>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</si>
  <si>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</si>
  <si>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</si>
  <si>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</si>
  <si>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</si>
  <si>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</si>
  <si>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</si>
  <si>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</si>
  <si>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</si>
  <si>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</si>
  <si>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</si>
  <si>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</si>
  <si>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</si>
  <si>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</si>
  <si>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</si>
  <si>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</si>
  <si>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</si>
  <si>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</si>
  <si>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</si>
  <si>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</si>
  <si>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</si>
  <si>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</si>
  <si>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</si>
  <si>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</si>
  <si>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</si>
  <si>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</si>
  <si>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</si>
  <si>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</si>
  <si>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</si>
  <si>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</si>
  <si>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</si>
  <si>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</si>
  <si>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</si>
  <si>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</si>
  <si>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</si>
  <si>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</si>
  <si>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</si>
  <si>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</si>
  <si>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</si>
  <si>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</si>
  <si>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</si>
  <si>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</si>
  <si>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</si>
  <si>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</si>
  <si>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</si>
  <si>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</si>
  <si>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</si>
  <si>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</si>
  <si>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</si>
  <si>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</si>
  <si>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</si>
  <si>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</si>
  <si>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</si>
  <si>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</si>
  <si>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</si>
  <si>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</si>
  <si>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</si>
  <si>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</si>
  <si>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</si>
  <si>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</si>
  <si>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</si>
  <si>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</si>
  <si>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</si>
  <si>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</si>
  <si>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</si>
  <si>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</si>
  <si>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</si>
  <si>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</si>
  <si>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</si>
  <si>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</si>
  <si>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</si>
  <si>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</si>
  <si>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</si>
  <si>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</si>
  <si>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</si>
  <si>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</si>
  <si>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</si>
  <si>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</si>
  <si>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</si>
  <si>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</si>
  <si>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</si>
  <si>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</si>
  <si>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</si>
  <si>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</si>
  <si>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</si>
  <si>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</si>
  <si>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</si>
  <si>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</si>
  <si>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</si>
  <si>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</si>
  <si>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</si>
  <si>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</si>
  <si>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</si>
  <si>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</si>
  <si>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</si>
  <si>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</si>
  <si>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</si>
  <si>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</si>
  <si>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</si>
  <si>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</si>
  <si>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</si>
  <si>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</si>
  <si>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</si>
  <si>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</si>
  <si>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</si>
  <si>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</si>
  <si>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</si>
  <si>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</si>
  <si>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</si>
  <si>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</si>
  <si>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</si>
  <si>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</si>
  <si>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</si>
  <si>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</si>
  <si>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</si>
  <si>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</si>
  <si>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</si>
  <si>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</si>
  <si>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</si>
  <si>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</si>
  <si>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</si>
  <si>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</si>
  <si>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</si>
  <si>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</si>
  <si>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</si>
  <si>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</si>
  <si>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</si>
  <si>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</si>
  <si>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</si>
  <si>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</si>
  <si>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</si>
  <si>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</si>
  <si>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</si>
  <si>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</si>
  <si>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</si>
  <si>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</si>
  <si>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</si>
  <si>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</si>
  <si>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</si>
  <si>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</si>
  <si>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</si>
  <si>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</si>
  <si>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</si>
  <si>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</si>
  <si>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</si>
  <si>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</si>
  <si>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</si>
  <si>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</si>
  <si>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</si>
  <si>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</si>
  <si>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</si>
  <si>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</si>
  <si>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</si>
  <si>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</si>
  <si>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</si>
  <si>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</si>
  <si>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</si>
  <si>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</si>
  <si>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</si>
  <si>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</si>
  <si>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</si>
  <si>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</si>
  <si>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</si>
  <si>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</si>
  <si>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</si>
  <si>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</si>
  <si>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</si>
  <si>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</si>
  <si>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</si>
  <si>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</si>
  <si>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</si>
  <si>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</si>
  <si>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</si>
  <si>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</si>
  <si>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</si>
  <si>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</si>
  <si>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</si>
  <si>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</si>
  <si>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</si>
  <si>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</si>
  <si>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</si>
  <si>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</si>
  <si>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</si>
  <si>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</si>
  <si>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</si>
  <si>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</si>
  <si>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</si>
  <si>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</si>
  <si>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</si>
  <si>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</si>
  <si>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</si>
  <si>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</si>
  <si>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</si>
  <si>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</si>
  <si>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</si>
  <si>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</si>
  <si>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</si>
  <si>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</si>
  <si>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</si>
  <si>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</si>
  <si>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</si>
  <si>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</si>
  <si>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</si>
  <si>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</si>
  <si>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</si>
  <si>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</si>
  <si>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</si>
  <si>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</si>
  <si>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</si>
  <si>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</si>
  <si>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</si>
  <si>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</si>
  <si>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</si>
  <si>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</si>
  <si>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</si>
  <si>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</si>
  <si>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</si>
  <si>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</si>
  <si>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</si>
  <si>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</si>
  <si>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</si>
  <si>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</si>
  <si>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</si>
  <si>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</si>
  <si>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</si>
  <si>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</si>
  <si>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</si>
  <si>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</si>
  <si>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</si>
  <si>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</si>
  <si>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</si>
  <si>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</si>
  <si>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</si>
  <si>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</si>
  <si>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</si>
  <si>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</si>
  <si>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</si>
  <si>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</si>
  <si>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</si>
  <si>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</si>
  <si>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</si>
  <si>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</si>
  <si>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</si>
  <si>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</si>
  <si>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</si>
  <si>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</si>
  <si>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</si>
  <si>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</si>
  <si>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</si>
  <si>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</si>
  <si>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</si>
  <si>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</si>
  <si>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</si>
  <si>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</si>
  <si>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</si>
  <si>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</si>
  <si>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</si>
  <si>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</si>
  <si>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</si>
  <si>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</si>
  <si>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</si>
  <si>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</si>
  <si>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</si>
  <si>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</si>
  <si>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</si>
  <si>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</si>
  <si>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</si>
  <si>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</si>
  <si>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</si>
  <si>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</si>
  <si>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</si>
  <si>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</si>
  <si>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</si>
  <si>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</si>
  <si>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</si>
  <si>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</si>
  <si>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</si>
  <si>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</si>
  <si>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</si>
  <si>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</si>
  <si>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</si>
  <si>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</si>
  <si>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</si>
  <si>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</si>
  <si>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</si>
  <si>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</si>
  <si>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</si>
  <si>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</si>
  <si>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</si>
  <si>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</si>
  <si>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</si>
  <si>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</si>
  <si>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</si>
  <si>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</si>
  <si>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</si>
  <si>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</si>
  <si>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</si>
  <si>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</si>
  <si>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</si>
  <si>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</si>
  <si>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</si>
  <si>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</si>
  <si>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</si>
  <si>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</si>
  <si>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</si>
  <si>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</si>
  <si>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</si>
  <si>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</si>
  <si>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</si>
  <si>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</si>
  <si>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</si>
  <si>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</si>
  <si>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</si>
  <si>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</si>
  <si>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</si>
  <si>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</si>
  <si>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</si>
  <si>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</si>
  <si>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</si>
  <si>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</si>
  <si>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</si>
  <si>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</si>
  <si>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</si>
  <si>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</si>
  <si>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</si>
  <si>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</si>
  <si>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</si>
  <si>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</si>
  <si>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</si>
  <si>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</si>
  <si>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</si>
  <si>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</si>
  <si>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</si>
  <si>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</si>
  <si>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</si>
  <si>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</si>
  <si>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</si>
  <si>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</si>
  <si>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</si>
  <si>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</si>
  <si>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</si>
  <si>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</si>
  <si>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</si>
  <si>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</si>
  <si>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</si>
  <si>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</si>
  <si>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</si>
  <si>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</si>
  <si>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</si>
  <si>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</si>
  <si>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</si>
  <si>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</si>
  <si>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</si>
  <si>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</si>
  <si>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</si>
  <si>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</si>
  <si>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</si>
  <si>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</si>
  <si>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</si>
  <si>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</si>
  <si>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</si>
  <si>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</si>
  <si>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</si>
  <si>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</si>
  <si>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</si>
  <si>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</si>
  <si>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</si>
  <si>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</si>
  <si>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</si>
  <si>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</si>
  <si>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</si>
  <si>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</si>
  <si>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</si>
  <si>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</si>
  <si>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</si>
  <si>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</si>
  <si>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</si>
  <si>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</si>
  <si>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</si>
  <si>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</si>
  <si>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</si>
  <si>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</si>
  <si>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</si>
  <si>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</si>
  <si>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</si>
  <si>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</si>
  <si>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</si>
  <si>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</si>
  <si>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</si>
  <si>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</si>
  <si>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</si>
  <si>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</si>
  <si>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</si>
  <si>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</si>
  <si>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</si>
  <si>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</si>
  <si>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</si>
  <si>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</si>
  <si>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</si>
  <si>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</si>
  <si>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</si>
  <si>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</si>
  <si>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</si>
  <si>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</si>
  <si>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</si>
  <si>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</si>
  <si>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</si>
  <si>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</si>
  <si>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</si>
  <si>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</si>
  <si>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</si>
  <si>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</si>
  <si>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</si>
  <si>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</si>
  <si>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</si>
  <si>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</si>
  <si>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</si>
  <si>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</si>
  <si>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</si>
  <si>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</si>
  <si>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</si>
  <si>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</si>
  <si>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</si>
  <si>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</si>
  <si>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</si>
  <si>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</si>
  <si>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</si>
  <si>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</si>
  <si>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</si>
  <si>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</si>
  <si>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</si>
  <si>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</si>
  <si>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</si>
  <si>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</si>
  <si>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</si>
  <si>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</si>
  <si>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</si>
  <si>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</si>
  <si>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</si>
  <si>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</si>
  <si>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</si>
  <si>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</si>
  <si>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</si>
  <si>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</si>
  <si>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</si>
  <si>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</si>
  <si>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</si>
  <si>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</si>
  <si>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</si>
  <si>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</si>
  <si>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</si>
  <si>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</si>
  <si>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</si>
  <si>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</si>
  <si>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</si>
  <si>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</si>
  <si>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</si>
  <si>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</si>
  <si>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</si>
  <si>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</si>
  <si>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</si>
  <si>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</si>
  <si>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</si>
  <si>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</si>
  <si>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</si>
  <si>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</si>
  <si>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</si>
  <si>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</si>
  <si>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</si>
  <si>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</si>
  <si>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</si>
  <si>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</si>
  <si>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</si>
  <si>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</si>
  <si>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</si>
  <si>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</si>
  <si>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</si>
  <si>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</si>
  <si>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</si>
  <si>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</si>
  <si>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</si>
  <si>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</si>
  <si>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</si>
  <si>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</si>
  <si>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</si>
  <si>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</si>
  <si>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</si>
  <si>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</si>
  <si>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</si>
  <si>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</si>
  <si>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</si>
  <si>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</si>
  <si>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</si>
  <si>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</si>
  <si>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</si>
  <si>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</si>
  <si>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</si>
  <si>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</si>
  <si>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</si>
  <si>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</si>
  <si>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</si>
  <si>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</si>
  <si>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</si>
  <si>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</si>
  <si>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</si>
  <si>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</si>
  <si>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</si>
  <si>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</si>
  <si>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</si>
  <si>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</si>
  <si>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</si>
  <si>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</si>
  <si>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</si>
  <si>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</si>
  <si>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</si>
  <si>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</si>
  <si>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</si>
  <si>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</si>
  <si>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</si>
  <si>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</si>
  <si>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</si>
  <si>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</si>
  <si>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</si>
  <si>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</si>
  <si>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</si>
  <si>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</si>
  <si>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</si>
  <si>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</si>
  <si>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</si>
  <si>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</si>
  <si>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</si>
  <si>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</si>
  <si>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</si>
  <si>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</si>
  <si>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</si>
  <si>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</si>
  <si>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</si>
  <si>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</si>
  <si>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</si>
  <si>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</si>
  <si>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</si>
  <si>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</si>
  <si>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</si>
  <si>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</si>
  <si>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</si>
  <si>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</si>
  <si>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</si>
  <si>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</si>
  <si>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</si>
  <si>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</si>
  <si>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</si>
  <si>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</si>
  <si>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</si>
  <si>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</si>
  <si>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</si>
  <si>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</si>
  <si>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</si>
  <si>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</si>
  <si>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</si>
  <si>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</si>
  <si>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</si>
  <si>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</si>
  <si>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</si>
  <si>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</si>
  <si>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</si>
  <si>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</si>
  <si>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</si>
  <si>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</si>
  <si>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</si>
  <si>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</si>
  <si>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</si>
  <si>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</si>
  <si>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</si>
  <si>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</si>
  <si>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</si>
  <si>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</si>
  <si>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</si>
  <si>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</si>
  <si>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</si>
  <si>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</si>
  <si>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</si>
  <si>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</si>
  <si>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</si>
  <si>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</si>
  <si>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</si>
  <si>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</si>
  <si>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</si>
  <si>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</si>
  <si>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</si>
  <si>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</si>
  <si>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</si>
  <si>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</si>
  <si>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</si>
  <si>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</si>
  <si>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</si>
  <si>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</si>
  <si>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</si>
  <si>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</si>
  <si>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</si>
  <si>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</si>
  <si>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</si>
  <si>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</si>
  <si>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</si>
  <si>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</si>
  <si>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</si>
  <si>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</si>
  <si>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</si>
  <si>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</si>
  <si>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</si>
  <si>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</si>
  <si>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</si>
  <si>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</si>
  <si>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</si>
  <si>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</si>
  <si>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</si>
  <si>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</si>
  <si>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</si>
  <si>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</si>
  <si>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</si>
  <si>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</si>
  <si>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</si>
  <si>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</si>
  <si>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</si>
  <si>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</si>
  <si>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</si>
  <si>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</si>
  <si>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</si>
  <si>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</si>
  <si>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</si>
  <si>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</si>
  <si>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</si>
  <si>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</si>
  <si>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</si>
  <si>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</si>
  <si>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</si>
  <si>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</si>
  <si>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</si>
  <si>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</si>
  <si>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</si>
  <si>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</si>
  <si>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</si>
  <si>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</si>
  <si>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</si>
  <si>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</si>
  <si>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</si>
  <si>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</si>
  <si>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</si>
  <si>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</si>
  <si>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</si>
  <si>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</si>
  <si>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</si>
  <si>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</si>
  <si>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</si>
  <si>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</si>
  <si>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</si>
  <si>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</si>
  <si>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</si>
  <si>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</si>
  <si>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</si>
  <si>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</si>
  <si>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</si>
  <si>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</si>
  <si>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</si>
  <si>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</si>
  <si>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</si>
  <si>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</si>
  <si>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</si>
  <si>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</si>
  <si>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</si>
  <si>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</si>
  <si>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</si>
  <si>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</si>
  <si>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</si>
  <si>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</si>
  <si>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</si>
  <si>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</si>
  <si>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</si>
  <si>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</si>
  <si>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</si>
  <si>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</si>
  <si>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</si>
  <si>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</si>
  <si>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</si>
  <si>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</si>
  <si>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</si>
  <si>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</si>
  <si>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</si>
  <si>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</si>
  <si>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</si>
  <si>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</si>
  <si>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</si>
  <si>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</si>
  <si>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</si>
  <si>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</si>
  <si>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</si>
  <si>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</si>
  <si>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</si>
  <si>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</si>
  <si>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</si>
  <si>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</si>
  <si>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</si>
  <si>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</si>
  <si>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</si>
  <si>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</si>
  <si>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</si>
  <si>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</si>
  <si>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</si>
  <si>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</si>
  <si>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</si>
  <si>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</si>
  <si>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</si>
  <si>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</si>
  <si>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</si>
  <si>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</si>
  <si>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</si>
  <si>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</si>
  <si>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</si>
  <si>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</si>
  <si>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</si>
  <si>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</si>
  <si>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</si>
  <si>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</si>
  <si>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</si>
  <si>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</si>
  <si>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</si>
  <si>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</si>
  <si>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</si>
  <si>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</si>
  <si>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</si>
  <si>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</si>
  <si>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</si>
  <si>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</si>
  <si>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</si>
  <si>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</si>
  <si>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</si>
  <si>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</si>
  <si>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</si>
  <si>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</si>
  <si>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</si>
  <si>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</si>
  <si>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</si>
  <si>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</si>
  <si>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</si>
  <si>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</si>
  <si>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</si>
  <si>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</si>
  <si>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</si>
  <si>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</si>
  <si>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</si>
  <si>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</si>
  <si>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</si>
  <si>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</si>
  <si>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</si>
  <si>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</si>
  <si>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</si>
  <si>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</si>
  <si>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</si>
  <si>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</si>
  <si>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</si>
  <si>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</si>
  <si>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</si>
  <si>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</si>
  <si>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</si>
  <si>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</si>
  <si>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</si>
  <si>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</si>
  <si>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</si>
  <si>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</si>
  <si>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</si>
  <si>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</si>
  <si>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</si>
  <si>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</si>
  <si>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</si>
  <si>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</si>
  <si>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</si>
  <si>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</si>
  <si>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</si>
  <si>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</si>
  <si>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</si>
  <si>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</si>
  <si>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</si>
  <si>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</si>
  <si>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</si>
  <si>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</si>
  <si>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</si>
  <si>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</si>
  <si>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</si>
  <si>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</si>
  <si>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</si>
  <si>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</si>
  <si>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</si>
  <si>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</si>
  <si>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</si>
  <si>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</si>
  <si>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</si>
  <si>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</si>
  <si>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</si>
  <si>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</si>
  <si>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</si>
  <si>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</si>
  <si>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</si>
  <si>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</si>
  <si>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</si>
  <si>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</si>
  <si>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</si>
  <si>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</si>
  <si>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</si>
  <si>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</si>
  <si>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</si>
  <si>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</si>
  <si>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</si>
  <si>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</si>
  <si>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</si>
  <si>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</si>
  <si>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</si>
  <si>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</si>
  <si>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</si>
  <si>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</si>
  <si>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</si>
  <si>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</si>
  <si>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</si>
  <si>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</si>
  <si>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</si>
  <si>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</si>
  <si>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</si>
  <si>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</si>
  <si>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</si>
  <si>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</si>
  <si>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</si>
  <si>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</si>
  <si>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</si>
  <si>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</si>
  <si>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</si>
  <si>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</si>
  <si>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</si>
  <si>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</si>
  <si>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</si>
  <si>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</si>
  <si>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</si>
  <si>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</si>
  <si>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</si>
  <si>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</si>
  <si>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</si>
  <si>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</si>
  <si>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</si>
  <si>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</si>
  <si>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</si>
  <si>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</si>
  <si>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</si>
  <si>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</si>
  <si>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</si>
  <si>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</si>
  <si>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</si>
  <si>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</si>
  <si>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</si>
  <si>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</si>
  <si>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</si>
  <si>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</si>
  <si>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</si>
  <si>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</si>
  <si>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</si>
  <si>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</si>
  <si>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</si>
  <si>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</si>
  <si>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</si>
  <si>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</si>
  <si>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</si>
  <si>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</si>
  <si>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</si>
  <si>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</si>
  <si>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</si>
  <si>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</si>
  <si>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</si>
  <si>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</si>
  <si>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</si>
  <si>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</si>
  <si>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</si>
  <si>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</si>
  <si>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</si>
  <si>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</si>
  <si>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</si>
  <si>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</si>
  <si>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</si>
  <si>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</si>
  <si>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</si>
  <si>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</si>
  <si>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</si>
  <si>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</si>
  <si>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</si>
  <si>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</si>
  <si>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</si>
  <si>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</si>
  <si>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</si>
  <si>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</si>
  <si>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</si>
  <si>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</si>
  <si>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</si>
  <si>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</si>
  <si>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</si>
  <si>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</si>
  <si>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</si>
  <si>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</si>
  <si>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</si>
  <si>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</si>
  <si>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</si>
  <si>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</si>
  <si>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</si>
  <si>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</si>
  <si>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</si>
  <si>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</si>
  <si>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</si>
  <si>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</si>
  <si>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</si>
  <si>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</si>
  <si>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</si>
  <si>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</si>
  <si>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</si>
  <si>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</si>
  <si>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</si>
  <si>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</si>
  <si>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</si>
  <si>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</si>
  <si>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</si>
  <si>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</si>
  <si>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</si>
  <si>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</si>
  <si>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</si>
  <si>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</si>
  <si>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</si>
  <si>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</si>
  <si>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</si>
  <si>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</si>
  <si>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</si>
  <si>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</si>
  <si>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</si>
  <si>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</si>
  <si>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</si>
  <si>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</si>
  <si>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</si>
  <si>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</si>
  <si>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</si>
  <si>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</si>
  <si>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</si>
  <si>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</si>
  <si>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</si>
  <si>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</si>
  <si>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</si>
  <si>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</si>
  <si>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</si>
  <si>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</si>
  <si>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</si>
  <si>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</si>
  <si>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</si>
  <si>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</si>
  <si>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</si>
  <si>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</si>
  <si>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</si>
  <si>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</si>
  <si>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</si>
  <si>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</si>
  <si>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</si>
  <si>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</si>
  <si>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</si>
  <si>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</si>
  <si>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</si>
  <si>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</si>
  <si>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</si>
  <si>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</si>
  <si>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</si>
  <si>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</si>
  <si>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</si>
  <si>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</si>
  <si>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</si>
  <si>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</si>
  <si>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</si>
  <si>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</si>
  <si>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</si>
  <si>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</si>
  <si>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</si>
  <si>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</si>
  <si>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</si>
  <si>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</si>
  <si>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</si>
  <si>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</si>
  <si>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</si>
  <si>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</si>
  <si>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</si>
  <si>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</si>
  <si>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</si>
  <si>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</si>
  <si>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</si>
  <si>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</si>
  <si>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</si>
  <si>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</si>
  <si>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</si>
  <si>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</si>
  <si>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</si>
  <si>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</si>
  <si>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</si>
  <si>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</si>
  <si>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</si>
  <si>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</si>
  <si>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</si>
  <si>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</si>
  <si>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</si>
  <si>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</si>
  <si>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</si>
  <si>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</si>
  <si>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</si>
  <si>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</si>
  <si>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</si>
  <si>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</si>
  <si>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</si>
  <si>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</si>
  <si>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</si>
  <si>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</si>
  <si>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</si>
  <si>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</si>
  <si>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</si>
  <si>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</si>
  <si>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</si>
  <si>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</si>
  <si>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</si>
  <si>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</si>
  <si>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</si>
  <si>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</si>
  <si>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</si>
  <si>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</si>
  <si>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</si>
  <si>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</si>
  <si>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</si>
  <si>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</si>
  <si>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</si>
  <si>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</si>
  <si>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</si>
  <si>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</si>
  <si>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</si>
  <si>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</si>
  <si>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</si>
  <si>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</si>
  <si>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</si>
  <si>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</si>
  <si>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</si>
  <si>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</si>
  <si>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</si>
  <si>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</si>
  <si>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</si>
  <si>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</si>
  <si>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</si>
  <si>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</si>
  <si>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</si>
  <si>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</si>
  <si>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</si>
  <si>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</si>
  <si>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</si>
  <si>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</si>
  <si>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</si>
  <si>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</si>
  <si>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</si>
  <si>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</si>
  <si>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</si>
  <si>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</si>
  <si>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</si>
  <si>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</si>
  <si>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</si>
  <si>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</si>
  <si>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</si>
  <si>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</si>
  <si>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</si>
  <si>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</si>
  <si>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</si>
  <si>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</si>
  <si>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</si>
  <si>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</si>
  <si>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</si>
  <si>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</si>
  <si>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</si>
  <si>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</si>
  <si>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</si>
  <si>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</si>
  <si>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</si>
  <si>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</si>
  <si>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</si>
  <si>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</si>
  <si>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</si>
  <si>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</si>
  <si>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</si>
  <si>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</si>
  <si>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</si>
  <si>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</si>
  <si>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</si>
  <si>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</si>
  <si>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</si>
  <si>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</si>
  <si>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</si>
  <si>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</si>
  <si>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</si>
  <si>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</si>
  <si>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</si>
  <si>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</si>
  <si>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</si>
  <si>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</si>
  <si>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</si>
  <si>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</si>
  <si>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</si>
  <si>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</si>
  <si>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</si>
  <si>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</si>
  <si>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</si>
  <si>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</si>
  <si>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</si>
  <si>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</si>
  <si>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</si>
  <si>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</si>
  <si>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</si>
  <si>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</si>
  <si>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</si>
  <si>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</si>
  <si>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</si>
  <si>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</si>
  <si>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</si>
  <si>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</si>
  <si>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</si>
  <si>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</si>
  <si>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</si>
  <si>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</si>
  <si>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</si>
  <si>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</si>
  <si>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</si>
  <si>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</si>
  <si>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</si>
  <si>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</si>
  <si>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</si>
  <si>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</si>
  <si>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</si>
  <si>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</si>
  <si>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</si>
  <si>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</si>
  <si>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</si>
  <si>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</si>
  <si>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</si>
  <si>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</si>
  <si>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</si>
  <si>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</si>
  <si>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</si>
  <si>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</si>
  <si>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</si>
  <si>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</si>
  <si>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</si>
  <si>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</si>
  <si>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</si>
  <si>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</si>
  <si>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</si>
  <si>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</si>
  <si>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</si>
  <si>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</si>
  <si>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</si>
  <si>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</si>
  <si>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</si>
  <si>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</si>
  <si>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</si>
  <si>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</si>
  <si>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</si>
  <si>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</si>
  <si>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</si>
  <si>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</si>
  <si>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</si>
  <si>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</si>
  <si>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</si>
  <si>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</si>
  <si>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</si>
  <si>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</si>
  <si>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</si>
  <si>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</si>
  <si>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</si>
  <si>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</si>
  <si>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</si>
  <si>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</si>
  <si>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</si>
  <si>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</si>
  <si>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</si>
  <si>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</si>
  <si>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</si>
  <si>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</si>
  <si>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</si>
  <si>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</si>
  <si>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</si>
  <si>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</si>
  <si>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</si>
  <si>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</si>
  <si>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</si>
  <si>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</si>
  <si>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</si>
  <si>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</si>
  <si>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</si>
  <si>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</si>
  <si>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</si>
  <si>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</si>
  <si>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</si>
  <si>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</si>
  <si>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</si>
  <si>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</si>
  <si>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</si>
  <si>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</si>
  <si>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</si>
  <si>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</si>
  <si>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</si>
  <si>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</si>
  <si>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</si>
  <si>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</si>
  <si>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</si>
  <si>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</si>
  <si>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</si>
  <si>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</si>
  <si>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</si>
  <si>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</si>
  <si>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</si>
  <si>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</si>
  <si>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</si>
  <si>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</si>
  <si>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</si>
  <si>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</si>
  <si>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</si>
  <si>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</si>
  <si>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</si>
  <si>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</si>
  <si>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</si>
  <si>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</si>
  <si>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</si>
  <si>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</si>
  <si>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</si>
  <si>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</si>
  <si>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</si>
  <si>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</si>
  <si>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</si>
  <si>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</si>
  <si>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</si>
  <si>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</si>
  <si>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</si>
  <si>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</si>
  <si>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</si>
  <si>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</si>
  <si>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</si>
  <si>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</si>
  <si>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</si>
  <si>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</si>
  <si>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</si>
  <si>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</si>
  <si>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</si>
  <si>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</si>
  <si>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</si>
  <si>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</si>
  <si>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</si>
  <si>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</si>
  <si>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</si>
  <si>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</si>
  <si>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</si>
  <si>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</si>
  <si>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</si>
  <si>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</si>
  <si>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</si>
  <si>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</si>
  <si>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</si>
  <si>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</si>
  <si>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</si>
  <si>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</si>
  <si>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</si>
  <si>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</si>
  <si>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</si>
  <si>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</si>
  <si>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</si>
  <si>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</si>
  <si>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</si>
  <si>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</si>
  <si>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</si>
  <si>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</si>
  <si>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</si>
  <si>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</si>
  <si>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</si>
  <si>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</si>
  <si>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</si>
  <si>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</si>
  <si>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</si>
  <si>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</si>
  <si>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</si>
  <si>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</si>
  <si>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</si>
  <si>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</si>
  <si>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</si>
  <si>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</si>
  <si>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</si>
  <si>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</si>
  <si>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</si>
  <si>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</si>
  <si>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</si>
  <si>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</si>
  <si>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</si>
  <si>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</si>
  <si>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</si>
  <si>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</si>
  <si>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</si>
  <si>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</si>
  <si>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</si>
  <si>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</si>
  <si>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</si>
  <si>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</si>
  <si>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</si>
  <si>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</si>
  <si>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</si>
  <si>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</si>
  <si>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</si>
  <si>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</si>
  <si>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</si>
  <si>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</si>
  <si>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</si>
  <si>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</si>
  <si>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</si>
  <si>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</si>
  <si>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</si>
  <si>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</si>
  <si>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</si>
  <si>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</si>
  <si>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</si>
  <si>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</si>
  <si>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</si>
  <si>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</si>
  <si>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</si>
  <si>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</si>
  <si>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</si>
  <si>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</si>
  <si>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</si>
  <si>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</si>
  <si>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</si>
  <si>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</si>
  <si>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</si>
  <si>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</si>
  <si>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</si>
  <si>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</si>
  <si>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</si>
  <si>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</si>
  <si>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</si>
  <si>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</si>
  <si>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</si>
  <si>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</si>
  <si>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</si>
  <si>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</si>
  <si>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</si>
  <si>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</si>
  <si>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</si>
  <si>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</si>
  <si>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</si>
  <si>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</si>
  <si>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</si>
  <si>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</si>
  <si>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</si>
  <si>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</si>
  <si>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</si>
  <si>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</si>
  <si>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</si>
  <si>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</si>
  <si>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</si>
  <si>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</si>
  <si>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</si>
  <si>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</si>
  <si>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</si>
  <si>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</si>
  <si>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</si>
  <si>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</si>
  <si>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</si>
  <si>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</si>
  <si>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</si>
  <si>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</si>
  <si>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</si>
  <si>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</si>
  <si>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</si>
  <si>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</si>
  <si>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</si>
  <si>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</si>
  <si>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</si>
  <si>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</si>
  <si>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</si>
  <si>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</si>
  <si>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</si>
  <si>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</si>
  <si>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</si>
  <si>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</si>
  <si>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</si>
  <si>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</si>
  <si>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</si>
  <si>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</si>
  <si>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</si>
  <si>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</si>
  <si>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</si>
  <si>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</si>
  <si>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</si>
  <si>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</si>
  <si>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</si>
  <si>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</si>
  <si>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</si>
  <si>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</si>
  <si>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</si>
  <si>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</si>
  <si>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</si>
  <si>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</si>
  <si>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</si>
  <si>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</si>
  <si>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</si>
  <si>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</si>
  <si>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</si>
  <si>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</si>
  <si>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</si>
  <si>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</si>
  <si>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</si>
  <si>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</si>
  <si>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</si>
  <si>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</si>
  <si>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</si>
  <si>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</si>
  <si>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</si>
  <si>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</si>
  <si>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</si>
  <si>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</si>
  <si>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</si>
  <si>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</si>
  <si>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</si>
  <si>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</si>
  <si>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</si>
  <si>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</si>
  <si>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</si>
  <si>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</si>
  <si>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</si>
  <si>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</si>
  <si>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</si>
  <si>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</si>
  <si>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</si>
  <si>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</si>
  <si>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</si>
  <si>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</si>
  <si>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</si>
  <si>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</si>
  <si>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</si>
  <si>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</si>
  <si>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</si>
  <si>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</si>
  <si>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</si>
  <si>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</si>
  <si>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</si>
  <si>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</si>
  <si>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</si>
  <si>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</si>
  <si>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</si>
  <si>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</si>
  <si>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</si>
  <si>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</si>
  <si>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</si>
  <si>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</si>
  <si>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</si>
  <si>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</si>
  <si>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</si>
  <si>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</si>
  <si>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</si>
  <si>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</si>
  <si>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</si>
  <si>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</si>
  <si>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</si>
  <si>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</si>
  <si>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</si>
  <si>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</si>
  <si>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</si>
  <si>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</si>
  <si>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</si>
  <si>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</si>
  <si>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</si>
  <si>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</si>
  <si>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</si>
  <si>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</si>
  <si>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</si>
  <si>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</si>
  <si>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</si>
  <si>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</si>
  <si>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</si>
  <si>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</si>
  <si>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</si>
  <si>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</si>
  <si>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</si>
  <si>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</si>
  <si>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</si>
  <si>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</si>
  <si>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</si>
  <si>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</si>
  <si>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</si>
  <si>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</si>
  <si>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</si>
  <si>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</si>
  <si>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</si>
  <si>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</si>
  <si>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</si>
  <si>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</si>
  <si>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</si>
  <si>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</si>
  <si>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</si>
  <si>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</si>
  <si>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</si>
  <si>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</si>
  <si>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</si>
  <si>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</si>
  <si>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</si>
  <si>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</si>
  <si>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</si>
  <si>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</si>
  <si>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</si>
  <si>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</si>
  <si>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</si>
  <si>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</si>
  <si>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</si>
  <si>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</si>
  <si>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</si>
  <si>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</si>
  <si>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</si>
  <si>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</si>
  <si>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</si>
  <si>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</si>
  <si>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</si>
  <si>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</si>
  <si>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</si>
  <si>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</si>
  <si>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</si>
  <si>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</si>
  <si>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</si>
  <si>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</si>
  <si>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</si>
  <si>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</si>
  <si>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</si>
  <si>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</si>
  <si>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</si>
  <si>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</si>
  <si>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</si>
  <si>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</si>
  <si>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</si>
  <si>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</si>
  <si>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</si>
  <si>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</si>
  <si>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</si>
  <si>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</si>
  <si>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</si>
  <si>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</si>
  <si>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</si>
  <si>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</si>
  <si>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</si>
  <si>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</si>
  <si>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</si>
  <si>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</si>
  <si>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</si>
  <si>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</si>
  <si>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</si>
  <si>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</si>
  <si>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</si>
  <si>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</si>
  <si>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</si>
  <si>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</si>
  <si>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</si>
  <si>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</si>
  <si>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</si>
  <si>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</si>
  <si>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</si>
  <si>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</si>
  <si>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</si>
  <si>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</si>
  <si>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</si>
  <si>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</si>
  <si>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</si>
  <si>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</si>
  <si>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</si>
  <si>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</si>
  <si>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</si>
  <si>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</si>
  <si>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</si>
  <si>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</si>
  <si>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</si>
  <si>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</si>
  <si>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</si>
  <si>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</si>
  <si>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</si>
  <si>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</si>
  <si>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</si>
  <si>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</si>
  <si>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</si>
  <si>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</si>
  <si>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</si>
  <si>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</si>
  <si>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</si>
  <si>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</si>
  <si>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</si>
  <si>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</si>
  <si>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</si>
  <si>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</si>
  <si>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</si>
  <si>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</si>
  <si>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</si>
  <si>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</si>
  <si>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</si>
  <si>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</si>
  <si>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</si>
  <si>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</si>
  <si>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</si>
  <si>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</si>
  <si>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</si>
  <si>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</si>
  <si>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</si>
  <si>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</si>
  <si>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</si>
  <si>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</si>
  <si>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</si>
  <si>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</si>
  <si>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</si>
  <si>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</si>
  <si>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</si>
  <si>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</si>
  <si>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</si>
  <si>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</si>
  <si>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</si>
  <si>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</si>
  <si>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</si>
  <si>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</si>
  <si>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</si>
  <si>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</si>
  <si>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</si>
  <si>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</si>
  <si>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</si>
  <si>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</si>
  <si>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</si>
  <si>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</si>
  <si>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</si>
  <si>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</si>
  <si>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</si>
  <si>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</si>
  <si>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</si>
  <si>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</si>
  <si>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</si>
  <si>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</si>
  <si>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</si>
  <si>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</si>
  <si>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</si>
  <si>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</si>
  <si>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</si>
  <si>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</si>
  <si>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</si>
  <si>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</si>
  <si>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</si>
  <si>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</si>
  <si>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</si>
  <si>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</si>
  <si>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</si>
  <si>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</si>
  <si>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</si>
  <si>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</si>
  <si>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</si>
  <si>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</si>
  <si>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</si>
  <si>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</si>
  <si>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</si>
  <si>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</si>
  <si>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</si>
  <si>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</si>
  <si>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</si>
  <si>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</si>
  <si>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</si>
  <si>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</si>
  <si>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</si>
  <si>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</si>
  <si>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</si>
  <si>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</si>
  <si>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</si>
  <si>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</si>
  <si>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</si>
  <si>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</si>
  <si>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</si>
  <si>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</si>
  <si>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</si>
  <si>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</si>
  <si>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</si>
  <si>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</si>
  <si>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</si>
  <si>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</si>
  <si>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</si>
  <si>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</si>
  <si>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</si>
  <si>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</si>
  <si>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</si>
  <si>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</si>
  <si>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</si>
  <si>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</si>
  <si>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</si>
  <si>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</si>
  <si>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</si>
  <si>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</si>
  <si>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</si>
  <si>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</si>
  <si>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</si>
  <si>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</si>
  <si>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</si>
  <si>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</si>
  <si>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</si>
  <si>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</si>
  <si>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</si>
  <si>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</si>
  <si>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</si>
  <si>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</si>
  <si>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</si>
  <si>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</si>
  <si>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</si>
  <si>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</si>
  <si>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</si>
  <si>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</si>
  <si>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</si>
  <si>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</si>
  <si>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</si>
  <si>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</si>
  <si>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</si>
  <si>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</si>
  <si>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</si>
  <si>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</si>
  <si>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</si>
  <si>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</si>
  <si>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</si>
  <si>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</si>
  <si>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</si>
  <si>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</si>
  <si>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</si>
  <si>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</si>
  <si>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</si>
  <si>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</si>
  <si>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</si>
  <si>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</si>
  <si>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</si>
  <si>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</si>
  <si>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</si>
  <si>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</si>
  <si>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</si>
  <si>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</si>
  <si>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</si>
  <si>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</si>
  <si>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</si>
  <si>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</si>
  <si>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</si>
  <si>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</si>
  <si>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</si>
  <si>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</si>
  <si>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</si>
  <si>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</si>
  <si>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</si>
  <si>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</si>
  <si>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</si>
  <si>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</si>
  <si>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</si>
  <si>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</si>
  <si>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</si>
  <si>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</si>
  <si>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</si>
  <si>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</si>
  <si>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</si>
  <si>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</si>
  <si>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</si>
  <si>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</si>
  <si>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</si>
  <si>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</si>
  <si>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</si>
  <si>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</si>
  <si>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</si>
  <si>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</si>
  <si>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</si>
  <si>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</si>
  <si>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</si>
  <si>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</si>
  <si>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</si>
  <si>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</si>
  <si>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</si>
  <si>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</si>
  <si>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</si>
  <si>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</si>
  <si>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</si>
  <si>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</si>
  <si>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</si>
  <si>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</si>
  <si>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</si>
  <si>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</si>
  <si>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</si>
  <si>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</si>
  <si>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</si>
  <si>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</si>
  <si>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</si>
  <si>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</si>
  <si>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</si>
  <si>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</si>
  <si>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</si>
  <si>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</si>
  <si>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</si>
  <si>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</si>
  <si>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</si>
  <si>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</si>
  <si>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</si>
  <si>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</si>
  <si>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</si>
  <si>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</si>
  <si>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</si>
  <si>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</si>
  <si>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</si>
  <si>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</si>
  <si>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</si>
  <si>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</si>
  <si>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</si>
  <si>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</si>
  <si>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</si>
  <si>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</si>
  <si>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</si>
  <si>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</si>
  <si>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</si>
  <si>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</si>
  <si>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</si>
  <si>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</si>
  <si>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</si>
  <si>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</si>
  <si>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</si>
  <si>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</si>
  <si>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</si>
  <si>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</si>
  <si>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</si>
  <si>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</si>
  <si>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</si>
  <si>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</si>
  <si>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</si>
  <si>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</si>
  <si>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</si>
  <si>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</si>
  <si>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</si>
  <si>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</si>
  <si>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</si>
  <si>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</si>
  <si>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</si>
  <si>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</si>
  <si>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</si>
  <si>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</si>
  <si>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</si>
  <si>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</si>
  <si>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</si>
  <si>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</si>
  <si>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</si>
  <si>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</si>
  <si>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</si>
  <si>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</si>
  <si>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</si>
  <si>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</si>
  <si>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</si>
  <si>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</si>
  <si>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</si>
  <si>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</si>
  <si>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</si>
  <si>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</si>
  <si>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</si>
  <si>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</si>
  <si>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</si>
  <si>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</si>
  <si>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</si>
  <si>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</si>
  <si>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</si>
  <si>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</si>
  <si>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</si>
  <si>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</si>
  <si>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</si>
  <si>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</si>
  <si>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</si>
  <si>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</si>
  <si>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</si>
  <si>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</si>
  <si>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</si>
  <si>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</si>
  <si>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</si>
  <si>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</si>
  <si>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</si>
  <si>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</si>
  <si>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</si>
  <si>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</si>
  <si>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</si>
  <si>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</si>
  <si>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</si>
  <si>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</si>
  <si>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</si>
  <si>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</si>
  <si>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</si>
  <si>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</si>
  <si>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</si>
  <si>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</si>
  <si>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</si>
  <si>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</si>
  <si>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</si>
  <si>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</si>
  <si>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</si>
  <si>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</si>
  <si>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</si>
  <si>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</si>
  <si>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</si>
  <si>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</si>
  <si>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</si>
  <si>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</si>
  <si>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</si>
  <si>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</si>
  <si>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</si>
  <si>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</si>
  <si>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</si>
  <si>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</si>
  <si>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</si>
  <si>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</si>
  <si>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</si>
  <si>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</si>
  <si>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</si>
  <si>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</si>
  <si>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</si>
  <si>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</si>
  <si>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</si>
  <si>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</si>
  <si>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</si>
  <si>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</si>
  <si>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</si>
  <si>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</si>
  <si>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</si>
  <si>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</si>
  <si>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</si>
  <si>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</si>
  <si>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</si>
  <si>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</si>
  <si>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</si>
  <si>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</si>
  <si>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</si>
  <si>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</si>
  <si>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</si>
  <si>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</si>
  <si>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</si>
  <si>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</si>
  <si>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</si>
  <si>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</si>
  <si>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</si>
  <si>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</si>
  <si>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</si>
  <si>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</si>
  <si>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</si>
  <si>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</si>
  <si>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</si>
  <si>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</si>
  <si>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</si>
  <si>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</si>
  <si>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</si>
  <si>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</si>
  <si>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</si>
  <si>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</si>
  <si>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</si>
  <si>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</si>
  <si>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</si>
  <si>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</si>
  <si>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</si>
  <si>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</si>
  <si>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</si>
  <si>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</si>
  <si>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</si>
  <si>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</si>
  <si>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</si>
  <si>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</si>
  <si>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</si>
  <si>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</si>
  <si>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</si>
  <si>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</si>
  <si>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</si>
  <si>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</si>
  <si>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</si>
  <si>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</si>
  <si>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</si>
  <si>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</si>
  <si>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</si>
  <si>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</si>
  <si>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</si>
  <si>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</si>
  <si>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</si>
  <si>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</si>
  <si>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</si>
  <si>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</si>
  <si>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</si>
  <si>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</si>
  <si>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</si>
  <si>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</si>
  <si>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</si>
  <si>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</si>
  <si>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</si>
  <si>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</si>
  <si>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</si>
  <si>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</si>
  <si>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</si>
  <si>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</si>
  <si>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</si>
  <si>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</si>
  <si>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</si>
  <si>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</si>
  <si>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</si>
  <si>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</si>
  <si>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</si>
  <si>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</si>
  <si>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</si>
  <si>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</si>
  <si>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</si>
  <si>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</si>
  <si>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</si>
  <si>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</si>
  <si>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</si>
  <si>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</si>
  <si>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</si>
  <si>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</si>
  <si>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</si>
  <si>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</si>
  <si>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</si>
  <si>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</si>
  <si>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</si>
  <si>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</si>
  <si>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</si>
  <si>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</si>
  <si>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</si>
  <si>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</si>
  <si>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</si>
  <si>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</si>
  <si>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</si>
  <si>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</si>
  <si>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</si>
  <si>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</si>
  <si>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</si>
  <si>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</si>
  <si>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</si>
  <si>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</si>
  <si>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</si>
  <si>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</si>
  <si>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</si>
  <si>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</si>
  <si>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</si>
  <si>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</si>
  <si>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</si>
  <si>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</si>
  <si>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</si>
  <si>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</si>
  <si>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</si>
  <si>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</si>
  <si>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</si>
  <si>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</si>
  <si>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</si>
  <si>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</si>
  <si>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</si>
  <si>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</si>
  <si>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</si>
  <si>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</si>
  <si>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</si>
  <si>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</si>
  <si>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</si>
  <si>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</si>
  <si>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</si>
  <si>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</si>
  <si>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</si>
  <si>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</si>
  <si>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</si>
  <si>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</si>
  <si>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</si>
  <si>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</si>
  <si>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</si>
  <si>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</si>
  <si>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</si>
  <si>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</si>
  <si>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</si>
  <si>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</si>
  <si>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</si>
  <si>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</si>
  <si>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</si>
  <si>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</si>
  <si>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</si>
  <si>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</si>
  <si>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</si>
  <si>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</si>
  <si>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</si>
  <si>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</si>
  <si>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</si>
  <si>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</si>
  <si>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</si>
  <si>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</si>
  <si>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</si>
  <si>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</si>
  <si>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</si>
  <si>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</si>
  <si>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</si>
  <si>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</si>
  <si>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</si>
  <si>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</si>
  <si>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</si>
  <si>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</si>
  <si>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</si>
  <si>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</si>
  <si>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</si>
  <si>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</si>
  <si>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</si>
  <si>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</si>
  <si>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</si>
  <si>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</si>
  <si>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</si>
  <si>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</si>
  <si>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</si>
  <si>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</si>
  <si>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</si>
  <si>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</si>
  <si>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</si>
  <si>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</si>
  <si>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</si>
  <si>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</si>
  <si>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</si>
  <si>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</si>
  <si>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</si>
  <si>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</si>
  <si>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</si>
  <si>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</si>
  <si>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</si>
  <si>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</si>
  <si>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</si>
  <si>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</si>
  <si>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</si>
  <si>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</si>
  <si>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</si>
  <si>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</si>
  <si>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</si>
  <si>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</si>
  <si>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</si>
  <si>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</si>
  <si>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</si>
  <si>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</si>
  <si>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</si>
  <si>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</si>
  <si>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</si>
  <si>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</si>
  <si>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</si>
  <si>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</si>
  <si>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</si>
  <si>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</si>
  <si>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</si>
  <si>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</si>
  <si>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</si>
  <si>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</si>
  <si>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</si>
  <si>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</si>
  <si>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</si>
  <si>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</si>
  <si>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</si>
  <si>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</si>
  <si>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</si>
  <si>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</si>
  <si>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</si>
  <si>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</si>
  <si>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</si>
  <si>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</si>
  <si>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</si>
  <si>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</si>
  <si>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</si>
  <si>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</si>
  <si>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</si>
  <si>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</si>
  <si>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</si>
  <si>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</si>
  <si>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</si>
  <si>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</si>
  <si>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</si>
  <si>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</si>
  <si>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</si>
  <si>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</si>
  <si>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</si>
  <si>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</si>
  <si>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</si>
  <si>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</si>
  <si>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</si>
  <si>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</si>
  <si>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</si>
  <si>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</si>
  <si>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</si>
  <si>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</si>
  <si>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</si>
  <si>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</si>
  <si>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</si>
  <si>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</si>
  <si>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</si>
  <si>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</si>
  <si>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</si>
  <si>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</si>
  <si>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</si>
  <si>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</si>
  <si>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</si>
  <si>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</si>
  <si>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</si>
  <si>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</si>
  <si>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</si>
  <si>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</si>
  <si>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</si>
  <si>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</si>
  <si>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</si>
  <si>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</si>
  <si>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</si>
  <si>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</si>
  <si>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</si>
  <si>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</si>
  <si>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</si>
  <si>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</si>
  <si>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</si>
  <si>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</si>
  <si>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</si>
  <si>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</si>
  <si>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</si>
  <si>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</si>
  <si>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</si>
  <si>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</si>
  <si>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</si>
  <si>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</si>
  <si>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</si>
  <si>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</si>
  <si>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</si>
  <si>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</si>
  <si>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</si>
  <si>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</si>
  <si>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</si>
  <si>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</si>
  <si>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</si>
  <si>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</si>
  <si>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</si>
  <si>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</si>
  <si>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</si>
  <si>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</si>
  <si>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</si>
  <si>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</si>
  <si>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</si>
  <si>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</si>
  <si>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</si>
  <si>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</si>
  <si>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</si>
  <si>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</si>
  <si>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</si>
  <si>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</si>
  <si>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</si>
  <si>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</si>
  <si>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</si>
  <si>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</si>
  <si>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</si>
  <si>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</si>
  <si>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</si>
  <si>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</si>
  <si>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</si>
  <si>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</si>
  <si>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</si>
  <si>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</si>
  <si>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</si>
  <si>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</si>
  <si>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</si>
  <si>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</si>
  <si>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</si>
  <si>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</si>
  <si>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</si>
  <si>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</si>
  <si>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</si>
  <si>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</si>
  <si>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</si>
  <si>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</si>
  <si>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</si>
  <si>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</si>
  <si>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</si>
  <si>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</si>
  <si>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</si>
  <si>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</si>
  <si>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</si>
  <si>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</si>
  <si>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</si>
  <si>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</si>
  <si>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</si>
  <si>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</si>
  <si>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</si>
  <si>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</si>
  <si>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</si>
  <si>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</si>
  <si>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</si>
  <si>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</si>
  <si>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</si>
  <si>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</si>
  <si>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</si>
  <si>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</si>
  <si>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</si>
  <si>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</si>
  <si>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</si>
  <si>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</si>
  <si>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</si>
  <si>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</si>
  <si>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</si>
  <si>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</si>
  <si>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</si>
  <si>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</si>
  <si>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</si>
  <si>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</si>
  <si>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</si>
  <si>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</si>
  <si>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</si>
  <si>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</si>
  <si>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</si>
  <si>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</si>
  <si>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</si>
  <si>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</si>
  <si>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</si>
  <si>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</si>
  <si>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</si>
  <si>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</si>
  <si>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</si>
  <si>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</si>
  <si>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</si>
  <si>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</si>
  <si>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</si>
  <si>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</si>
  <si>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</si>
  <si>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</si>
  <si>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</si>
  <si>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</si>
  <si>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</si>
  <si>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</si>
  <si>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</si>
  <si>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</si>
  <si>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</si>
  <si>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</si>
  <si>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</si>
  <si>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</si>
  <si>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</si>
  <si>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</si>
  <si>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</si>
  <si>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</si>
  <si>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</si>
  <si>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</si>
  <si>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</si>
  <si>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</si>
  <si>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</si>
  <si>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</si>
  <si>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</si>
  <si>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</si>
  <si>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</si>
  <si>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</si>
  <si>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</si>
  <si>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</si>
  <si>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</si>
  <si>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</si>
  <si>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</si>
  <si>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</si>
  <si>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</si>
  <si>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</si>
  <si>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</si>
  <si>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</si>
  <si>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</si>
  <si>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</si>
  <si>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</si>
  <si>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</si>
  <si>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</si>
  <si>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</si>
  <si>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</si>
  <si>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</si>
  <si>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</si>
  <si>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</si>
  <si>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</si>
  <si>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</si>
  <si>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</si>
  <si>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</si>
  <si>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</si>
  <si>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</si>
  <si>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</si>
  <si>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</si>
  <si>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</si>
  <si>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</si>
  <si>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</si>
  <si>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</si>
  <si>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</si>
  <si>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</si>
  <si>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</si>
  <si>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</si>
  <si>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</si>
  <si>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</si>
  <si>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</si>
  <si>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</si>
  <si>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</si>
  <si>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</si>
  <si>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</si>
  <si>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</si>
  <si>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</si>
  <si>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</si>
  <si>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</si>
  <si>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</si>
  <si>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</si>
  <si>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</si>
  <si>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</si>
  <si>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</si>
  <si>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</si>
  <si>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</si>
  <si>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</si>
  <si>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</si>
  <si>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</si>
  <si>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</si>
  <si>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</si>
  <si>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</si>
  <si>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</si>
  <si>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</si>
  <si>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</si>
  <si>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</si>
  <si>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</si>
  <si>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</si>
  <si>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</si>
  <si>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</si>
  <si>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</si>
  <si>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</si>
  <si>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</si>
  <si>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</si>
  <si>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</si>
  <si>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</si>
  <si>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</si>
  <si>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</si>
  <si>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</si>
  <si>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</si>
  <si>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</si>
  <si>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</si>
  <si>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</si>
  <si>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</si>
  <si>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</si>
  <si>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</si>
  <si>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</si>
  <si>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</si>
  <si>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</si>
  <si>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</si>
  <si>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</si>
  <si>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</si>
  <si>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</si>
  <si>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</si>
  <si>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</si>
  <si>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</si>
  <si>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</si>
  <si>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</si>
  <si>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</si>
  <si>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</si>
  <si>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</si>
  <si>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</si>
  <si>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</si>
  <si>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</si>
  <si>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</si>
  <si>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</si>
  <si>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</si>
  <si>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</si>
  <si>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</si>
  <si>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</si>
  <si>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</si>
  <si>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</si>
  <si>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</si>
  <si>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</si>
  <si>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</si>
  <si>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</si>
  <si>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</si>
  <si>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</si>
  <si>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</si>
  <si>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</si>
  <si>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</si>
  <si>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</si>
  <si>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</si>
  <si>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</si>
  <si>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</si>
  <si>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</si>
  <si>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</si>
  <si>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</si>
  <si>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</si>
  <si>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</si>
  <si>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</si>
  <si>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</si>
  <si>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</si>
  <si>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</si>
  <si>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</si>
  <si>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</si>
  <si>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</si>
  <si>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</si>
  <si>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</si>
  <si>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</si>
  <si>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</si>
  <si>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</si>
  <si>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</si>
  <si>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</si>
  <si>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</si>
  <si>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</si>
  <si>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</si>
  <si>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</si>
  <si>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</si>
  <si>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</si>
  <si>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</si>
  <si>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</si>
  <si>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</si>
  <si>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</si>
  <si>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</si>
  <si>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</si>
  <si>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</si>
  <si>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</si>
  <si>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</si>
  <si>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</si>
  <si>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</si>
  <si>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</si>
  <si>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</si>
  <si>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</si>
  <si>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</si>
  <si>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</si>
  <si>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</si>
  <si>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</si>
  <si>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</si>
  <si>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</si>
  <si>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</si>
  <si>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</si>
  <si>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</si>
  <si>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</si>
  <si>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</si>
  <si>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</si>
  <si>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</si>
  <si>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</si>
  <si>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</si>
  <si>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</si>
  <si>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</si>
  <si>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</si>
  <si>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</si>
  <si>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</si>
  <si>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</si>
  <si>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</si>
  <si>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</si>
  <si>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</si>
  <si>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</si>
  <si>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</si>
  <si>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</si>
  <si>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</si>
  <si>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</si>
  <si>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</si>
  <si>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</si>
  <si>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</si>
  <si>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</si>
  <si>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</si>
  <si>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</si>
  <si>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</si>
  <si>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</si>
  <si>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</si>
  <si>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</si>
  <si>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</si>
  <si>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</si>
  <si>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</si>
  <si>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</si>
  <si>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</si>
  <si>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</si>
  <si>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</si>
  <si>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</si>
  <si>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</si>
  <si>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</si>
  <si>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</si>
  <si>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</si>
  <si>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</si>
  <si>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</si>
  <si>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</si>
  <si>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</si>
  <si>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</si>
  <si>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</si>
  <si>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</si>
  <si>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</si>
  <si>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</si>
  <si>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</si>
  <si>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</si>
  <si>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</si>
  <si>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</si>
  <si>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</si>
  <si>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</si>
  <si>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</si>
  <si>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</si>
  <si>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</si>
  <si>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</si>
  <si>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</si>
  <si>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</si>
  <si>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</si>
  <si>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</si>
  <si>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</si>
  <si>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</si>
  <si>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</si>
  <si>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</si>
  <si>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</si>
  <si>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</si>
  <si>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</si>
  <si>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</si>
  <si>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</si>
  <si>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</si>
  <si>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</si>
  <si>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</si>
  <si>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</si>
  <si>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</si>
  <si>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</si>
  <si>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</si>
  <si>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</si>
  <si>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</si>
  <si>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</si>
  <si>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</si>
  <si>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</si>
  <si>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</si>
  <si>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</si>
  <si>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</si>
  <si>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</si>
  <si>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</si>
  <si>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</si>
  <si>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</si>
  <si>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</si>
  <si>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</si>
  <si>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</si>
  <si>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</si>
  <si>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</si>
  <si>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</si>
  <si>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</si>
  <si>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</si>
  <si>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</si>
  <si>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</si>
  <si>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</si>
  <si>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</si>
  <si>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</si>
  <si>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</si>
  <si>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</si>
  <si>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</si>
  <si>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</si>
  <si>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</si>
  <si>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</si>
  <si>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</si>
  <si>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</si>
  <si>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</si>
  <si>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</si>
  <si>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</si>
  <si>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</si>
  <si>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</si>
  <si>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</si>
  <si>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</si>
  <si>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</si>
  <si>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</si>
  <si>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</si>
  <si>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</si>
  <si>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</si>
  <si>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</si>
  <si>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</si>
  <si>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</si>
  <si>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</si>
  <si>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</si>
  <si>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</si>
  <si>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</si>
  <si>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</si>
  <si>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</si>
  <si>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</si>
  <si>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</si>
  <si>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</si>
  <si>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</si>
  <si>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</si>
  <si>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</si>
  <si>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</si>
  <si>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</si>
  <si>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</si>
  <si>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</si>
  <si>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</si>
  <si>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</si>
  <si>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</si>
  <si>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</si>
  <si>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</si>
  <si>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</si>
  <si>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</si>
  <si>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</si>
  <si>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</si>
  <si>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</si>
  <si>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</si>
  <si>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</si>
  <si>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</si>
  <si>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</si>
  <si>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</si>
  <si>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</si>
  <si>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</si>
  <si>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</si>
  <si>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</si>
  <si>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</si>
  <si>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</si>
  <si>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</si>
  <si>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</si>
  <si>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</si>
  <si>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</si>
  <si>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</si>
  <si>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</si>
  <si>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</si>
  <si>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</si>
  <si>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</si>
  <si>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</si>
  <si>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</si>
  <si>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</si>
  <si>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</si>
  <si>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</si>
  <si>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</si>
  <si>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</si>
  <si>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</si>
  <si>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</si>
  <si>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</si>
  <si>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</si>
  <si>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</si>
  <si>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</si>
  <si>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</si>
  <si>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</si>
  <si>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</si>
  <si>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</si>
  <si>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</si>
  <si>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</si>
  <si>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</si>
  <si>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</si>
  <si>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</si>
  <si>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</si>
  <si>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</si>
  <si>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</si>
  <si>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</si>
  <si>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</si>
  <si>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</si>
  <si>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</si>
  <si>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</si>
  <si>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</si>
  <si>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</si>
  <si>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</si>
  <si>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</si>
  <si>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</si>
  <si>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</si>
  <si>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</si>
  <si>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</si>
  <si>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</si>
  <si>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</si>
  <si>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</si>
  <si>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</si>
  <si>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</si>
  <si>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</si>
  <si>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</si>
  <si>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</si>
  <si>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</si>
  <si>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</si>
  <si>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</si>
  <si>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</si>
  <si>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</si>
  <si>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</si>
  <si>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</si>
  <si>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</si>
  <si>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</si>
  <si>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地上</t>
  </si>
  <si>
    <t>国策报告</t>
    <phoneticPr fontId="134" type="noConversion"/>
  </si>
  <si>
    <t>鼎好大厦</t>
    <phoneticPr fontId="134" type="noConversion"/>
  </si>
  <si>
    <t>序号</t>
  </si>
  <si>
    <t>租户</t>
  </si>
  <si>
    <t>租赁部位（含楼层）</t>
  </si>
  <si>
    <t>建筑面积</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</si>
  <si>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</si>
  <si>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</si>
  <si>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</si>
  <si>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</si>
  <si>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</si>
  <si>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</si>
  <si>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</si>
  <si>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</si>
  <si>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</si>
  <si>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</si>
  <si>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</si>
  <si>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</si>
  <si>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</si>
  <si>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</si>
  <si>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</si>
  <si>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</si>
  <si>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</si>
  <si>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</si>
  <si>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</si>
  <si>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</si>
  <si>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</si>
  <si>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</si>
  <si>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</si>
  <si>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</si>
  <si>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</si>
  <si>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</si>
  <si>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</si>
  <si>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</si>
  <si>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</si>
  <si>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</si>
  <si>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</si>
  <si>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</si>
  <si>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</si>
  <si>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</si>
  <si>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</si>
  <si>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</si>
  <si>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</si>
  <si>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</si>
  <si>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</si>
  <si>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</si>
  <si>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</si>
  <si>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</si>
  <si>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</si>
  <si>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</si>
  <si>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</si>
  <si>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</si>
  <si>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</si>
  <si>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</si>
  <si>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</si>
  <si>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</si>
  <si>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</si>
  <si>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</si>
  <si>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</si>
  <si>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</si>
  <si>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</si>
  <si>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</si>
  <si>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</si>
  <si>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</si>
  <si>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</si>
  <si>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</si>
  <si>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</si>
  <si>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</si>
  <si>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</si>
  <si>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</si>
  <si>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</si>
  <si>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</si>
  <si>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</si>
  <si>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</si>
  <si>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</si>
  <si>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</si>
  <si>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</si>
  <si>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</si>
  <si>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</si>
  <si>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</si>
  <si>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</si>
  <si>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</si>
  <si>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</si>
  <si>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</si>
  <si>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</si>
  <si>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</si>
  <si>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</si>
  <si>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</si>
  <si>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</si>
  <si>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</si>
  <si>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</si>
  <si>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</si>
  <si>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</si>
  <si>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</si>
  <si>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</si>
  <si>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</si>
  <si>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</si>
  <si>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</si>
  <si>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</si>
  <si>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</si>
  <si>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</si>
  <si>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</si>
  <si>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</si>
  <si>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</si>
  <si>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</si>
  <si>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</si>
  <si>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</si>
  <si>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</si>
  <si>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</si>
  <si>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</si>
  <si>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</si>
  <si>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</si>
  <si>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</si>
  <si>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</si>
  <si>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</si>
  <si>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</si>
  <si>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</si>
  <si>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</si>
  <si>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</si>
  <si>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</si>
  <si>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</si>
  <si>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</si>
  <si>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</si>
  <si>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</si>
  <si>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</si>
  <si>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</si>
  <si>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</si>
  <si>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</si>
  <si>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</si>
  <si>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</si>
  <si>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</si>
  <si>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</si>
  <si>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</si>
  <si>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</si>
  <si>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</si>
  <si>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</si>
  <si>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</si>
  <si>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</si>
  <si>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</si>
  <si>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</si>
  <si>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</si>
  <si>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</si>
  <si>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</si>
  <si>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</si>
  <si>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</si>
  <si>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</si>
  <si>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</si>
  <si>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</si>
  <si>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</si>
  <si>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</si>
  <si>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</si>
  <si>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</si>
  <si>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</si>
  <si>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</si>
  <si>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</si>
  <si>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</si>
  <si>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</si>
  <si>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</si>
  <si>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</si>
  <si>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</si>
  <si>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</si>
  <si>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</si>
  <si>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</si>
  <si>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</si>
  <si>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</si>
  <si>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</si>
  <si>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</si>
  <si>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</si>
  <si>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</si>
  <si>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</si>
  <si>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</si>
  <si>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</si>
  <si>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</si>
  <si>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</si>
  <si>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</si>
  <si>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</si>
  <si>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</si>
  <si>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</si>
  <si>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</si>
  <si>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</si>
  <si>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</si>
  <si>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</si>
  <si>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</si>
  <si>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</si>
  <si>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</si>
  <si>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</si>
  <si>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</si>
  <si>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</si>
  <si>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</si>
  <si>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</si>
  <si>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</si>
  <si>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</si>
  <si>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</si>
  <si>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北京市</t>
  </si>
  <si>
    <t>朝阳区</t>
  </si>
  <si>
    <t>和平街街道</t>
  </si>
  <si>
    <t>3-4环</t>
  </si>
  <si>
    <t>项目信息</t>
  </si>
  <si>
    <t>低层：≤3层，10米</t>
  </si>
  <si>
    <t>/</t>
  </si>
  <si>
    <t>独立商业</t>
  </si>
  <si>
    <t>1</t>
  </si>
  <si>
    <t>低区</t>
  </si>
  <si>
    <t>对外</t>
  </si>
  <si>
    <t>北京共创伟业文化传播有限公司</t>
  </si>
  <si>
    <t>红玫瑰烧腊豉油鸡饭</t>
  </si>
  <si>
    <t>餐饮（明火）</t>
  </si>
  <si>
    <t>半年付</t>
  </si>
  <si>
    <t>约定</t>
  </si>
  <si>
    <t>合同</t>
  </si>
  <si>
    <t>正常</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</si>
  <si>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</si>
  <si>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</si>
  <si>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</si>
  <si>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</si>
  <si>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</si>
  <si>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</si>
  <si>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</si>
  <si>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</si>
  <si>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</si>
  <si>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</si>
  <si>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</si>
  <si>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</si>
  <si>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</si>
  <si>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季付</t>
  </si>
  <si>
    <t>押一</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</si>
  <si>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</si>
  <si>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</si>
  <si>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</si>
  <si>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</si>
  <si>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</si>
  <si>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</si>
  <si>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</si>
  <si>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</si>
  <si>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</si>
  <si>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</si>
  <si>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</si>
  <si>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</si>
  <si>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</si>
  <si>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</si>
  <si>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</si>
  <si>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</si>
  <si>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年付</t>
  </si>
  <si>
    <t>每三年递增5%</t>
  </si>
  <si>
    <t>赵雯</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</si>
  <si>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</si>
  <si>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</si>
  <si>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</si>
  <si>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</si>
  <si>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</si>
  <si>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</si>
  <si>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</si>
  <si>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</si>
  <si>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</si>
  <si>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</si>
  <si>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超市</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</si>
  <si>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</si>
  <si>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</si>
  <si>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</si>
  <si>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</si>
  <si>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</si>
  <si>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</si>
  <si>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</si>
  <si>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</si>
  <si>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</si>
  <si>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</si>
  <si>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</si>
  <si>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</si>
  <si>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</si>
  <si>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</si>
  <si>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</si>
  <si>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</si>
  <si>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</si>
  <si>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</si>
  <si>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</si>
  <si>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</si>
  <si>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</si>
  <si>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</si>
  <si>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</si>
  <si>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彩彩（北京）酒业有限公司</t>
  </si>
  <si>
    <t>烟酒销售</t>
  </si>
  <si>
    <t>每2年5%</t>
  </si>
  <si>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</si>
  <si>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</si>
  <si>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</si>
  <si>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</si>
  <si>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</si>
  <si>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</si>
  <si>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</si>
  <si>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</si>
  <si>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</si>
  <si>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</si>
  <si>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房鹏举</t>
  </si>
  <si>
    <t>2024-1-0191</t>
  </si>
  <si>
    <t>华熙LIVE</t>
  </si>
  <si>
    <t>北京市海淀区复兴路69号院</t>
  </si>
  <si>
    <t>万寿路街道</t>
  </si>
  <si>
    <t>文化娱乐</t>
  </si>
  <si>
    <t>中国光大银行股份有限公司北京分行</t>
  </si>
  <si>
    <t>光大银行</t>
  </si>
  <si>
    <t>广告宣传</t>
  </si>
  <si>
    <t>光大银行线下活动</t>
  </si>
  <si>
    <t>2020-1-0041</t>
  </si>
  <si>
    <t>新华联国际</t>
  </si>
  <si>
    <t>北京市海淀区翠微路12号</t>
  </si>
  <si>
    <t>羊坊店街道</t>
  </si>
  <si>
    <t>1、2</t>
  </si>
  <si>
    <t>4</t>
  </si>
  <si>
    <t>交通银行股份有限公司北京市分行</t>
  </si>
  <si>
    <t>交通银行</t>
  </si>
  <si>
    <t>银行</t>
  </si>
  <si>
    <t>第四年涨3%</t>
  </si>
  <si>
    <t>2024-1-0016</t>
  </si>
  <si>
    <t>丽金智地中心</t>
    <phoneticPr fontId="134" type="noConversion"/>
  </si>
  <si>
    <t>北京市海淀区魏公村路6号院1号楼</t>
  </si>
  <si>
    <t>北京市海淀区魏公村路6号院1号楼</t>
    <phoneticPr fontId="134" type="noConversion"/>
  </si>
  <si>
    <t>紫竹院街道</t>
  </si>
  <si>
    <t>2-3环</t>
  </si>
  <si>
    <t>标准写字楼</t>
  </si>
  <si>
    <t>中国建设银行股份有限公司北京市分行</t>
  </si>
  <si>
    <t>建设银行</t>
  </si>
  <si>
    <t>每三年涨7%</t>
  </si>
  <si>
    <t>台账</t>
  </si>
  <si>
    <t>项目名称</t>
  </si>
  <si>
    <t>楼层</t>
  </si>
  <si>
    <t>登记用途</t>
  </si>
  <si>
    <t>起租</t>
  </si>
  <si>
    <t>起始租金</t>
  </si>
  <si>
    <t>增长率</t>
  </si>
  <si>
    <t>平均涨幅</t>
  </si>
  <si>
    <t>2025年租金</t>
  </si>
  <si>
    <t>高德大厦</t>
  </si>
  <si>
    <t>海淀区花园东路10号</t>
  </si>
  <si>
    <t>写字楼</t>
  </si>
  <si>
    <t>三年递增5%</t>
  </si>
  <si>
    <t>1层</t>
  </si>
  <si>
    <t>三年递增10%</t>
  </si>
  <si>
    <t>中行</t>
  </si>
  <si>
    <t>海淀区魏公村路6号院1号楼</t>
  </si>
  <si>
    <t>三年递增7%</t>
  </si>
  <si>
    <t>建行</t>
  </si>
  <si>
    <t>海淀区翠微路12号</t>
  </si>
  <si>
    <r>
      <rPr>
        <sz val="11"/>
        <color theme="1"/>
        <rFont val="宋体"/>
        <family val="3"/>
        <charset val="134"/>
        <scheme val="minor"/>
      </rPr>
      <t>3</t>
    </r>
    <r>
      <rPr>
        <sz val="11"/>
        <color theme="1"/>
        <rFont val="宋体"/>
        <family val="3"/>
        <charset val="134"/>
        <scheme val="minor"/>
      </rPr>
      <t>-4环</t>
    </r>
  </si>
  <si>
    <r>
      <rPr>
        <sz val="11"/>
        <color theme="1"/>
        <rFont val="宋体"/>
        <family val="3"/>
        <charset val="134"/>
        <scheme val="minor"/>
      </rPr>
      <t>1</t>
    </r>
    <r>
      <rPr>
        <sz val="11"/>
        <color theme="1"/>
        <rFont val="宋体"/>
        <family val="3"/>
        <charset val="134"/>
        <scheme val="minor"/>
      </rPr>
      <t>-2层</t>
    </r>
  </si>
  <si>
    <t>综合体</t>
  </si>
  <si>
    <t>交行</t>
  </si>
  <si>
    <t>中建财富国际中心</t>
  </si>
  <si>
    <t>朝阳区亚运村街道安定路5号院3号楼</t>
  </si>
  <si>
    <t>-</t>
  </si>
  <si>
    <t>中信银行网点</t>
  </si>
  <si>
    <t>仰源大厦</t>
  </si>
  <si>
    <t>北京市海淀区花园东路32号1层A104局部商业用房房地产市场租金水平评估</t>
  </si>
  <si>
    <t>市调</t>
  </si>
  <si>
    <t>海淀区北四环西路58号院1号楼</t>
  </si>
  <si>
    <t>2层</t>
  </si>
  <si>
    <t>高德浦发</t>
  </si>
  <si>
    <t>项目地址</t>
  </si>
  <si>
    <t>建筑面积（平方米）</t>
  </si>
  <si>
    <t>时点</t>
  </si>
  <si>
    <t>数据来源</t>
  </si>
  <si>
    <t>公司内部数据收集</t>
  </si>
  <si>
    <t>丽金智地中心</t>
  </si>
  <si>
    <t>海淀区花园东路32号1层</t>
  </si>
  <si>
    <t>精装修</t>
  </si>
  <si>
    <t>1层</t>
    <phoneticPr fontId="134" type="noConversion"/>
  </si>
  <si>
    <t>商业-建行网点</t>
    <phoneticPr fontId="134" type="noConversion"/>
  </si>
  <si>
    <t>2023.8.4-2026.8.3</t>
    <phoneticPr fontId="134" type="noConversion"/>
  </si>
  <si>
    <t>北京市海淀区北四环西路58号院1号楼</t>
    <phoneticPr fontId="134" type="noConversion"/>
  </si>
  <si>
    <t>理想国际大厦</t>
    <phoneticPr fontId="134" type="noConversion"/>
  </si>
  <si>
    <t>启迪科技大厦</t>
    <phoneticPr fontId="134" type="noConversion"/>
  </si>
  <si>
    <t>商业-餐饮</t>
    <phoneticPr fontId="134" type="noConversion"/>
  </si>
  <si>
    <t>2022.4.1-2027.3.31</t>
    <phoneticPr fontId="134" type="noConversion"/>
  </si>
  <si>
    <t>2023.6.1-2028.5.31</t>
    <phoneticPr fontId="134" type="noConversion"/>
  </si>
  <si>
    <t>商业-中行网点</t>
    <phoneticPr fontId="134" type="noConversion"/>
  </si>
  <si>
    <t>2024.8.16-2029.8.15</t>
    <phoneticPr fontId="134" type="noConversion"/>
  </si>
  <si>
    <t>商业-蔚来汽车</t>
    <phoneticPr fontId="134" type="noConversion"/>
  </si>
  <si>
    <t>2016.9.1-2026.8.31</t>
    <phoneticPr fontId="134" type="noConversion"/>
  </si>
  <si>
    <t>商业-星巴克</t>
    <phoneticPr fontId="134" type="noConversion"/>
  </si>
  <si>
    <t>2021.1.27-2031.1.26</t>
    <phoneticPr fontId="134" type="noConversion"/>
  </si>
  <si>
    <t>商业-厦门银行网点</t>
    <phoneticPr fontId="134" type="noConversion"/>
  </si>
  <si>
    <t>2019.6.1-2029.5.31</t>
    <phoneticPr fontId="134" type="noConversion"/>
  </si>
  <si>
    <r>
      <rPr>
        <sz val="9"/>
        <color rgb="FF666666"/>
        <rFont val="宋体"/>
        <family val="3"/>
        <charset val="134"/>
      </rPr>
      <t>海淀区中关村东路</t>
    </r>
    <r>
      <rPr>
        <sz val="9"/>
        <color rgb="FF666666"/>
        <rFont val="Arial"/>
        <family val="2"/>
      </rPr>
      <t>1</t>
    </r>
    <r>
      <rPr>
        <sz val="9"/>
        <color rgb="FF666666"/>
        <rFont val="宋体"/>
        <family val="3"/>
        <charset val="134"/>
      </rPr>
      <t>号院</t>
    </r>
    <phoneticPr fontId="134" type="noConversion"/>
  </si>
  <si>
    <t>中国技术交易大厦</t>
    <phoneticPr fontId="134" type="noConversion"/>
  </si>
  <si>
    <t>武昌鱼大厦</t>
    <phoneticPr fontId="134" type="noConversion"/>
  </si>
  <si>
    <t>泰鹏大厦</t>
    <phoneticPr fontId="134" type="noConversion"/>
  </si>
  <si>
    <t>中钢国际广场</t>
    <phoneticPr fontId="134" type="noConversion"/>
  </si>
  <si>
    <t>天使大厦</t>
    <phoneticPr fontId="3" type="noConversion"/>
  </si>
  <si>
    <t>商业</t>
    <phoneticPr fontId="30" type="noConversion"/>
  </si>
  <si>
    <t>较好</t>
  </si>
  <si>
    <t>使用率</t>
    <phoneticPr fontId="31" type="noConversion"/>
  </si>
  <si>
    <t>写字楼</t>
    <phoneticPr fontId="31" type="noConversion"/>
  </si>
  <si>
    <t>综合商务楼</t>
  </si>
  <si>
    <t>综合商务楼</t>
    <phoneticPr fontId="31" type="noConversion"/>
  </si>
  <si>
    <t>办公</t>
    <phoneticPr fontId="31" type="noConversion"/>
  </si>
  <si>
    <t>较好</t>
    <phoneticPr fontId="30" type="noConversion"/>
  </si>
  <si>
    <t>商业-华为</t>
    <phoneticPr fontId="134" type="noConversion"/>
  </si>
  <si>
    <t>2023.2.8-2027.2.7</t>
    <phoneticPr fontId="134" type="noConversion"/>
  </si>
  <si>
    <t>西海国际中心</t>
    <phoneticPr fontId="134" type="noConversion"/>
  </si>
  <si>
    <t>商业-不限业态</t>
    <phoneticPr fontId="134" type="noConversion"/>
  </si>
  <si>
    <t>1-2层</t>
    <phoneticPr fontId="134" type="noConversion"/>
  </si>
  <si>
    <t>商业-银行网点</t>
    <phoneticPr fontId="134" type="noConversion"/>
  </si>
  <si>
    <r>
      <rPr>
        <sz val="11"/>
        <rFont val="宋体"/>
        <family val="3"/>
        <charset val="134"/>
      </rPr>
      <t>次干道</t>
    </r>
    <r>
      <rPr>
        <sz val="11"/>
        <rFont val="Arial"/>
        <family val="2"/>
      </rPr>
      <t>-</t>
    </r>
    <r>
      <rPr>
        <sz val="11"/>
        <rFont val="宋体"/>
        <family val="3"/>
        <charset val="134"/>
      </rPr>
      <t>彩和坊路</t>
    </r>
    <phoneticPr fontId="30" type="noConversion"/>
  </si>
  <si>
    <r>
      <rPr>
        <sz val="11"/>
        <rFont val="宋体"/>
        <family val="3"/>
        <charset val="134"/>
      </rPr>
      <t>主干道</t>
    </r>
    <r>
      <rPr>
        <sz val="11"/>
        <rFont val="Arial"/>
        <family val="2"/>
      </rPr>
      <t>-</t>
    </r>
    <r>
      <rPr>
        <sz val="11"/>
        <rFont val="宋体"/>
        <family val="3"/>
        <charset val="134"/>
      </rPr>
      <t>万泉河路</t>
    </r>
    <phoneticPr fontId="30" type="noConversion"/>
  </si>
  <si>
    <r>
      <rPr>
        <sz val="11"/>
        <rFont val="宋体"/>
        <family val="3"/>
        <charset val="134"/>
      </rPr>
      <t>主干道</t>
    </r>
    <r>
      <rPr>
        <sz val="11"/>
        <rFont val="Arial"/>
        <family val="2"/>
      </rPr>
      <t>-</t>
    </r>
    <r>
      <rPr>
        <sz val="11"/>
        <rFont val="宋体"/>
        <family val="3"/>
        <charset val="134"/>
      </rPr>
      <t>中关村东路</t>
    </r>
    <phoneticPr fontId="30" type="noConversion"/>
  </si>
  <si>
    <t>道路级别</t>
    <phoneticPr fontId="30" type="noConversion"/>
  </si>
  <si>
    <r>
      <rPr>
        <sz val="11"/>
        <rFont val="宋体"/>
        <family val="3"/>
        <charset val="134"/>
      </rPr>
      <t>快速路</t>
    </r>
    <r>
      <rPr>
        <sz val="11"/>
        <rFont val="Arial"/>
        <family val="2"/>
      </rPr>
      <t>-</t>
    </r>
    <r>
      <rPr>
        <sz val="11"/>
        <rFont val="宋体"/>
        <family val="3"/>
        <charset val="134"/>
      </rPr>
      <t>北四环西路</t>
    </r>
    <phoneticPr fontId="30" type="noConversion"/>
  </si>
  <si>
    <t>普通装修</t>
  </si>
  <si>
    <t>普通装修</t>
    <phoneticPr fontId="30" type="noConversion"/>
  </si>
  <si>
    <t>精装修</t>
    <phoneticPr fontId="30" type="noConversion"/>
  </si>
  <si>
    <t>一般</t>
    <phoneticPr fontId="30" type="noConversion"/>
  </si>
  <si>
    <t>一般</t>
  </si>
  <si>
    <t>航天精密大厦</t>
    <phoneticPr fontId="134" type="noConversion"/>
  </si>
  <si>
    <t>互联网金融大厦</t>
    <phoneticPr fontId="134" type="noConversion"/>
  </si>
  <si>
    <t>挂牌</t>
  </si>
  <si>
    <t>挂牌</t>
    <phoneticPr fontId="31" type="noConversion"/>
  </si>
  <si>
    <t>好</t>
  </si>
  <si>
    <t>临街底商</t>
  </si>
  <si>
    <t>临街底商</t>
    <phoneticPr fontId="30" type="noConversion"/>
  </si>
  <si>
    <t>钢混</t>
  </si>
  <si>
    <t>钢混</t>
    <phoneticPr fontId="30" type="noConversion"/>
  </si>
  <si>
    <t>七通</t>
  </si>
  <si>
    <t>主干道</t>
    <phoneticPr fontId="31" type="noConversion"/>
  </si>
  <si>
    <t>次干道</t>
  </si>
  <si>
    <t>次干道</t>
    <phoneticPr fontId="31" type="noConversion"/>
  </si>
  <si>
    <t>五通</t>
  </si>
  <si>
    <t>五通</t>
    <phoneticPr fontId="30" type="noConversion"/>
  </si>
  <si>
    <r>
      <t>1</t>
    </r>
    <r>
      <rPr>
        <sz val="11"/>
        <color indexed="8"/>
        <rFont val="宋体"/>
        <family val="3"/>
        <charset val="134"/>
      </rPr>
      <t>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</si>
</sst>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 #,##0.00_-;_-* &quot;-&quot;??_-;_-@_-"/>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color indexed="8"/>
      <name val="微软雅黑"/>
      <family val="2"/>
      <charset val="134"/>
    </font>
    <font>
      <sz val="9"/>
      <color rgb="FFFF0000"/>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b/>
      <sz val="8"/>
      <color rgb="FFFF0000"/>
      <name val="宋体"/>
      <family val="3"/>
      <charset val="134"/>
      <scheme val="minor"/>
    </font>
    <font>
      <sz val="10"/>
      <color rgb="FFFF0000"/>
      <name val="宋体"/>
      <family val="3"/>
      <charset val="134"/>
      <scheme val="minor"/>
    </font>
    <font>
      <sz val="10"/>
      <color rgb="FF0070C0"/>
      <name val="宋体"/>
      <family val="3"/>
      <charset val="134"/>
      <scheme val="minor"/>
    </font>
    <font>
      <sz val="11"/>
      <name val="宋体"/>
      <family val="3"/>
      <charset val="134"/>
      <scheme val="minor"/>
    </font>
    <font>
      <sz val="9"/>
      <color rgb="FF666666"/>
      <name val="Arial"/>
      <family val="2"/>
    </font>
    <font>
      <sz val="9"/>
      <color rgb="FF666666"/>
      <name val="宋体"/>
      <family val="3"/>
      <charset val="134"/>
    </font>
    <font>
      <sz val="9"/>
      <color rgb="FF666666"/>
      <name val="Arial"/>
      <family val="3"/>
      <charset val="134"/>
    </font>
    <font>
      <sz val="11"/>
      <name val="Arial"/>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1" tint="0.49998474074526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mediumDashDotDot">
        <color rgb="FFFF0000"/>
      </top>
      <bottom style="thick">
        <color auto="1"/>
      </bottom>
      <diagonal/>
    </border>
    <border>
      <left style="thin">
        <color auto="1"/>
      </left>
      <right/>
      <top style="thin">
        <color auto="1"/>
      </top>
      <bottom style="medium">
        <color auto="1"/>
      </bottom>
      <diagonal/>
    </border>
    <border>
      <left style="thin">
        <color auto="1"/>
      </left>
      <right style="thin">
        <color auto="1"/>
      </right>
      <top style="mediumDashDotDot">
        <color rgb="FFFF0000"/>
      </top>
      <bottom style="medium">
        <color auto="1"/>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198" fontId="36" fillId="0" borderId="0" applyFont="0" applyFill="0" applyBorder="0" applyAlignment="0" applyProtection="0">
      <alignment vertical="center"/>
    </xf>
    <xf numFmtId="9" fontId="95"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9" fillId="0" borderId="1" xfId="19" applyFont="1" applyBorder="1" applyAlignment="1">
      <alignment horizontal="left" vertical="center" wrapText="1"/>
    </xf>
    <xf numFmtId="0" fontId="19" fillId="0" borderId="4" xfId="19" applyFont="1" applyBorder="1" applyAlignment="1">
      <alignment horizontal="left" vertical="center" wrapText="1"/>
    </xf>
    <xf numFmtId="0" fontId="19" fillId="0" borderId="7" xfId="19" applyFont="1" applyBorder="1" applyAlignment="1">
      <alignment horizontal="left" vertical="center" wrapText="1"/>
    </xf>
    <xf numFmtId="0" fontId="19" fillId="0" borderId="0" xfId="19" applyFont="1" applyAlignment="1">
      <alignment horizontal="left" vertical="center" wrapText="1"/>
    </xf>
    <xf numFmtId="0" fontId="19" fillId="0" borderId="1" xfId="19" applyFont="1" applyBorder="1" applyAlignment="1">
      <alignment horizontal="center" vertical="center"/>
    </xf>
    <xf numFmtId="49" fontId="272" fillId="7" borderId="176" xfId="19" applyNumberFormat="1" applyFont="1" applyFill="1" applyBorder="1">
      <alignment vertical="center"/>
    </xf>
    <xf numFmtId="49" fontId="272" fillId="0" borderId="176" xfId="19" applyNumberFormat="1" applyFont="1" applyBorder="1">
      <alignment vertical="center"/>
    </xf>
    <xf numFmtId="197" fontId="272" fillId="3" borderId="176" xfId="19" applyNumberFormat="1" applyFont="1" applyFill="1" applyBorder="1" applyAlignment="1">
      <alignment horizontal="right" vertical="center"/>
    </xf>
    <xf numFmtId="198" fontId="272" fillId="3" borderId="176" xfId="20" applyFont="1" applyFill="1" applyBorder="1" applyAlignment="1">
      <alignment horizontal="right" vertical="center"/>
    </xf>
    <xf numFmtId="49" fontId="272" fillId="3" borderId="176" xfId="19" applyNumberFormat="1" applyFont="1" applyFill="1" applyBorder="1" applyAlignment="1">
      <alignment horizontal="right" vertical="center"/>
    </xf>
    <xf numFmtId="0" fontId="19" fillId="0" borderId="177" xfId="19" applyFont="1" applyBorder="1" applyAlignment="1">
      <alignment horizontal="left" vertical="center"/>
    </xf>
    <xf numFmtId="198" fontId="19" fillId="0" borderId="177" xfId="20" applyFont="1" applyBorder="1" applyAlignment="1">
      <alignment horizontal="left" vertical="center"/>
    </xf>
    <xf numFmtId="43" fontId="19" fillId="0" borderId="177" xfId="19" applyNumberFormat="1" applyFont="1" applyBorder="1" applyAlignment="1">
      <alignment horizontal="left" vertical="center"/>
    </xf>
    <xf numFmtId="0" fontId="19" fillId="0" borderId="0" xfId="19" applyFont="1" applyAlignment="1">
      <alignment horizontal="left" vertical="center"/>
    </xf>
    <xf numFmtId="0" fontId="19" fillId="0" borderId="177" xfId="19" applyFont="1" applyBorder="1" applyAlignment="1">
      <alignment horizontal="center" vertical="center"/>
    </xf>
    <xf numFmtId="49" fontId="272" fillId="3" borderId="176" xfId="19" applyNumberFormat="1" applyFont="1" applyFill="1" applyBorder="1">
      <alignment vertical="center"/>
    </xf>
    <xf numFmtId="14" fontId="19" fillId="0" borderId="177" xfId="19" applyNumberFormat="1" applyFont="1" applyBorder="1" applyAlignment="1">
      <alignment horizontal="right" vertical="center"/>
    </xf>
    <xf numFmtId="0" fontId="19" fillId="5" borderId="177" xfId="19" applyFont="1" applyFill="1" applyBorder="1" applyAlignment="1">
      <alignment horizontal="center" vertical="center"/>
    </xf>
    <xf numFmtId="49" fontId="272" fillId="5" borderId="176" xfId="19" applyNumberFormat="1" applyFont="1" applyFill="1" applyBorder="1">
      <alignment vertical="center"/>
    </xf>
    <xf numFmtId="197" fontId="272" fillId="5" borderId="176" xfId="19" applyNumberFormat="1" applyFont="1" applyFill="1" applyBorder="1" applyAlignment="1">
      <alignment horizontal="right" vertical="center"/>
    </xf>
    <xf numFmtId="49" fontId="272" fillId="5" borderId="176" xfId="19" applyNumberFormat="1" applyFont="1" applyFill="1" applyBorder="1" applyAlignment="1">
      <alignment horizontal="right" vertical="center"/>
    </xf>
    <xf numFmtId="0" fontId="19" fillId="5" borderId="177" xfId="19" applyFont="1" applyFill="1" applyBorder="1" applyAlignment="1">
      <alignment horizontal="left" vertical="center"/>
    </xf>
    <xf numFmtId="198" fontId="19" fillId="5" borderId="177" xfId="20" applyFont="1" applyFill="1" applyBorder="1" applyAlignment="1">
      <alignment horizontal="left" vertical="center"/>
    </xf>
    <xf numFmtId="0" fontId="19" fillId="5" borderId="0" xfId="19" applyFont="1" applyFill="1" applyAlignment="1">
      <alignment horizontal="left" vertical="center"/>
    </xf>
    <xf numFmtId="198" fontId="272" fillId="3" borderId="0" xfId="20" applyFont="1" applyFill="1" applyBorder="1" applyAlignment="1">
      <alignment vertical="center"/>
    </xf>
    <xf numFmtId="198" fontId="272" fillId="3" borderId="179" xfId="20" applyFont="1" applyFill="1" applyBorder="1" applyAlignment="1">
      <alignment horizontal="right" vertical="center"/>
    </xf>
    <xf numFmtId="198" fontId="272" fillId="3" borderId="177" xfId="20" applyFont="1" applyFill="1" applyBorder="1" applyAlignment="1">
      <alignment vertical="center"/>
    </xf>
    <xf numFmtId="14" fontId="272" fillId="3" borderId="176" xfId="19" applyNumberFormat="1" applyFont="1" applyFill="1" applyBorder="1" applyAlignment="1">
      <alignment horizontal="right" vertical="center"/>
    </xf>
    <xf numFmtId="0" fontId="36" fillId="0" borderId="177" xfId="19" applyBorder="1" applyAlignment="1">
      <alignment vertical="center" wrapText="1"/>
    </xf>
    <xf numFmtId="0" fontId="36" fillId="7" borderId="177" xfId="19" applyFill="1" applyBorder="1" applyAlignment="1">
      <alignment vertical="center" wrapText="1"/>
    </xf>
    <xf numFmtId="198" fontId="19" fillId="0" borderId="0" xfId="20" applyFont="1" applyBorder="1" applyAlignment="1">
      <alignment horizontal="left" vertical="center"/>
    </xf>
    <xf numFmtId="0" fontId="129" fillId="0" borderId="177" xfId="19" applyFont="1" applyBorder="1" applyAlignment="1">
      <alignment horizontal="center" vertical="center"/>
    </xf>
    <xf numFmtId="49" fontId="273" fillId="3" borderId="176" xfId="19" applyNumberFormat="1" applyFont="1" applyFill="1" applyBorder="1">
      <alignment vertical="center"/>
    </xf>
    <xf numFmtId="197" fontId="273" fillId="3" borderId="176" xfId="19" applyNumberFormat="1" applyFont="1" applyFill="1" applyBorder="1" applyAlignment="1">
      <alignment horizontal="right" vertical="center"/>
    </xf>
    <xf numFmtId="49" fontId="273" fillId="3" borderId="176" xfId="19" applyNumberFormat="1" applyFont="1" applyFill="1" applyBorder="1" applyAlignment="1">
      <alignment horizontal="right" vertical="center"/>
    </xf>
    <xf numFmtId="0" fontId="129" fillId="0" borderId="177" xfId="19" applyFont="1" applyBorder="1" applyAlignment="1">
      <alignment horizontal="left" vertical="center"/>
    </xf>
    <xf numFmtId="198" fontId="273" fillId="3" borderId="176" xfId="20" applyFont="1" applyFill="1" applyBorder="1" applyAlignment="1">
      <alignment horizontal="right" vertical="center"/>
    </xf>
    <xf numFmtId="198" fontId="129" fillId="0" borderId="177" xfId="20" applyFont="1" applyBorder="1" applyAlignment="1">
      <alignment horizontal="left" vertical="center"/>
    </xf>
    <xf numFmtId="0" fontId="129" fillId="0" borderId="0" xfId="19" applyFont="1" applyAlignment="1">
      <alignment horizontal="left" vertical="center"/>
    </xf>
    <xf numFmtId="0" fontId="129" fillId="5" borderId="177" xfId="19" applyFont="1" applyFill="1" applyBorder="1" applyAlignment="1">
      <alignment horizontal="center" vertical="center"/>
    </xf>
    <xf numFmtId="49" fontId="273" fillId="5" borderId="176" xfId="19" applyNumberFormat="1" applyFont="1" applyFill="1" applyBorder="1">
      <alignment vertical="center"/>
    </xf>
    <xf numFmtId="197" fontId="273" fillId="5" borderId="176" xfId="19" applyNumberFormat="1" applyFont="1" applyFill="1" applyBorder="1" applyAlignment="1">
      <alignment horizontal="right" vertical="center"/>
    </xf>
    <xf numFmtId="14" fontId="273" fillId="5" borderId="176" xfId="19" applyNumberFormat="1" applyFont="1" applyFill="1" applyBorder="1" applyAlignment="1">
      <alignment horizontal="right" vertical="center"/>
    </xf>
    <xf numFmtId="0" fontId="129" fillId="5" borderId="177" xfId="19" applyFont="1" applyFill="1" applyBorder="1" applyAlignment="1">
      <alignment horizontal="left" vertical="center"/>
    </xf>
    <xf numFmtId="198" fontId="273" fillId="5" borderId="176" xfId="20" applyFont="1" applyFill="1" applyBorder="1" applyAlignment="1">
      <alignment horizontal="right" vertical="center"/>
    </xf>
    <xf numFmtId="198" fontId="129" fillId="5" borderId="177" xfId="20" applyFont="1" applyFill="1" applyBorder="1" applyAlignment="1">
      <alignment horizontal="left" vertical="center"/>
    </xf>
    <xf numFmtId="0" fontId="129" fillId="5" borderId="0" xfId="19" applyFont="1" applyFill="1" applyAlignment="1">
      <alignment horizontal="left" vertical="center"/>
    </xf>
    <xf numFmtId="0" fontId="274" fillId="25" borderId="17" xfId="10" applyFont="1" applyFill="1" applyBorder="1" applyAlignment="1">
      <alignment vertical="center" wrapText="1"/>
    </xf>
    <xf numFmtId="0" fontId="274" fillId="0" borderId="0" xfId="10" applyFont="1" applyAlignment="1">
      <alignment horizontal="left" vertical="center" wrapText="1"/>
    </xf>
    <xf numFmtId="0" fontId="276" fillId="22" borderId="178"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275" fillId="24" borderId="183" xfId="10" applyFont="1" applyFill="1" applyBorder="1" applyAlignment="1">
      <alignment horizontal="left" vertical="center" wrapText="1"/>
    </xf>
    <xf numFmtId="0" fontId="275" fillId="24" borderId="178" xfId="10" applyFont="1" applyFill="1" applyBorder="1" applyAlignment="1">
      <alignment horizontal="left" vertical="center" wrapText="1"/>
    </xf>
    <xf numFmtId="0" fontId="274" fillId="24" borderId="178" xfId="10" applyFont="1" applyFill="1" applyBorder="1" applyAlignment="1">
      <alignment horizontal="left" vertical="center" wrapText="1"/>
    </xf>
    <xf numFmtId="0" fontId="274" fillId="25" borderId="183" xfId="10" applyFont="1" applyFill="1" applyBorder="1" applyAlignment="1">
      <alignment horizontal="left" vertical="center" wrapText="1"/>
    </xf>
    <xf numFmtId="0" fontId="274" fillId="25" borderId="178"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5" borderId="15" xfId="10" applyFont="1" applyFill="1" applyBorder="1" applyAlignment="1">
      <alignment vertical="center" wrapText="1"/>
    </xf>
    <xf numFmtId="0" fontId="275" fillId="25" borderId="15" xfId="10" applyFont="1" applyFill="1" applyBorder="1" applyAlignment="1">
      <alignment vertical="center" wrapText="1"/>
    </xf>
    <xf numFmtId="0" fontId="274" fillId="25" borderId="184" xfId="10" applyFont="1" applyFill="1" applyBorder="1" applyAlignment="1">
      <alignment horizontal="left" vertical="center" wrapText="1"/>
    </xf>
    <xf numFmtId="0" fontId="274" fillId="0" borderId="15" xfId="10" applyFont="1" applyBorder="1" applyAlignment="1">
      <alignment vertical="center" wrapText="1"/>
    </xf>
    <xf numFmtId="0" fontId="274" fillId="0" borderId="178" xfId="10" applyFont="1" applyBorder="1" applyAlignment="1">
      <alignment horizontal="left" vertical="center" wrapText="1"/>
    </xf>
    <xf numFmtId="0" fontId="274" fillId="0" borderId="184" xfId="10" applyFont="1" applyBorder="1" applyAlignment="1">
      <alignment horizontal="left" vertical="center" wrapText="1"/>
    </xf>
    <xf numFmtId="0" fontId="107" fillId="6" borderId="67" xfId="10" applyFont="1" applyFill="1" applyBorder="1" applyAlignment="1" applyProtection="1">
      <alignment horizontal="left" vertical="center"/>
      <protection locked="0"/>
    </xf>
    <xf numFmtId="0" fontId="107" fillId="22" borderId="28" xfId="10" applyFont="1" applyFill="1" applyBorder="1" applyAlignment="1" applyProtection="1">
      <alignment horizontal="left" vertical="center"/>
      <protection locked="0"/>
    </xf>
    <xf numFmtId="0" fontId="107" fillId="22" borderId="4" xfId="10" applyFont="1" applyFill="1" applyBorder="1" applyAlignment="1" applyProtection="1">
      <alignment horizontal="left" vertical="center"/>
      <protection locked="0"/>
    </xf>
    <xf numFmtId="0" fontId="107" fillId="22" borderId="180" xfId="10" applyFont="1" applyFill="1" applyBorder="1" applyAlignment="1" applyProtection="1">
      <alignment horizontal="left" vertical="center"/>
      <protection locked="0"/>
    </xf>
    <xf numFmtId="0" fontId="107" fillId="26" borderId="75" xfId="10" applyFont="1" applyFill="1" applyBorder="1" applyAlignment="1" applyProtection="1">
      <alignment horizontal="left" vertical="center"/>
      <protection locked="0"/>
    </xf>
    <xf numFmtId="0" fontId="107" fillId="26" borderId="34" xfId="10" applyFont="1" applyFill="1" applyBorder="1" applyAlignment="1" applyProtection="1">
      <alignment horizontal="left" vertical="center"/>
      <protection locked="0"/>
    </xf>
    <xf numFmtId="0" fontId="107" fillId="24" borderId="28" xfId="10" applyFont="1" applyFill="1" applyBorder="1" applyAlignment="1" applyProtection="1">
      <alignment horizontal="left" vertical="center"/>
      <protection locked="0"/>
    </xf>
    <xf numFmtId="0" fontId="107" fillId="26" borderId="4" xfId="10" applyFont="1" applyFill="1" applyBorder="1" applyAlignment="1" applyProtection="1">
      <alignment horizontal="left" vertical="center"/>
      <protection locked="0"/>
    </xf>
    <xf numFmtId="0" fontId="107" fillId="26" borderId="180" xfId="10" applyFont="1" applyFill="1" applyBorder="1" applyAlignment="1" applyProtection="1">
      <alignment horizontal="left" vertical="center"/>
      <protection locked="0"/>
    </xf>
    <xf numFmtId="0" fontId="107" fillId="24" borderId="4" xfId="10" applyFont="1" applyFill="1" applyBorder="1" applyAlignment="1" applyProtection="1">
      <alignment horizontal="left" vertical="center"/>
      <protection locked="0"/>
    </xf>
    <xf numFmtId="49" fontId="107" fillId="24" borderId="4" xfId="10" applyNumberFormat="1" applyFont="1" applyFill="1" applyBorder="1" applyAlignment="1" applyProtection="1">
      <alignment horizontal="left" vertical="center"/>
      <protection locked="0"/>
    </xf>
    <xf numFmtId="14" fontId="107" fillId="24" borderId="4" xfId="10" applyNumberFormat="1" applyFont="1" applyFill="1" applyBorder="1" applyAlignment="1" applyProtection="1">
      <alignment horizontal="left" vertical="center"/>
      <protection locked="0"/>
    </xf>
    <xf numFmtId="0" fontId="107" fillId="25" borderId="4" xfId="10" applyFont="1" applyFill="1" applyBorder="1" applyAlignment="1" applyProtection="1">
      <alignment horizontal="left" vertical="center"/>
      <protection locked="0"/>
    </xf>
    <xf numFmtId="0" fontId="107" fillId="25" borderId="180" xfId="10" applyFont="1" applyFill="1" applyBorder="1" applyAlignment="1" applyProtection="1">
      <alignment horizontal="left" vertical="center"/>
      <protection locked="0"/>
    </xf>
    <xf numFmtId="181" fontId="107" fillId="27" borderId="4" xfId="21" applyNumberFormat="1" applyFont="1" applyFill="1" applyBorder="1" applyAlignment="1" applyProtection="1">
      <alignment horizontal="left" vertical="center"/>
      <protection locked="0"/>
    </xf>
    <xf numFmtId="0" fontId="278" fillId="26" borderId="4" xfId="10" applyFont="1" applyFill="1" applyBorder="1" applyAlignment="1" applyProtection="1">
      <alignment horizontal="left" vertical="center"/>
      <protection locked="0"/>
    </xf>
    <xf numFmtId="2" fontId="107" fillId="27" borderId="4" xfId="10" applyNumberFormat="1" applyFont="1" applyFill="1" applyBorder="1" applyAlignment="1" applyProtection="1">
      <alignment horizontal="left" vertical="center"/>
      <protection locked="0"/>
    </xf>
    <xf numFmtId="9" fontId="107" fillId="26" borderId="4" xfId="10" applyNumberFormat="1" applyFont="1" applyFill="1" applyBorder="1" applyAlignment="1" applyProtection="1">
      <alignment horizontal="left" vertical="center"/>
      <protection locked="0"/>
    </xf>
    <xf numFmtId="14" fontId="107" fillId="25" borderId="4" xfId="10" applyNumberFormat="1" applyFont="1" applyFill="1" applyBorder="1" applyAlignment="1" applyProtection="1">
      <alignment horizontal="left" vertical="center"/>
      <protection locked="0"/>
    </xf>
    <xf numFmtId="10" fontId="107" fillId="25" borderId="4" xfId="10" applyNumberFormat="1" applyFont="1" applyFill="1" applyBorder="1" applyAlignment="1" applyProtection="1">
      <alignment horizontal="left" vertical="center"/>
      <protection locked="0"/>
    </xf>
    <xf numFmtId="0" fontId="107" fillId="0" borderId="28" xfId="10" applyFont="1" applyBorder="1" applyAlignment="1" applyProtection="1">
      <alignment horizontal="left" vertical="center"/>
      <protection locked="0"/>
    </xf>
    <xf numFmtId="9" fontId="107" fillId="26" borderId="180" xfId="10" applyNumberFormat="1" applyFont="1" applyFill="1" applyBorder="1" applyAlignment="1" applyProtection="1">
      <alignment horizontal="left" vertical="center"/>
      <protection locked="0"/>
    </xf>
    <xf numFmtId="0" fontId="107" fillId="0" borderId="180" xfId="10" applyFont="1" applyBorder="1" applyAlignment="1" applyProtection="1">
      <alignment horizontal="left" vertical="center"/>
      <protection locked="0"/>
    </xf>
    <xf numFmtId="0" fontId="107" fillId="0" borderId="4" xfId="10" applyFont="1" applyBorder="1" applyAlignment="1" applyProtection="1">
      <alignment horizontal="left" vertical="center"/>
      <protection locked="0"/>
    </xf>
    <xf numFmtId="14" fontId="107" fillId="0" borderId="4" xfId="10" applyNumberFormat="1" applyFont="1" applyBorder="1" applyAlignment="1" applyProtection="1">
      <alignment horizontal="left" vertical="center"/>
      <protection locked="0"/>
    </xf>
    <xf numFmtId="0" fontId="107" fillId="0" borderId="187" xfId="10" applyFont="1" applyBorder="1" applyAlignment="1" applyProtection="1">
      <alignment horizontal="left" vertical="center"/>
      <protection locked="0"/>
    </xf>
    <xf numFmtId="14" fontId="107" fillId="0" borderId="187" xfId="10" applyNumberFormat="1" applyFont="1" applyBorder="1" applyAlignment="1" applyProtection="1">
      <alignment horizontal="left" vertical="center"/>
      <protection locked="0"/>
    </xf>
    <xf numFmtId="0" fontId="107" fillId="0" borderId="0" xfId="10" applyFont="1" applyAlignment="1" applyProtection="1">
      <alignment horizontal="left" vertical="center"/>
      <protection locked="0"/>
    </xf>
    <xf numFmtId="14" fontId="107" fillId="24" borderId="75" xfId="10" applyNumberFormat="1" applyFont="1" applyFill="1" applyBorder="1" applyAlignment="1" applyProtection="1">
      <alignment horizontal="left" vertical="center"/>
      <protection locked="0"/>
    </xf>
    <xf numFmtId="9" fontId="107" fillId="25" borderId="180" xfId="10" applyNumberFormat="1" applyFont="1" applyFill="1" applyBorder="1" applyAlignment="1" applyProtection="1">
      <alignment horizontal="left" vertical="center"/>
      <protection locked="0"/>
    </xf>
    <xf numFmtId="0" fontId="107" fillId="25" borderId="75" xfId="10" applyFont="1" applyFill="1" applyBorder="1" applyAlignment="1" applyProtection="1">
      <alignment horizontal="left" vertical="center"/>
      <protection locked="0"/>
    </xf>
    <xf numFmtId="0" fontId="107" fillId="0" borderId="188" xfId="10" applyFont="1" applyBorder="1" applyAlignment="1" applyProtection="1">
      <alignment horizontal="left" vertical="center"/>
      <protection locked="0"/>
    </xf>
    <xf numFmtId="14" fontId="107" fillId="0" borderId="75" xfId="10" applyNumberFormat="1" applyFont="1" applyBorder="1" applyAlignment="1" applyProtection="1">
      <alignment horizontal="left" vertical="center"/>
      <protection locked="0"/>
    </xf>
    <xf numFmtId="0" fontId="107" fillId="24" borderId="75" xfId="10" applyFont="1" applyFill="1" applyBorder="1" applyAlignment="1" applyProtection="1">
      <alignment horizontal="left" vertical="center"/>
      <protection locked="0"/>
    </xf>
    <xf numFmtId="0" fontId="95" fillId="0" borderId="0" xfId="10" applyAlignment="1" applyProtection="1">
      <alignment horizontal="left" vertical="center"/>
      <protection locked="0"/>
    </xf>
    <xf numFmtId="0" fontId="107" fillId="6" borderId="67" xfId="10" quotePrefix="1" applyFont="1" applyFill="1" applyBorder="1" applyAlignment="1" applyProtection="1">
      <alignment horizontal="left" vertical="center"/>
      <protection locked="0"/>
    </xf>
    <xf numFmtId="58" fontId="107" fillId="24" borderId="4" xfId="10" applyNumberFormat="1" applyFont="1" applyFill="1" applyBorder="1" applyAlignment="1" applyProtection="1">
      <alignment horizontal="left" vertical="center"/>
      <protection locked="0"/>
    </xf>
    <xf numFmtId="0" fontId="279" fillId="26" borderId="189" xfId="10" applyFont="1" applyFill="1" applyBorder="1" applyAlignment="1" applyProtection="1">
      <alignment horizontal="left" vertical="center"/>
      <protection locked="0"/>
    </xf>
    <xf numFmtId="0" fontId="107" fillId="0" borderId="0" xfId="10" applyFont="1" applyAlignment="1">
      <alignment horizontal="left" vertical="center"/>
    </xf>
    <xf numFmtId="0" fontId="107" fillId="6" borderId="177" xfId="10" applyFont="1" applyFill="1" applyBorder="1" applyAlignment="1">
      <alignment horizontal="left" vertical="center"/>
    </xf>
    <xf numFmtId="0" fontId="107" fillId="28" borderId="177" xfId="10" applyFont="1" applyFill="1" applyBorder="1" applyAlignment="1">
      <alignment horizontal="left" vertical="center"/>
    </xf>
    <xf numFmtId="0" fontId="107" fillId="22" borderId="177" xfId="10" applyFont="1" applyFill="1" applyBorder="1" applyAlignment="1">
      <alignment horizontal="left" vertical="center"/>
    </xf>
    <xf numFmtId="0" fontId="107" fillId="23" borderId="177" xfId="10" applyFont="1" applyFill="1" applyBorder="1" applyAlignment="1">
      <alignment horizontal="left" vertical="center"/>
    </xf>
    <xf numFmtId="0" fontId="107" fillId="29" borderId="177" xfId="10" applyFont="1" applyFill="1" applyBorder="1" applyAlignment="1">
      <alignment horizontal="left" vertical="center"/>
    </xf>
    <xf numFmtId="0" fontId="107" fillId="24" borderId="177" xfId="10" applyFont="1" applyFill="1" applyBorder="1" applyAlignment="1">
      <alignment horizontal="left" vertical="center"/>
    </xf>
    <xf numFmtId="9" fontId="107" fillId="24" borderId="177" xfId="10" applyNumberFormat="1" applyFont="1" applyFill="1" applyBorder="1" applyAlignment="1">
      <alignment horizontal="left" vertical="center"/>
    </xf>
    <xf numFmtId="14" fontId="107" fillId="29" borderId="177" xfId="10" applyNumberFormat="1" applyFont="1" applyFill="1" applyBorder="1" applyAlignment="1">
      <alignment horizontal="left" vertical="center"/>
    </xf>
    <xf numFmtId="0" fontId="107" fillId="30" borderId="177" xfId="10" applyFont="1" applyFill="1" applyBorder="1" applyAlignment="1">
      <alignment horizontal="left" vertical="center"/>
    </xf>
    <xf numFmtId="0" fontId="107" fillId="25" borderId="177" xfId="10" applyFont="1" applyFill="1" applyBorder="1" applyAlignment="1">
      <alignment horizontal="left" vertical="center"/>
    </xf>
    <xf numFmtId="9" fontId="107" fillId="25" borderId="177" xfId="10" applyNumberFormat="1" applyFont="1" applyFill="1" applyBorder="1" applyAlignment="1">
      <alignment horizontal="left" vertical="center"/>
    </xf>
    <xf numFmtId="181" fontId="107" fillId="25" borderId="177" xfId="21" applyNumberFormat="1" applyFont="1" applyFill="1" applyBorder="1" applyAlignment="1" applyProtection="1">
      <alignment horizontal="left" vertical="center"/>
    </xf>
    <xf numFmtId="2" fontId="107" fillId="25" borderId="177" xfId="10" applyNumberFormat="1" applyFont="1" applyFill="1" applyBorder="1" applyAlignment="1">
      <alignment horizontal="left" vertical="center"/>
    </xf>
    <xf numFmtId="14" fontId="107" fillId="30" borderId="177" xfId="10" applyNumberFormat="1" applyFont="1" applyFill="1" applyBorder="1" applyAlignment="1">
      <alignment horizontal="left" vertical="center"/>
    </xf>
    <xf numFmtId="10" fontId="107" fillId="30" borderId="177" xfId="10" applyNumberFormat="1" applyFont="1" applyFill="1" applyBorder="1" applyAlignment="1">
      <alignment horizontal="left" vertical="center"/>
    </xf>
    <xf numFmtId="14" fontId="107" fillId="25" borderId="177" xfId="10" applyNumberFormat="1" applyFont="1" applyFill="1" applyBorder="1" applyAlignment="1">
      <alignment horizontal="left" vertical="center"/>
    </xf>
    <xf numFmtId="0" fontId="107" fillId="0" borderId="177" xfId="10" applyFont="1" applyBorder="1" applyAlignment="1">
      <alignment horizontal="left" vertical="center"/>
    </xf>
    <xf numFmtId="9" fontId="107" fillId="0" borderId="177" xfId="10" applyNumberFormat="1" applyFont="1" applyBorder="1" applyAlignment="1">
      <alignment horizontal="left" vertical="center"/>
    </xf>
    <xf numFmtId="14" fontId="107" fillId="0" borderId="177" xfId="10" applyNumberFormat="1" applyFont="1" applyBorder="1" applyAlignment="1">
      <alignment horizontal="left" vertical="center"/>
    </xf>
    <xf numFmtId="0" fontId="107" fillId="5" borderId="177" xfId="10" applyFont="1" applyFill="1" applyBorder="1" applyAlignment="1">
      <alignment horizontal="left" vertical="center"/>
    </xf>
    <xf numFmtId="9" fontId="107" fillId="5" borderId="177" xfId="10" applyNumberFormat="1" applyFont="1" applyFill="1" applyBorder="1" applyAlignment="1">
      <alignment horizontal="left" vertical="center"/>
    </xf>
    <xf numFmtId="14" fontId="107" fillId="5" borderId="177" xfId="10" applyNumberFormat="1" applyFont="1" applyFill="1" applyBorder="1" applyAlignment="1">
      <alignment horizontal="left" vertical="center"/>
    </xf>
    <xf numFmtId="181" fontId="107" fillId="5" borderId="177" xfId="21" applyNumberFormat="1" applyFont="1" applyFill="1" applyBorder="1" applyAlignment="1" applyProtection="1">
      <alignment horizontal="left" vertical="center"/>
    </xf>
    <xf numFmtId="2" fontId="107" fillId="5" borderId="177" xfId="10" applyNumberFormat="1" applyFont="1" applyFill="1" applyBorder="1" applyAlignment="1">
      <alignment horizontal="left" vertical="center"/>
    </xf>
    <xf numFmtId="10" fontId="107" fillId="5" borderId="177" xfId="10" applyNumberFormat="1" applyFont="1" applyFill="1" applyBorder="1" applyAlignment="1">
      <alignment horizontal="left" vertical="center"/>
    </xf>
    <xf numFmtId="0" fontId="107" fillId="5" borderId="0" xfId="10" applyFont="1" applyFill="1" applyAlignment="1">
      <alignment horizontal="left" vertical="center"/>
    </xf>
    <xf numFmtId="0" fontId="95" fillId="0" borderId="0" xfId="10" applyAlignment="1">
      <alignment horizontal="center" vertical="center" wrapText="1"/>
    </xf>
    <xf numFmtId="0" fontId="19" fillId="0" borderId="0" xfId="19" applyFont="1" applyAlignment="1">
      <alignment horizontal="center" vertical="center" wrapText="1"/>
    </xf>
    <xf numFmtId="0" fontId="271" fillId="5" borderId="0" xfId="10" applyFont="1" applyFill="1" applyAlignment="1">
      <alignment horizontal="center" vertical="center" wrapText="1"/>
    </xf>
    <xf numFmtId="0" fontId="271" fillId="5" borderId="0" xfId="10" applyFont="1" applyFill="1" applyAlignment="1">
      <alignment horizontal="center" vertical="center"/>
    </xf>
    <xf numFmtId="14" fontId="271" fillId="5" borderId="0" xfId="10" applyNumberFormat="1" applyFont="1" applyFill="1" applyAlignment="1">
      <alignment horizontal="center" vertical="center"/>
    </xf>
    <xf numFmtId="9" fontId="271" fillId="5" borderId="0" xfId="10" applyNumberFormat="1" applyFont="1" applyFill="1" applyAlignment="1">
      <alignment horizontal="center" vertical="center"/>
    </xf>
    <xf numFmtId="2" fontId="271" fillId="5" borderId="0" xfId="10" applyNumberFormat="1" applyFont="1" applyFill="1" applyAlignment="1">
      <alignment horizontal="center" vertical="center" wrapText="1"/>
    </xf>
    <xf numFmtId="0" fontId="95" fillId="5" borderId="0" xfId="10" applyFill="1" applyAlignment="1">
      <alignment horizontal="center" vertical="center" wrapText="1"/>
    </xf>
    <xf numFmtId="0" fontId="95" fillId="0" borderId="0" xfId="10" applyAlignment="1">
      <alignment horizontal="center" vertical="center"/>
    </xf>
    <xf numFmtId="14" fontId="95" fillId="0" borderId="0" xfId="10" applyNumberFormat="1" applyAlignment="1">
      <alignment horizontal="center" vertical="center" wrapText="1"/>
    </xf>
    <xf numFmtId="176" fontId="95" fillId="0" borderId="0" xfId="10" applyNumberFormat="1" applyAlignment="1">
      <alignment horizontal="center" vertical="center" wrapText="1"/>
    </xf>
    <xf numFmtId="9" fontId="95" fillId="0" borderId="0" xfId="10" applyNumberFormat="1" applyAlignment="1">
      <alignment horizontal="center" vertical="center"/>
    </xf>
    <xf numFmtId="2" fontId="95" fillId="0" borderId="0" xfId="10" applyNumberFormat="1" applyAlignment="1">
      <alignment horizontal="center" vertical="center" wrapText="1"/>
    </xf>
    <xf numFmtId="58" fontId="95" fillId="0" borderId="0" xfId="10" applyNumberFormat="1" applyAlignment="1">
      <alignment horizontal="center" vertical="center" wrapText="1"/>
    </xf>
    <xf numFmtId="0" fontId="19" fillId="7" borderId="177" xfId="19" applyFont="1" applyFill="1" applyBorder="1" applyAlignment="1">
      <alignment horizontal="center" vertical="center" wrapText="1"/>
    </xf>
    <xf numFmtId="0" fontId="280" fillId="7" borderId="177" xfId="10" applyFont="1" applyFill="1" applyBorder="1" applyAlignment="1">
      <alignment horizontal="center" vertical="center"/>
    </xf>
    <xf numFmtId="0" fontId="280" fillId="7" borderId="177" xfId="10" applyFont="1" applyFill="1" applyBorder="1" applyAlignment="1">
      <alignment horizontal="center" vertical="center" wrapText="1"/>
    </xf>
    <xf numFmtId="14" fontId="280" fillId="7" borderId="177" xfId="10" applyNumberFormat="1" applyFont="1" applyFill="1" applyBorder="1" applyAlignment="1">
      <alignment horizontal="center" vertical="center"/>
    </xf>
    <xf numFmtId="2" fontId="280" fillId="7" borderId="177" xfId="10" applyNumberFormat="1" applyFont="1" applyFill="1" applyBorder="1" applyAlignment="1">
      <alignment horizontal="center" vertical="center" wrapText="1"/>
    </xf>
    <xf numFmtId="14" fontId="280" fillId="7" borderId="177" xfId="10" applyNumberFormat="1" applyFont="1" applyFill="1" applyBorder="1" applyAlignment="1">
      <alignment horizontal="center" vertical="center" wrapText="1"/>
    </xf>
    <xf numFmtId="181" fontId="107" fillId="0" borderId="177" xfId="21" applyNumberFormat="1" applyFont="1" applyFill="1" applyBorder="1" applyAlignment="1" applyProtection="1">
      <alignment horizontal="left" vertical="center"/>
    </xf>
    <xf numFmtId="2" fontId="107" fillId="0" borderId="177" xfId="10" applyNumberFormat="1" applyFont="1" applyBorder="1" applyAlignment="1">
      <alignment horizontal="left" vertical="center"/>
    </xf>
    <xf numFmtId="10" fontId="107" fillId="0" borderId="177" xfId="10" applyNumberFormat="1" applyFont="1" applyBorder="1" applyAlignment="1">
      <alignment horizontal="left" vertical="center"/>
    </xf>
    <xf numFmtId="0" fontId="283" fillId="0" borderId="0" xfId="0"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5" fillId="5" borderId="0" xfId="0" applyFont="1" applyFill="1">
      <alignment vertical="center"/>
    </xf>
    <xf numFmtId="0" fontId="128" fillId="0" borderId="2" xfId="0" applyFont="1" applyBorder="1" applyAlignment="1" applyProtection="1">
      <alignment horizontal="center" vertical="center" wrapText="1"/>
      <protection locked="0"/>
    </xf>
    <xf numFmtId="176" fontId="68" fillId="12" borderId="0" xfId="0" applyNumberFormat="1" applyFont="1" applyFill="1" applyAlignment="1" applyProtection="1">
      <alignment horizontal="center" vertical="center" wrapText="1"/>
      <protection locked="0"/>
    </xf>
    <xf numFmtId="176" fontId="51" fillId="12"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75" fillId="0" borderId="177" xfId="10" applyFont="1" applyBorder="1" applyAlignment="1">
      <alignment horizontal="left" vertical="center" wrapText="1"/>
    </xf>
    <xf numFmtId="0" fontId="275" fillId="0" borderId="178" xfId="10" applyFont="1" applyBorder="1" applyAlignment="1">
      <alignment horizontal="left" vertical="center" wrapText="1"/>
    </xf>
    <xf numFmtId="0" fontId="274" fillId="25" borderId="9" xfId="10" applyFont="1" applyFill="1" applyBorder="1" applyAlignment="1">
      <alignment horizontal="left" vertical="center" wrapText="1"/>
    </xf>
    <xf numFmtId="0" fontId="274" fillId="25" borderId="10" xfId="10" applyFont="1" applyFill="1" applyBorder="1" applyAlignment="1">
      <alignment horizontal="left" vertical="center" wrapText="1"/>
    </xf>
    <xf numFmtId="0" fontId="274" fillId="0" borderId="6" xfId="10" applyFont="1" applyBorder="1" applyAlignment="1">
      <alignment horizontal="left" vertical="center" wrapText="1"/>
    </xf>
    <xf numFmtId="0" fontId="274" fillId="0" borderId="9" xfId="10" applyFont="1" applyBorder="1" applyAlignment="1">
      <alignment horizontal="left" vertical="center" wrapText="1"/>
    </xf>
    <xf numFmtId="0" fontId="274" fillId="0" borderId="10" xfId="10" applyFont="1" applyBorder="1" applyAlignment="1">
      <alignment horizontal="left" vertical="center" wrapText="1"/>
    </xf>
    <xf numFmtId="0" fontId="275" fillId="0" borderId="181" xfId="10" applyFont="1" applyBorder="1" applyAlignment="1">
      <alignment horizontal="left" vertical="center" wrapText="1"/>
    </xf>
    <xf numFmtId="0" fontId="275" fillId="0" borderId="186" xfId="10" applyFont="1" applyBorder="1" applyAlignment="1">
      <alignment horizontal="left" vertical="center" wrapText="1"/>
    </xf>
    <xf numFmtId="0" fontId="274" fillId="25" borderId="178" xfId="10" applyFont="1" applyFill="1" applyBorder="1" applyAlignment="1">
      <alignment horizontal="left" vertical="center" wrapText="1"/>
    </xf>
    <xf numFmtId="0" fontId="274" fillId="24" borderId="10" xfId="10" applyFont="1" applyFill="1" applyBorder="1" applyAlignment="1">
      <alignment horizontal="left" vertical="center" wrapText="1"/>
    </xf>
    <xf numFmtId="0" fontId="274" fillId="24" borderId="184" xfId="10" applyFont="1" applyFill="1" applyBorder="1" applyAlignment="1">
      <alignment horizontal="left" vertical="center" wrapText="1"/>
    </xf>
    <xf numFmtId="0" fontId="274" fillId="25" borderId="6" xfId="10" applyFont="1" applyFill="1" applyBorder="1" applyAlignment="1">
      <alignment horizontal="left" vertical="center" wrapText="1"/>
    </xf>
    <xf numFmtId="0" fontId="275" fillId="25" borderId="9"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4" borderId="9" xfId="10" applyFont="1" applyFill="1" applyBorder="1" applyAlignment="1">
      <alignment horizontal="left" vertical="center" wrapText="1"/>
    </xf>
    <xf numFmtId="0" fontId="275" fillId="22" borderId="10" xfId="10" applyFont="1" applyFill="1" applyBorder="1" applyAlignment="1">
      <alignment horizontal="left" vertical="center" wrapText="1"/>
    </xf>
    <xf numFmtId="0" fontId="275" fillId="22" borderId="184" xfId="10" applyFont="1" applyFill="1" applyBorder="1" applyAlignment="1">
      <alignment horizontal="left" vertical="center" wrapText="1"/>
    </xf>
    <xf numFmtId="0" fontId="275" fillId="23" borderId="95" xfId="10" applyFont="1" applyFill="1" applyBorder="1" applyAlignment="1">
      <alignment horizontal="left" vertical="center" wrapText="1"/>
    </xf>
    <xf numFmtId="0" fontId="275" fillId="23" borderId="185" xfId="10" applyFont="1" applyFill="1" applyBorder="1" applyAlignment="1">
      <alignment horizontal="left" vertical="center" wrapText="1"/>
    </xf>
    <xf numFmtId="0" fontId="274" fillId="24" borderId="6" xfId="10" applyFont="1" applyFill="1" applyBorder="1" applyAlignment="1">
      <alignment horizontal="left" vertical="center" wrapText="1"/>
    </xf>
    <xf numFmtId="0" fontId="274" fillId="6" borderId="180" xfId="10" applyFont="1" applyFill="1" applyBorder="1" applyAlignment="1">
      <alignment horizontal="left" vertical="center" wrapText="1"/>
    </xf>
    <xf numFmtId="0" fontId="274" fillId="6" borderId="182" xfId="10" applyFont="1" applyFill="1" applyBorder="1" applyAlignment="1">
      <alignment horizontal="left" vertical="center" wrapText="1"/>
    </xf>
    <xf numFmtId="0" fontId="275" fillId="22" borderId="6" xfId="10" applyFont="1" applyFill="1" applyBorder="1" applyAlignment="1">
      <alignment horizontal="left" vertical="center" wrapText="1"/>
    </xf>
    <xf numFmtId="0" fontId="275" fillId="22" borderId="183" xfId="10" applyFont="1" applyFill="1" applyBorder="1" applyAlignment="1">
      <alignment horizontal="left" vertical="center" wrapText="1"/>
    </xf>
    <xf numFmtId="0" fontId="276" fillId="22" borderId="9" xfId="10" applyFont="1" applyFill="1" applyBorder="1" applyAlignment="1">
      <alignment horizontal="left" vertical="center" wrapText="1"/>
    </xf>
    <xf numFmtId="0" fontId="276" fillId="22" borderId="178" xfId="10" applyFont="1" applyFill="1" applyBorder="1" applyAlignment="1">
      <alignment horizontal="left" vertical="center" wrapText="1"/>
    </xf>
    <xf numFmtId="0" fontId="275" fillId="22" borderId="9"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19" fillId="0" borderId="13" xfId="19" applyFont="1" applyBorder="1" applyAlignment="1">
      <alignment horizontal="center" vertical="center"/>
    </xf>
    <xf numFmtId="0" fontId="19" fillId="0" borderId="2" xfId="19" applyFont="1" applyBorder="1" applyAlignment="1">
      <alignment horizontal="center" vertical="center"/>
    </xf>
    <xf numFmtId="0" fontId="19" fillId="0" borderId="178" xfId="19" applyFont="1" applyBorder="1" applyAlignment="1">
      <alignment horizontal="center" vertical="center"/>
    </xf>
    <xf numFmtId="0" fontId="19" fillId="0" borderId="15" xfId="19" applyFont="1" applyBorder="1" applyAlignment="1">
      <alignment horizontal="center" vertical="center"/>
    </xf>
    <xf numFmtId="0" fontId="129" fillId="0" borderId="178" xfId="19" applyFont="1" applyBorder="1" applyAlignment="1">
      <alignment horizontal="center" vertical="center"/>
    </xf>
    <xf numFmtId="0" fontId="129" fillId="0" borderId="2" xfId="19" applyFont="1" applyBorder="1" applyAlignment="1">
      <alignment horizontal="center" vertical="center"/>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left" vertical="center" wrapText="1"/>
    </xf>
    <xf numFmtId="0" fontId="19" fillId="0" borderId="3" xfId="19" applyFont="1" applyBorder="1" applyAlignment="1">
      <alignment horizontal="left"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2A25C80F-2B40-46FF-819E-B9BD5ADEF4F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10" xfId="19" xr:uid="{AEC0DF09-B461-4F97-8ECD-0A3A85CED17C}"/>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C352FE4D-775A-4206-8749-33622CE0EA21}"/>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xdr:row>
      <xdr:rowOff>104775</xdr:rowOff>
    </xdr:from>
    <xdr:to>
      <xdr:col>9</xdr:col>
      <xdr:colOff>189737</xdr:colOff>
      <xdr:row>13</xdr:row>
      <xdr:rowOff>37873</xdr:rowOff>
    </xdr:to>
    <xdr:pic>
      <xdr:nvPicPr>
        <xdr:cNvPr id="2" name="图片 1">
          <a:extLst>
            <a:ext uri="{FF2B5EF4-FFF2-40B4-BE49-F238E27FC236}">
              <a16:creationId xmlns:a16="http://schemas.microsoft.com/office/drawing/2014/main" id="{AC53FFA3-82E1-0EE6-E568-E2963D5522A3}"/>
            </a:ext>
          </a:extLst>
        </xdr:cNvPr>
        <xdr:cNvPicPr>
          <a:picLocks noChangeAspect="1"/>
        </xdr:cNvPicPr>
      </xdr:nvPicPr>
      <xdr:blipFill>
        <a:blip xmlns:r="http://schemas.openxmlformats.org/officeDocument/2006/relationships" r:embed="rId1"/>
        <a:stretch>
          <a:fillRect/>
        </a:stretch>
      </xdr:blipFill>
      <xdr:spPr>
        <a:xfrm>
          <a:off x="257175" y="447675"/>
          <a:ext cx="6104762" cy="1819048"/>
        </a:xfrm>
        <a:prstGeom prst="rect">
          <a:avLst/>
        </a:prstGeom>
      </xdr:spPr>
    </xdr:pic>
    <xdr:clientData/>
  </xdr:twoCellAnchor>
  <xdr:twoCellAnchor editAs="oneCell">
    <xdr:from>
      <xdr:col>0</xdr:col>
      <xdr:colOff>0</xdr:colOff>
      <xdr:row>16</xdr:row>
      <xdr:rowOff>126714</xdr:rowOff>
    </xdr:from>
    <xdr:to>
      <xdr:col>11</xdr:col>
      <xdr:colOff>476250</xdr:colOff>
      <xdr:row>69</xdr:row>
      <xdr:rowOff>132068</xdr:rowOff>
    </xdr:to>
    <xdr:pic>
      <xdr:nvPicPr>
        <xdr:cNvPr id="3" name="图片 2">
          <a:extLst>
            <a:ext uri="{FF2B5EF4-FFF2-40B4-BE49-F238E27FC236}">
              <a16:creationId xmlns:a16="http://schemas.microsoft.com/office/drawing/2014/main" id="{2A13A393-5975-CC26-3F94-9A702CA6D081}"/>
            </a:ext>
          </a:extLst>
        </xdr:cNvPr>
        <xdr:cNvPicPr>
          <a:picLocks noChangeAspect="1"/>
        </xdr:cNvPicPr>
      </xdr:nvPicPr>
      <xdr:blipFill>
        <a:blip xmlns:r="http://schemas.openxmlformats.org/officeDocument/2006/relationships" r:embed="rId2"/>
        <a:stretch>
          <a:fillRect/>
        </a:stretch>
      </xdr:blipFill>
      <xdr:spPr>
        <a:xfrm>
          <a:off x="0" y="2869914"/>
          <a:ext cx="8020050" cy="9092204"/>
        </a:xfrm>
        <a:prstGeom prst="rect">
          <a:avLst/>
        </a:prstGeom>
      </xdr:spPr>
    </xdr:pic>
    <xdr:clientData/>
  </xdr:twoCellAnchor>
  <xdr:twoCellAnchor editAs="oneCell">
    <xdr:from>
      <xdr:col>9</xdr:col>
      <xdr:colOff>57150</xdr:colOff>
      <xdr:row>0</xdr:row>
      <xdr:rowOff>0</xdr:rowOff>
    </xdr:from>
    <xdr:to>
      <xdr:col>15</xdr:col>
      <xdr:colOff>638175</xdr:colOff>
      <xdr:row>17</xdr:row>
      <xdr:rowOff>1</xdr:rowOff>
    </xdr:to>
    <xdr:pic>
      <xdr:nvPicPr>
        <xdr:cNvPr id="4" name="图片 3">
          <a:extLst>
            <a:ext uri="{FF2B5EF4-FFF2-40B4-BE49-F238E27FC236}">
              <a16:creationId xmlns:a16="http://schemas.microsoft.com/office/drawing/2014/main" id="{220157B2-BD68-92AD-DC0C-905DA2243C7C}"/>
            </a:ext>
          </a:extLst>
        </xdr:cNvPr>
        <xdr:cNvPicPr>
          <a:picLocks noChangeAspect="1"/>
        </xdr:cNvPicPr>
      </xdr:nvPicPr>
      <xdr:blipFill>
        <a:blip xmlns:r="http://schemas.openxmlformats.org/officeDocument/2006/relationships" r:embed="rId3"/>
        <a:stretch>
          <a:fillRect/>
        </a:stretch>
      </xdr:blipFill>
      <xdr:spPr>
        <a:xfrm>
          <a:off x="6229350" y="0"/>
          <a:ext cx="4695825" cy="2914651"/>
        </a:xfrm>
        <a:prstGeom prst="rect">
          <a:avLst/>
        </a:prstGeom>
      </xdr:spPr>
    </xdr:pic>
    <xdr:clientData/>
  </xdr:twoCellAnchor>
  <xdr:twoCellAnchor editAs="oneCell">
    <xdr:from>
      <xdr:col>16</xdr:col>
      <xdr:colOff>257175</xdr:colOff>
      <xdr:row>5</xdr:row>
      <xdr:rowOff>28945</xdr:rowOff>
    </xdr:from>
    <xdr:to>
      <xdr:col>29</xdr:col>
      <xdr:colOff>446081</xdr:colOff>
      <xdr:row>45</xdr:row>
      <xdr:rowOff>65468</xdr:rowOff>
    </xdr:to>
    <xdr:pic>
      <xdr:nvPicPr>
        <xdr:cNvPr id="5" name="图片 4">
          <a:extLst>
            <a:ext uri="{FF2B5EF4-FFF2-40B4-BE49-F238E27FC236}">
              <a16:creationId xmlns:a16="http://schemas.microsoft.com/office/drawing/2014/main" id="{EB63657E-F237-364D-31E5-10B16AD368EE}"/>
            </a:ext>
          </a:extLst>
        </xdr:cNvPr>
        <xdr:cNvPicPr>
          <a:picLocks noChangeAspect="1"/>
        </xdr:cNvPicPr>
      </xdr:nvPicPr>
      <xdr:blipFill>
        <a:blip xmlns:r="http://schemas.openxmlformats.org/officeDocument/2006/relationships" r:embed="rId4"/>
        <a:stretch>
          <a:fillRect/>
        </a:stretch>
      </xdr:blipFill>
      <xdr:spPr>
        <a:xfrm>
          <a:off x="11229975" y="886195"/>
          <a:ext cx="9104306" cy="6894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79271</xdr:colOff>
      <xdr:row>54</xdr:row>
      <xdr:rowOff>47624</xdr:rowOff>
    </xdr:from>
    <xdr:to>
      <xdr:col>17</xdr:col>
      <xdr:colOff>55682</xdr:colOff>
      <xdr:row>105</xdr:row>
      <xdr:rowOff>46347</xdr:rowOff>
    </xdr:to>
    <xdr:pic>
      <xdr:nvPicPr>
        <xdr:cNvPr id="3" name="图片 2">
          <a:extLst>
            <a:ext uri="{FF2B5EF4-FFF2-40B4-BE49-F238E27FC236}">
              <a16:creationId xmlns:a16="http://schemas.microsoft.com/office/drawing/2014/main" id="{F416CCBB-5192-44F5-AE34-4D6ADF2ADF2D}"/>
            </a:ext>
          </a:extLst>
        </xdr:cNvPr>
        <xdr:cNvPicPr>
          <a:picLocks noChangeAspect="1"/>
        </xdr:cNvPicPr>
      </xdr:nvPicPr>
      <xdr:blipFill>
        <a:blip xmlns:r="http://schemas.openxmlformats.org/officeDocument/2006/relationships" r:embed="rId1"/>
        <a:stretch>
          <a:fillRect/>
        </a:stretch>
      </xdr:blipFill>
      <xdr:spPr>
        <a:xfrm>
          <a:off x="11871221" y="9677399"/>
          <a:ext cx="8929911" cy="7771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352425</xdr:colOff>
      <xdr:row>7</xdr:row>
      <xdr:rowOff>133350</xdr:rowOff>
    </xdr:from>
    <xdr:to>
      <xdr:col>27</xdr:col>
      <xdr:colOff>312715</xdr:colOff>
      <xdr:row>36</xdr:row>
      <xdr:rowOff>130034</xdr:rowOff>
    </xdr:to>
    <xdr:pic>
      <xdr:nvPicPr>
        <xdr:cNvPr id="2" name="图片 1">
          <a:extLst>
            <a:ext uri="{FF2B5EF4-FFF2-40B4-BE49-F238E27FC236}">
              <a16:creationId xmlns:a16="http://schemas.microsoft.com/office/drawing/2014/main" id="{C09D5451-B2A4-05EC-8052-140EA71560B0}"/>
            </a:ext>
          </a:extLst>
        </xdr:cNvPr>
        <xdr:cNvPicPr>
          <a:picLocks noChangeAspect="1"/>
        </xdr:cNvPicPr>
      </xdr:nvPicPr>
      <xdr:blipFill>
        <a:blip xmlns:r="http://schemas.openxmlformats.org/officeDocument/2006/relationships" r:embed="rId1"/>
        <a:stretch>
          <a:fillRect/>
        </a:stretch>
      </xdr:blipFill>
      <xdr:spPr>
        <a:xfrm>
          <a:off x="13325475" y="1333500"/>
          <a:ext cx="6132490" cy="4968734"/>
        </a:xfrm>
        <a:prstGeom prst="rect">
          <a:avLst/>
        </a:prstGeom>
      </xdr:spPr>
    </xdr:pic>
    <xdr:clientData/>
  </xdr:twoCellAnchor>
  <xdr:twoCellAnchor editAs="oneCell">
    <xdr:from>
      <xdr:col>18</xdr:col>
      <xdr:colOff>476250</xdr:colOff>
      <xdr:row>25</xdr:row>
      <xdr:rowOff>142874</xdr:rowOff>
    </xdr:from>
    <xdr:to>
      <xdr:col>27</xdr:col>
      <xdr:colOff>296416</xdr:colOff>
      <xdr:row>56</xdr:row>
      <xdr:rowOff>8263</xdr:rowOff>
    </xdr:to>
    <xdr:pic>
      <xdr:nvPicPr>
        <xdr:cNvPr id="3" name="图片 2">
          <a:extLst>
            <a:ext uri="{FF2B5EF4-FFF2-40B4-BE49-F238E27FC236}">
              <a16:creationId xmlns:a16="http://schemas.microsoft.com/office/drawing/2014/main" id="{EA47FEE4-5293-2D7B-FF19-E2D58D83C3B7}"/>
            </a:ext>
          </a:extLst>
        </xdr:cNvPr>
        <xdr:cNvPicPr>
          <a:picLocks noChangeAspect="1"/>
        </xdr:cNvPicPr>
      </xdr:nvPicPr>
      <xdr:blipFill>
        <a:blip xmlns:r="http://schemas.openxmlformats.org/officeDocument/2006/relationships" r:embed="rId2"/>
        <a:stretch>
          <a:fillRect/>
        </a:stretch>
      </xdr:blipFill>
      <xdr:spPr>
        <a:xfrm>
          <a:off x="13449300" y="4429124"/>
          <a:ext cx="5992366" cy="5180339"/>
        </a:xfrm>
        <a:prstGeom prst="rect">
          <a:avLst/>
        </a:prstGeom>
      </xdr:spPr>
    </xdr:pic>
    <xdr:clientData/>
  </xdr:twoCellAnchor>
  <xdr:twoCellAnchor editAs="oneCell">
    <xdr:from>
      <xdr:col>18</xdr:col>
      <xdr:colOff>657225</xdr:colOff>
      <xdr:row>52</xdr:row>
      <xdr:rowOff>57149</xdr:rowOff>
    </xdr:from>
    <xdr:to>
      <xdr:col>27</xdr:col>
      <xdr:colOff>352580</xdr:colOff>
      <xdr:row>82</xdr:row>
      <xdr:rowOff>170210</xdr:rowOff>
    </xdr:to>
    <xdr:pic>
      <xdr:nvPicPr>
        <xdr:cNvPr id="4" name="图片 3">
          <a:extLst>
            <a:ext uri="{FF2B5EF4-FFF2-40B4-BE49-F238E27FC236}">
              <a16:creationId xmlns:a16="http://schemas.microsoft.com/office/drawing/2014/main" id="{2A2C224F-708F-6D8C-BEA8-7C0A205420FE}"/>
            </a:ext>
          </a:extLst>
        </xdr:cNvPr>
        <xdr:cNvPicPr>
          <a:picLocks noChangeAspect="1"/>
        </xdr:cNvPicPr>
      </xdr:nvPicPr>
      <xdr:blipFill>
        <a:blip xmlns:r="http://schemas.openxmlformats.org/officeDocument/2006/relationships" r:embed="rId3"/>
        <a:stretch>
          <a:fillRect/>
        </a:stretch>
      </xdr:blipFill>
      <xdr:spPr>
        <a:xfrm>
          <a:off x="13630275" y="8972549"/>
          <a:ext cx="5867555" cy="5256561"/>
        </a:xfrm>
        <a:prstGeom prst="rect">
          <a:avLst/>
        </a:prstGeom>
      </xdr:spPr>
    </xdr:pic>
    <xdr:clientData/>
  </xdr:twoCellAnchor>
  <xdr:twoCellAnchor editAs="oneCell">
    <xdr:from>
      <xdr:col>18</xdr:col>
      <xdr:colOff>638175</xdr:colOff>
      <xdr:row>79</xdr:row>
      <xdr:rowOff>161538</xdr:rowOff>
    </xdr:from>
    <xdr:to>
      <xdr:col>28</xdr:col>
      <xdr:colOff>360425</xdr:colOff>
      <xdr:row>109</xdr:row>
      <xdr:rowOff>170256</xdr:rowOff>
    </xdr:to>
    <xdr:pic>
      <xdr:nvPicPr>
        <xdr:cNvPr id="5" name="图片 4">
          <a:extLst>
            <a:ext uri="{FF2B5EF4-FFF2-40B4-BE49-F238E27FC236}">
              <a16:creationId xmlns:a16="http://schemas.microsoft.com/office/drawing/2014/main" id="{A5710361-60E3-3264-8976-320109DB9377}"/>
            </a:ext>
          </a:extLst>
        </xdr:cNvPr>
        <xdr:cNvPicPr>
          <a:picLocks noChangeAspect="1"/>
        </xdr:cNvPicPr>
      </xdr:nvPicPr>
      <xdr:blipFill>
        <a:blip xmlns:r="http://schemas.openxmlformats.org/officeDocument/2006/relationships" r:embed="rId4"/>
        <a:stretch>
          <a:fillRect/>
        </a:stretch>
      </xdr:blipFill>
      <xdr:spPr>
        <a:xfrm>
          <a:off x="13611225" y="13706088"/>
          <a:ext cx="6580250" cy="5152218"/>
        </a:xfrm>
        <a:prstGeom prst="rect">
          <a:avLst/>
        </a:prstGeom>
      </xdr:spPr>
    </xdr:pic>
    <xdr:clientData/>
  </xdr:twoCellAnchor>
  <xdr:twoCellAnchor editAs="oneCell">
    <xdr:from>
      <xdr:col>18</xdr:col>
      <xdr:colOff>247650</xdr:colOff>
      <xdr:row>0</xdr:row>
      <xdr:rowOff>85725</xdr:rowOff>
    </xdr:from>
    <xdr:to>
      <xdr:col>30</xdr:col>
      <xdr:colOff>332336</xdr:colOff>
      <xdr:row>9</xdr:row>
      <xdr:rowOff>85532</xdr:rowOff>
    </xdr:to>
    <xdr:pic>
      <xdr:nvPicPr>
        <xdr:cNvPr id="6" name="图片 5">
          <a:extLst>
            <a:ext uri="{FF2B5EF4-FFF2-40B4-BE49-F238E27FC236}">
              <a16:creationId xmlns:a16="http://schemas.microsoft.com/office/drawing/2014/main" id="{62A40013-A98B-636A-E53C-E5FC0DB36D42}"/>
            </a:ext>
          </a:extLst>
        </xdr:cNvPr>
        <xdr:cNvPicPr>
          <a:picLocks noChangeAspect="1"/>
        </xdr:cNvPicPr>
      </xdr:nvPicPr>
      <xdr:blipFill>
        <a:blip xmlns:r="http://schemas.openxmlformats.org/officeDocument/2006/relationships" r:embed="rId5"/>
        <a:stretch>
          <a:fillRect/>
        </a:stretch>
      </xdr:blipFill>
      <xdr:spPr>
        <a:xfrm>
          <a:off x="13220700" y="85725"/>
          <a:ext cx="8314286" cy="1542857"/>
        </a:xfrm>
        <a:prstGeom prst="rect">
          <a:avLst/>
        </a:prstGeom>
      </xdr:spPr>
    </xdr:pic>
    <xdr:clientData/>
  </xdr:twoCellAnchor>
  <xdr:twoCellAnchor editAs="oneCell">
    <xdr:from>
      <xdr:col>0</xdr:col>
      <xdr:colOff>0</xdr:colOff>
      <xdr:row>0</xdr:row>
      <xdr:rowOff>0</xdr:rowOff>
    </xdr:from>
    <xdr:to>
      <xdr:col>10</xdr:col>
      <xdr:colOff>152400</xdr:colOff>
      <xdr:row>15</xdr:row>
      <xdr:rowOff>24401</xdr:rowOff>
    </xdr:to>
    <xdr:pic>
      <xdr:nvPicPr>
        <xdr:cNvPr id="7" name="图片 6">
          <a:extLst>
            <a:ext uri="{FF2B5EF4-FFF2-40B4-BE49-F238E27FC236}">
              <a16:creationId xmlns:a16="http://schemas.microsoft.com/office/drawing/2014/main" id="{03836098-7117-396A-4E0A-CD08DEB14E53}"/>
            </a:ext>
          </a:extLst>
        </xdr:cNvPr>
        <xdr:cNvPicPr>
          <a:picLocks noChangeAspect="1"/>
        </xdr:cNvPicPr>
      </xdr:nvPicPr>
      <xdr:blipFill>
        <a:blip xmlns:r="http://schemas.openxmlformats.org/officeDocument/2006/relationships" r:embed="rId6"/>
        <a:stretch>
          <a:fillRect/>
        </a:stretch>
      </xdr:blipFill>
      <xdr:spPr>
        <a:xfrm>
          <a:off x="0" y="0"/>
          <a:ext cx="7010400" cy="2596151"/>
        </a:xfrm>
        <a:prstGeom prst="rect">
          <a:avLst/>
        </a:prstGeom>
      </xdr:spPr>
    </xdr:pic>
    <xdr:clientData/>
  </xdr:twoCellAnchor>
  <xdr:twoCellAnchor editAs="oneCell">
    <xdr:from>
      <xdr:col>0</xdr:col>
      <xdr:colOff>0</xdr:colOff>
      <xdr:row>15</xdr:row>
      <xdr:rowOff>15838</xdr:rowOff>
    </xdr:from>
    <xdr:to>
      <xdr:col>10</xdr:col>
      <xdr:colOff>85725</xdr:colOff>
      <xdr:row>22</xdr:row>
      <xdr:rowOff>114108</xdr:rowOff>
    </xdr:to>
    <xdr:pic>
      <xdr:nvPicPr>
        <xdr:cNvPr id="8" name="图片 7">
          <a:extLst>
            <a:ext uri="{FF2B5EF4-FFF2-40B4-BE49-F238E27FC236}">
              <a16:creationId xmlns:a16="http://schemas.microsoft.com/office/drawing/2014/main" id="{436B70AB-3281-8CDA-A7EC-34AE58EF38F8}"/>
            </a:ext>
          </a:extLst>
        </xdr:cNvPr>
        <xdr:cNvPicPr>
          <a:picLocks noChangeAspect="1"/>
        </xdr:cNvPicPr>
      </xdr:nvPicPr>
      <xdr:blipFill>
        <a:blip xmlns:r="http://schemas.openxmlformats.org/officeDocument/2006/relationships" r:embed="rId7"/>
        <a:stretch>
          <a:fillRect/>
        </a:stretch>
      </xdr:blipFill>
      <xdr:spPr>
        <a:xfrm>
          <a:off x="0" y="2587588"/>
          <a:ext cx="6943725" cy="1298420"/>
        </a:xfrm>
        <a:prstGeom prst="rect">
          <a:avLst/>
        </a:prstGeom>
      </xdr:spPr>
    </xdr:pic>
    <xdr:clientData/>
  </xdr:twoCellAnchor>
  <xdr:twoCellAnchor editAs="oneCell">
    <xdr:from>
      <xdr:col>0</xdr:col>
      <xdr:colOff>0</xdr:colOff>
      <xdr:row>22</xdr:row>
      <xdr:rowOff>95250</xdr:rowOff>
    </xdr:from>
    <xdr:to>
      <xdr:col>10</xdr:col>
      <xdr:colOff>57838</xdr:colOff>
      <xdr:row>68</xdr:row>
      <xdr:rowOff>75018</xdr:rowOff>
    </xdr:to>
    <xdr:pic>
      <xdr:nvPicPr>
        <xdr:cNvPr id="9" name="图片 8">
          <a:extLst>
            <a:ext uri="{FF2B5EF4-FFF2-40B4-BE49-F238E27FC236}">
              <a16:creationId xmlns:a16="http://schemas.microsoft.com/office/drawing/2014/main" id="{44BE4971-A093-3E51-9EDC-911F3223422A}"/>
            </a:ext>
          </a:extLst>
        </xdr:cNvPr>
        <xdr:cNvPicPr>
          <a:picLocks noChangeAspect="1"/>
        </xdr:cNvPicPr>
      </xdr:nvPicPr>
      <xdr:blipFill>
        <a:blip xmlns:r="http://schemas.openxmlformats.org/officeDocument/2006/relationships" r:embed="rId8"/>
        <a:stretch>
          <a:fillRect/>
        </a:stretch>
      </xdr:blipFill>
      <xdr:spPr>
        <a:xfrm>
          <a:off x="0" y="3867150"/>
          <a:ext cx="6915838" cy="786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200d4e1f-d5a2-4b87-a546-2ac78d98c3be\&#27979;&#31639;-&#39640;&#24503;&#22823;&#21414;-&#26446;&#35799;&#38678;20250904-145912.xlsx" TargetMode="External"/><Relationship Id="rId1" Type="http://schemas.openxmlformats.org/officeDocument/2006/relationships/externalLinkPath" Target="file:///C:\Users\ADMINI~1\AppData\Local\Temp\MicrosoftEdgeDownloads\200d4e1f-d5a2-4b87-a546-2ac78d98c3be\&#27979;&#31639;-&#39640;&#24503;&#22823;&#21414;-&#26446;&#35799;&#38678;20250904-145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系统读取表"/>
      <sheetName val="数据-基础表"/>
      <sheetName val="数据-汇总表"/>
      <sheetName val="Sheet6"/>
      <sheetName val="结果"/>
      <sheetName val="Sheet2"/>
      <sheetName val="Sheet1"/>
      <sheetName val="面积"/>
      <sheetName val="数据-取费表"/>
      <sheetName val="估价对象房地状况"/>
      <sheetName val="结果表"/>
      <sheetName val="收益法倒推租金-商业"/>
      <sheetName val="售价比较法-商业"/>
      <sheetName val="商业售价案例"/>
      <sheetName val="租金比较法-商业"/>
      <sheetName val="租金"/>
      <sheetName val="Sheet4"/>
      <sheetName val="商业租金案例"/>
      <sheetName val="成本法"/>
      <sheetName val="成本法 (元)"/>
      <sheetName val="假设开发法"/>
      <sheetName val="收益法"/>
      <sheetName val="收益法 (元)"/>
      <sheetName val="收益法-酒店模型"/>
      <sheetName val="收益法（汇总）"/>
      <sheetName val="比较法-住宅"/>
      <sheetName val="收益法倒推租金-办公"/>
      <sheetName val="售价比较法-办公 "/>
      <sheetName val="办公售价案例"/>
      <sheetName val="租金比较法-办公"/>
      <sheetName val="办公租金案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S2">
            <v>1.5019</v>
          </cell>
        </row>
        <row r="3">
          <cell r="S3">
            <v>1.1838</v>
          </cell>
        </row>
      </sheetData>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估价对象为房地产，为所有。根据《国有土地使用证》[]，估价对象（分摊）出让国有建设用地使用权面积为0平方米，建筑面积为2877.64平方米。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估价对象为房地产,属开发建设的，该项目尚在开发建设中。根据《国有土地使用证》[]，估价对象（分摊）出让国有建设用地使用权面积为0平方米，规划建筑面积为2877.64平方米。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2025年9月10日</v>
      </c>
    </row>
    <row r="13" spans="1:2">
      <c r="A13" s="1119" t="s">
        <v>529</v>
      </c>
      <c r="B13" s="11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2877.6400000000003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7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447" t="s">
        <v>385</v>
      </c>
      <c r="C54" s="1445" t="s">
        <v>583</v>
      </c>
    </row>
    <row r="55" spans="1:4">
      <c r="A55" s="3374"/>
      <c r="B55" s="1447" t="s">
        <v>386</v>
      </c>
      <c r="C55" s="1445" t="s">
        <v>584</v>
      </c>
    </row>
    <row r="56" spans="1:4">
      <c r="A56" s="3374"/>
      <c r="B56" s="1447" t="s">
        <v>387</v>
      </c>
      <c r="C56" s="1445" t="s">
        <v>588</v>
      </c>
    </row>
    <row r="57" spans="1:4">
      <c r="A57" s="337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375" t="s">
        <v>2580</v>
      </c>
      <c r="J2" s="3375"/>
      <c r="K2" s="3375"/>
      <c r="L2" s="3375"/>
      <c r="M2" s="3375"/>
      <c r="N2" s="3375"/>
      <c r="O2" s="3375"/>
      <c r="P2" s="3375"/>
      <c r="Q2" s="3375"/>
      <c r="R2" s="3375"/>
    </row>
    <row r="3" spans="1:18">
      <c r="A3" s="2763" t="s">
        <v>2501</v>
      </c>
      <c r="B3" s="2764">
        <f>项目基本情况!D3</f>
        <v>45910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1.27</v>
      </c>
      <c r="D5" s="2768">
        <f>IF(ISERROR(ROUND(POWER(1+E5,A5-C5)*(POWER(1+E5,C5)-1)/(POWER(1+E5,A5)-1),3)),0,ROUND(POWER(1+E5,A5-C5)*(POWER(1+E5,C5)-1)/(POWER(1+E5,A5)-1),4))</f>
        <v>6.1400000000000003E-2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11.28</v>
      </c>
      <c r="D6" s="2768">
        <f>IF(ISERROR(ROUND(POWER(1+E6,A6-C6)*(POWER(1+E6,C6)-1)/(POWER(1+E6,A6)-1),3)),0,ROUND(POWER(1+E6,A6-C6)*(POWER(1+E6,C6)-1)/(POWER(1+E6,A6)-1),4))</f>
        <v>0.41610000000000003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31.29</v>
      </c>
      <c r="D7" s="2768">
        <f>IF(ISERROR(ROUND(POWER(1+E7,A7-C7)*(POWER(1+E7,C7)-1)/(POWER(1+E7,A7)-1),3)),0,ROUND(POWER(1+E7,A7-C7)*(POWER(1+E7,C7)-1)/(POWER(1+E7,A7)-1),4))</f>
        <v>0.75539999999999996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K17" sqref="K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83" t="str">
        <f>IF(B10="北京市","北京市",C10)&amp;F10&amp;IF(结果表!G1="在建","出让国有建设用地使用权及在建建筑物",IF(结果表!G1="土地","出让国有建设用地使用权",))&amp;B9&amp;"预评估"</f>
        <v>预评估</v>
      </c>
      <c r="C1" s="3384"/>
      <c r="D1" s="3384"/>
      <c r="E1" s="3384"/>
      <c r="F1" s="3384"/>
      <c r="G1" s="3384"/>
      <c r="H1" s="3384"/>
      <c r="I1" s="338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45910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386" t="s">
        <v>2177</v>
      </c>
      <c r="E8" s="2202"/>
      <c r="F8" s="2203"/>
      <c r="G8" s="2442"/>
      <c r="H8" s="2442"/>
      <c r="I8" s="2442"/>
      <c r="J8" s="2245"/>
      <c r="K8" s="2400"/>
      <c r="L8" s="2399"/>
      <c r="M8" s="2399"/>
      <c r="N8" s="2245"/>
      <c r="O8" s="1670"/>
      <c r="P8" s="2245"/>
      <c r="Q8" s="2245"/>
      <c r="R8" s="2245"/>
    </row>
    <row r="9" spans="1:30" ht="13.5" thickBot="1">
      <c r="A9" s="2204" t="s">
        <v>2178</v>
      </c>
      <c r="B9" s="2205"/>
      <c r="C9" s="2206"/>
      <c r="D9" s="338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93"/>
      <c r="C16" s="3394"/>
      <c r="D16" s="3395"/>
      <c r="E16" s="2222" t="s">
        <v>2194</v>
      </c>
      <c r="F16" s="3396"/>
      <c r="G16" s="3397"/>
      <c r="H16" s="3397"/>
      <c r="I16" s="3398"/>
      <c r="J16" s="2245"/>
      <c r="K16" s="2403">
        <v>2007</v>
      </c>
      <c r="L16" s="1670"/>
      <c r="M16" s="1670"/>
      <c r="N16" s="2245"/>
      <c r="O16" s="1670"/>
      <c r="P16" s="2245"/>
      <c r="Q16" s="2245"/>
      <c r="R16" s="2245"/>
    </row>
    <row r="17" spans="1:28">
      <c r="A17" s="305" t="s">
        <v>2195</v>
      </c>
      <c r="B17" s="294" t="s">
        <v>2196</v>
      </c>
      <c r="C17" s="8">
        <f>'数据-汇总表'!E3</f>
        <v>2877.6400000000003</v>
      </c>
      <c r="D17" s="1256" t="s">
        <v>2197</v>
      </c>
      <c r="E17" s="3399" t="s">
        <v>2198</v>
      </c>
      <c r="F17" s="3400"/>
      <c r="G17" s="3400"/>
      <c r="H17" s="3400"/>
      <c r="I17" s="340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402" t="s">
        <v>2202</v>
      </c>
      <c r="F18" s="3403"/>
      <c r="G18" s="3403"/>
      <c r="H18" s="3403"/>
      <c r="I18" s="340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89" t="s">
        <v>2206</v>
      </c>
      <c r="C20" s="3390"/>
      <c r="D20" s="3391" t="s">
        <v>2207</v>
      </c>
      <c r="E20" s="3392"/>
      <c r="F20" s="2430" t="s">
        <v>1056</v>
      </c>
      <c r="G20" s="2442"/>
      <c r="H20" s="2442"/>
      <c r="I20" s="2442"/>
      <c r="J20" s="2245"/>
      <c r="K20" s="338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8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8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7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7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7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78"/>
      <c r="B30" s="294" t="s">
        <v>2218</v>
      </c>
      <c r="C30" s="3379"/>
      <c r="D30" s="3380"/>
      <c r="E30" s="2442"/>
      <c r="F30" s="2442"/>
      <c r="G30" s="2442"/>
      <c r="H30" s="2442"/>
      <c r="I30" s="2442"/>
      <c r="J30" s="2245"/>
      <c r="K30" s="2402"/>
      <c r="L30" s="2399"/>
      <c r="M30" s="2399"/>
      <c r="N30" s="2245"/>
      <c r="O30" s="1670"/>
      <c r="P30" s="2245"/>
      <c r="Q30" s="2245"/>
      <c r="R30" s="2245"/>
      <c r="S30" s="2245"/>
      <c r="T30" s="2245"/>
      <c r="U30" s="2245"/>
      <c r="V30" s="2245"/>
    </row>
    <row r="31" spans="1:28">
      <c r="A31" s="338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8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8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76" t="s">
        <v>2228</v>
      </c>
      <c r="T34" s="315" t="str">
        <f>NUMBERSTRING(7-K34,1)&amp;"通"</f>
        <v>七通</v>
      </c>
      <c r="U34" s="2245"/>
      <c r="V34" s="2245"/>
    </row>
    <row r="35" spans="1:30">
      <c r="A35" s="2236"/>
      <c r="B35" s="3376" t="s">
        <v>2229</v>
      </c>
      <c r="C35" s="3376"/>
      <c r="D35" s="3376"/>
      <c r="E35" s="337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7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2877.6400000000003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2877.6400000000003</v>
      </c>
      <c r="H5" s="13">
        <f t="shared" ref="H5:AT5" si="0">SUM(H13:H656)</f>
        <v>2877.6400000000003</v>
      </c>
      <c r="I5" s="13">
        <f t="shared" si="0"/>
        <v>559.47</v>
      </c>
      <c r="J5" s="13">
        <f t="shared" si="0"/>
        <v>0</v>
      </c>
      <c r="K5" s="13">
        <f t="shared" si="0"/>
        <v>2318.17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2877.6400000000003</v>
      </c>
      <c r="BA5" s="15">
        <f t="shared" si="1"/>
        <v>2877.6400000000003</v>
      </c>
      <c r="BB5" s="15">
        <f t="shared" si="1"/>
        <v>559.47</v>
      </c>
      <c r="BC5" s="15">
        <f t="shared" si="1"/>
        <v>2318.17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3417</v>
      </c>
      <c r="E13" s="13">
        <f>IF($C$3="是",ROUND($A$3*G13/$B$3,2),ROUND($A$3*(G13-AT13)/$B$3,2))</f>
        <v>0</v>
      </c>
      <c r="F13" s="29"/>
      <c r="G13" s="30">
        <f>H13+AC13+AT13</f>
        <v>2877.6400000000003</v>
      </c>
      <c r="H13" s="17">
        <f>SUMIF(I$12:AB$12,"总值",I13:AB13)</f>
        <v>2877.6400000000003</v>
      </c>
      <c r="I13" s="1514">
        <v>559.47</v>
      </c>
      <c r="J13" s="1514"/>
      <c r="K13" s="1514">
        <v>2318.17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2877.6400000000003</v>
      </c>
      <c r="BA13" s="13">
        <f>SUM(BB13:BK13)</f>
        <v>2877.6400000000003</v>
      </c>
      <c r="BB13" s="13">
        <f>IF($D13="是",I13-J13,0)</f>
        <v>559.47</v>
      </c>
      <c r="BC13" s="13">
        <f>IF($D13="是",K13-L13,0)</f>
        <v>2318.17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14" t="s">
        <v>1131</v>
      </c>
      <c r="B2" s="3414"/>
      <c r="C2" s="3414"/>
      <c r="D2" s="748" t="s">
        <v>1107</v>
      </c>
      <c r="E2" s="1523" t="s">
        <v>1108</v>
      </c>
      <c r="F2" s="2439"/>
      <c r="G2" s="2432"/>
      <c r="H2" s="2433"/>
      <c r="I2" s="2146" t="s">
        <v>1132</v>
      </c>
      <c r="J2" s="2439"/>
      <c r="K2" s="2439"/>
      <c r="L2" s="2439"/>
      <c r="M2" s="2439"/>
      <c r="N2" s="2440"/>
      <c r="O2" s="2439"/>
      <c r="P2" s="2439"/>
    </row>
    <row r="3" spans="1:16" ht="15.75" thickBot="1">
      <c r="A3" s="3415" t="s">
        <v>1105</v>
      </c>
      <c r="B3" s="3415"/>
      <c r="C3" s="3415"/>
      <c r="D3" s="41">
        <f>'数据-基础表'!AY6</f>
        <v>0</v>
      </c>
      <c r="E3" s="41">
        <f>'数据-基础表'!AZ5</f>
        <v>2877.6400000000003</v>
      </c>
      <c r="F3" s="2439"/>
      <c r="G3" s="42"/>
      <c r="H3" s="43" t="s">
        <v>1106</v>
      </c>
      <c r="I3" s="802" t="e">
        <f>ROUND('数据-基础表'!B3/'数据-基础表'!A3,2)</f>
        <v>#DIV/0!</v>
      </c>
      <c r="J3" s="2439"/>
      <c r="K3" s="2439"/>
      <c r="L3" s="2439"/>
      <c r="M3" s="2439"/>
      <c r="N3" s="2440"/>
      <c r="O3" s="2439"/>
      <c r="P3" s="2439"/>
    </row>
    <row r="4" spans="1:16" ht="15">
      <c r="A4" s="3416"/>
      <c r="B4" s="3417"/>
      <c r="C4" s="341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419" t="s">
        <v>1110</v>
      </c>
      <c r="C5" s="3419"/>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419" t="s">
        <v>1111</v>
      </c>
      <c r="C6" s="3419"/>
      <c r="D6" s="43">
        <f>ROUND($D$3*E6/$E$3,2)</f>
        <v>0</v>
      </c>
      <c r="E6" s="44">
        <f>E3-E5</f>
        <v>2877.6400000000003</v>
      </c>
      <c r="F6" s="2439"/>
      <c r="G6" s="1529" t="s">
        <v>1112</v>
      </c>
      <c r="H6" s="45" t="s">
        <v>1113</v>
      </c>
      <c r="I6" s="2435" t="e">
        <f>ROUND(F31/D31,2)</f>
        <v>#VALUE!</v>
      </c>
      <c r="J6" s="2439"/>
      <c r="K6" s="2439"/>
      <c r="L6" s="2439"/>
      <c r="M6" s="2439"/>
      <c r="N6" s="2439"/>
      <c r="O6" s="2439"/>
      <c r="P6" s="2439"/>
    </row>
    <row r="7" spans="1:16" ht="15.75" thickBot="1">
      <c r="A7" s="3411"/>
      <c r="B7" s="3412"/>
      <c r="C7" s="341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2877.6400000000003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2877.6400000000003</v>
      </c>
      <c r="F16" s="2439"/>
      <c r="G16" s="2439"/>
      <c r="H16" s="1531" t="s">
        <v>1135</v>
      </c>
      <c r="I16" s="1532"/>
      <c r="J16" s="1071"/>
      <c r="K16" s="3408" t="s">
        <v>1135</v>
      </c>
      <c r="L16" s="3409"/>
      <c r="M16" s="3409"/>
      <c r="N16" s="3409"/>
      <c r="O16" s="3409"/>
      <c r="P16" s="3410"/>
    </row>
    <row r="17" spans="1:19" ht="15">
      <c r="A17" s="1533" t="s">
        <v>1136</v>
      </c>
      <c r="B17" s="1534" t="s">
        <v>1137</v>
      </c>
      <c r="C17" s="1535" t="s">
        <v>1138</v>
      </c>
      <c r="D17" s="1536" t="s">
        <v>1126</v>
      </c>
      <c r="E17" s="1537" t="s">
        <v>1127</v>
      </c>
      <c r="F17" s="1538"/>
      <c r="G17" s="1539"/>
      <c r="H17" s="1540" t="s">
        <v>1139</v>
      </c>
      <c r="I17" s="1541" t="s">
        <v>1124</v>
      </c>
      <c r="J17" s="1071"/>
      <c r="K17" s="3405" t="s">
        <v>1140</v>
      </c>
      <c r="L17" s="3406"/>
      <c r="M17" s="3407"/>
      <c r="N17" s="3405" t="s">
        <v>1141</v>
      </c>
      <c r="O17" s="3406"/>
      <c r="P17" s="340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7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20" t="s">
        <v>2286</v>
      </c>
      <c r="B1" s="3421"/>
      <c r="C1" s="3421"/>
      <c r="D1" s="3421"/>
      <c r="E1" s="3421"/>
      <c r="F1" s="3421"/>
      <c r="G1" s="342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L26"/>
  <sheetViews>
    <sheetView view="pageBreakPreview" zoomScale="80" zoomScaleNormal="80" zoomScaleSheetLayoutView="80" workbookViewId="0">
      <selection activeCell="H56" sqref="H56"/>
    </sheetView>
  </sheetViews>
  <sheetFormatPr defaultColWidth="9" defaultRowHeight="13.5"/>
  <cols>
    <col min="1" max="1" width="25" style="2301" customWidth="1"/>
    <col min="2" max="9" width="15.75" style="2301" customWidth="1"/>
    <col min="10" max="16384" width="9" style="2301"/>
  </cols>
  <sheetData>
    <row r="1" spans="1:12" ht="16.5">
      <c r="A1" s="2300" t="s">
        <v>665</v>
      </c>
      <c r="B1" s="2300">
        <f>SUM(B14:B23)</f>
        <v>2877.6400000000003</v>
      </c>
      <c r="C1" s="2462"/>
      <c r="D1" s="2462"/>
      <c r="E1" s="2462"/>
      <c r="F1" s="2462"/>
      <c r="G1" s="2463"/>
      <c r="H1" s="2463"/>
      <c r="I1" s="2463"/>
      <c r="J1" s="2463"/>
      <c r="K1" s="2463"/>
    </row>
    <row r="2" spans="1:12" ht="16.5">
      <c r="A2" s="2300" t="s">
        <v>653</v>
      </c>
      <c r="B2" s="2300">
        <f>SUM(C14:C23)</f>
        <v>0</v>
      </c>
      <c r="C2" s="2462"/>
      <c r="D2" s="2462"/>
      <c r="E2" s="2462"/>
      <c r="F2" s="2462"/>
      <c r="G2" s="2463"/>
      <c r="H2" s="2463"/>
      <c r="I2" s="2463"/>
      <c r="J2" s="2463"/>
      <c r="K2" s="2463"/>
    </row>
    <row r="3" spans="1:12" ht="16.5">
      <c r="A3" s="2300" t="s">
        <v>662</v>
      </c>
      <c r="B3" s="2302">
        <f>项目基本情况!D3</f>
        <v>45910</v>
      </c>
      <c r="C3" s="2462"/>
      <c r="D3" s="2462"/>
      <c r="E3" s="2462"/>
      <c r="F3" s="2462"/>
      <c r="G3" s="2463"/>
      <c r="H3" s="2463"/>
      <c r="I3" s="2463"/>
      <c r="J3" s="2463"/>
      <c r="K3" s="2463"/>
    </row>
    <row r="4" spans="1:12" ht="33">
      <c r="A4" s="2300" t="s">
        <v>661</v>
      </c>
      <c r="B4" s="2300" t="s">
        <v>660</v>
      </c>
      <c r="C4" s="2300" t="s">
        <v>659</v>
      </c>
      <c r="D4" s="2300" t="s">
        <v>658</v>
      </c>
      <c r="E4" s="2462"/>
      <c r="F4" s="2463"/>
      <c r="G4" s="2463"/>
      <c r="H4" s="2463"/>
      <c r="I4" s="2463"/>
      <c r="J4" s="2463"/>
      <c r="K4" s="2463"/>
    </row>
    <row r="5" spans="1:12" ht="16.5">
      <c r="A5" s="2300" t="s">
        <v>657</v>
      </c>
      <c r="B5" s="2300">
        <f>SUM(D14:D23)</f>
        <v>11482.255700000002</v>
      </c>
      <c r="C5" s="2300">
        <f>IF(B5=D14,结果表!H102,ROUND(B5*10000/$B$1,0))</f>
        <v>39902</v>
      </c>
      <c r="D5" s="2300" t="e">
        <f>ROUND(B5*10000/$B$2,0)</f>
        <v>#DIV/0!</v>
      </c>
      <c r="E5" s="2462"/>
      <c r="F5" s="2463"/>
      <c r="G5" s="2463"/>
      <c r="H5" s="2463"/>
      <c r="I5" s="2463"/>
      <c r="J5" s="2463"/>
      <c r="K5" s="2463"/>
    </row>
    <row r="6" spans="1:12" ht="16.5">
      <c r="A6" s="2300" t="s">
        <v>656</v>
      </c>
      <c r="B6" s="2300">
        <f>SUM(G14:G23)</f>
        <v>0</v>
      </c>
      <c r="C6" s="2300">
        <f ca="1">IF(B6=G14,结果表!H108,ROUND(B6*10000/$B$1,0))</f>
        <v>0</v>
      </c>
      <c r="D6" s="2300" t="e">
        <f>ROUND(B6*10000/$B$2,0)</f>
        <v>#DIV/0!</v>
      </c>
      <c r="E6" s="2462"/>
      <c r="F6" s="2463"/>
      <c r="G6" s="2463"/>
      <c r="H6" s="2463"/>
      <c r="I6" s="2463"/>
      <c r="J6" s="2463"/>
      <c r="K6" s="2463"/>
    </row>
    <row r="7" spans="1:12" ht="16.5">
      <c r="A7" s="2300" t="s">
        <v>664</v>
      </c>
      <c r="B7" s="2300">
        <f>SUM(H14:H23)</f>
        <v>0</v>
      </c>
      <c r="C7" s="2300" t="str">
        <f>IF(B7=H14,结果表!H110,ROUND(B7*10000/$B$1,0))</f>
        <v>——</v>
      </c>
      <c r="D7" s="2300" t="e">
        <f>ROUND(B7*10000/$B$2,0)</f>
        <v>#DIV/0!</v>
      </c>
      <c r="E7" s="2462"/>
      <c r="F7" s="2463"/>
      <c r="G7" s="2463"/>
      <c r="H7" s="2463"/>
      <c r="I7" s="2463"/>
      <c r="J7" s="2463"/>
      <c r="K7" s="2463"/>
    </row>
    <row r="8" spans="1:12" ht="16.5">
      <c r="A8" s="2300" t="s">
        <v>587</v>
      </c>
      <c r="B8" s="2300">
        <f>SUM(I14:I23)</f>
        <v>0</v>
      </c>
      <c r="C8" s="2300" t="str">
        <f>IF(B8=I14,结果表!H112,ROUND(B8*10000/$B$1,0))</f>
        <v>——</v>
      </c>
      <c r="D8" s="2300" t="e">
        <f>ROUND(B8*10000/$B$2,0)</f>
        <v>#DIV/0!</v>
      </c>
      <c r="E8" s="2462"/>
      <c r="F8" s="2463"/>
      <c r="G8" s="2463"/>
      <c r="H8" s="2463"/>
      <c r="I8" s="2463"/>
      <c r="J8" s="2463"/>
      <c r="K8" s="2463"/>
    </row>
    <row r="9" spans="1:12" ht="16.5">
      <c r="A9" s="2300" t="s">
        <v>655</v>
      </c>
      <c r="B9" s="1244"/>
      <c r="C9" s="2462"/>
      <c r="D9" s="2462"/>
      <c r="E9" s="2462"/>
      <c r="F9" s="2463"/>
      <c r="G9" s="2463"/>
      <c r="H9" s="2463"/>
      <c r="I9" s="2463"/>
      <c r="J9" s="2463"/>
      <c r="K9" s="2463"/>
    </row>
    <row r="10" spans="1:12" ht="16.5">
      <c r="A10" s="2300" t="s">
        <v>654</v>
      </c>
      <c r="B10" s="2300">
        <f>IF(E10="",0,ROUND(B1*(E10*365/G10)/10000,0))</f>
        <v>16691</v>
      </c>
      <c r="C10" s="2300" t="s">
        <v>3354</v>
      </c>
      <c r="D10" s="2300" t="s">
        <v>3355</v>
      </c>
      <c r="E10" s="3137">
        <f>L19</f>
        <v>8.74</v>
      </c>
      <c r="F10" s="3141" t="s">
        <v>3356</v>
      </c>
      <c r="G10" s="3138">
        <v>5.5E-2</v>
      </c>
      <c r="H10" s="2463"/>
      <c r="I10" s="2463"/>
      <c r="J10" s="2463"/>
      <c r="K10" s="2463"/>
    </row>
    <row r="11" spans="1:12" ht="16.5">
      <c r="A11" s="2300" t="s">
        <v>670</v>
      </c>
      <c r="B11" s="1244"/>
      <c r="C11" s="2462"/>
      <c r="D11" s="2462"/>
      <c r="E11" s="2462"/>
      <c r="F11" s="2463"/>
      <c r="G11" s="2463"/>
      <c r="H11" s="2463"/>
      <c r="I11" s="2463"/>
      <c r="J11" s="2463"/>
      <c r="K11" s="2463"/>
    </row>
    <row r="12" spans="1:12" ht="16.5">
      <c r="A12" s="2462"/>
      <c r="B12" s="2462"/>
      <c r="C12" s="2462"/>
      <c r="D12" s="2462"/>
      <c r="E12" s="2462"/>
      <c r="F12" s="2463"/>
      <c r="G12" s="2463"/>
      <c r="H12" s="2463"/>
      <c r="I12" s="2463"/>
      <c r="J12" s="2463"/>
      <c r="K12" s="2463"/>
    </row>
    <row r="13" spans="1:12" ht="33">
      <c r="A13" s="2303" t="s">
        <v>669</v>
      </c>
      <c r="B13" s="2304" t="s">
        <v>666</v>
      </c>
      <c r="C13" s="2304" t="s">
        <v>668</v>
      </c>
      <c r="D13" s="2304" t="s">
        <v>667</v>
      </c>
      <c r="E13" s="2300" t="s">
        <v>659</v>
      </c>
      <c r="F13" s="2300" t="s">
        <v>658</v>
      </c>
      <c r="G13" s="2304" t="s">
        <v>652</v>
      </c>
      <c r="H13" s="2304" t="s">
        <v>663</v>
      </c>
      <c r="I13" s="2304" t="s">
        <v>651</v>
      </c>
      <c r="J13" s="2463"/>
      <c r="K13" s="2463"/>
    </row>
    <row r="14" spans="1:12" ht="16.5">
      <c r="A14" s="2305" t="s">
        <v>650</v>
      </c>
      <c r="B14" s="2306">
        <f>'比较法-商业'!C33</f>
        <v>559.47</v>
      </c>
      <c r="C14" s="2306"/>
      <c r="D14" s="2306">
        <f>ROUND(B14*E14/10000,4)</f>
        <v>4002.4484000000002</v>
      </c>
      <c r="E14" s="2306">
        <f>'比较法-商业'!C48*365/0.06*0.7</f>
        <v>71540</v>
      </c>
      <c r="F14" s="2306" t="e">
        <f>ROUND(D14*10000/C14,0)</f>
        <v>#DIV/0!</v>
      </c>
      <c r="G14" s="2306"/>
      <c r="H14" s="2306"/>
      <c r="I14" s="2306"/>
      <c r="J14" s="2463"/>
      <c r="K14" s="2463"/>
    </row>
    <row r="15" spans="1:12" ht="16.5">
      <c r="A15" s="2305" t="s">
        <v>649</v>
      </c>
      <c r="B15" s="2307">
        <f>'比较法-办公'!C34</f>
        <v>2318.17</v>
      </c>
      <c r="C15" s="2307"/>
      <c r="D15" s="2306">
        <f>ROUND(B15*E15/10000,4)</f>
        <v>7479.8073000000004</v>
      </c>
      <c r="E15" s="2306">
        <f>'比较法-办公'!C49*365/0.06*0.78</f>
        <v>32266.000000000004</v>
      </c>
      <c r="F15" s="2306" t="e">
        <f t="shared" ref="F15:F23" si="0">ROUND(D15*10000/C15,0)</f>
        <v>#DIV/0!</v>
      </c>
      <c r="G15" s="1244"/>
      <c r="H15" s="1244"/>
      <c r="I15" s="2307"/>
      <c r="J15" s="2463"/>
      <c r="K15" s="2463"/>
      <c r="L15" s="2301">
        <f>'比较法-商业'!C48</f>
        <v>16.8</v>
      </c>
    </row>
    <row r="16" spans="1:12" ht="16.5">
      <c r="A16" s="2305" t="s">
        <v>648</v>
      </c>
      <c r="B16" s="2307"/>
      <c r="C16" s="2307"/>
      <c r="D16" s="2307"/>
      <c r="E16" s="2306" t="e">
        <f t="shared" ref="E16:E23" si="1">ROUND(D16*10000/B16,0)</f>
        <v>#DIV/0!</v>
      </c>
      <c r="F16" s="2306" t="e">
        <f t="shared" si="0"/>
        <v>#DIV/0!</v>
      </c>
      <c r="G16" s="1244"/>
      <c r="H16" s="1244"/>
      <c r="I16" s="2307"/>
      <c r="J16" s="2463"/>
      <c r="K16" s="2463"/>
      <c r="L16" s="2301">
        <f>'比较法-办公'!C49</f>
        <v>6.8</v>
      </c>
    </row>
    <row r="17" spans="1:12" ht="16.5">
      <c r="A17" s="2305" t="s">
        <v>647</v>
      </c>
      <c r="B17" s="2307"/>
      <c r="C17" s="2307"/>
      <c r="D17" s="2307"/>
      <c r="E17" s="2306" t="e">
        <f t="shared" si="1"/>
        <v>#DIV/0!</v>
      </c>
      <c r="F17" s="2306" t="e">
        <f t="shared" si="0"/>
        <v>#DIV/0!</v>
      </c>
      <c r="G17" s="1244"/>
      <c r="H17" s="1244"/>
      <c r="I17" s="2307"/>
      <c r="J17" s="2463"/>
      <c r="K17" s="2463"/>
    </row>
    <row r="18" spans="1:12" ht="16.5">
      <c r="A18" s="2305" t="s">
        <v>646</v>
      </c>
      <c r="B18" s="2307"/>
      <c r="C18" s="2307"/>
      <c r="D18" s="2307"/>
      <c r="E18" s="2306" t="e">
        <f t="shared" si="1"/>
        <v>#DIV/0!</v>
      </c>
      <c r="F18" s="2306" t="e">
        <f t="shared" si="0"/>
        <v>#DIV/0!</v>
      </c>
      <c r="G18" s="2307"/>
      <c r="H18" s="2307"/>
      <c r="I18" s="2307"/>
      <c r="J18" s="2463"/>
      <c r="K18" s="2463"/>
      <c r="L18" s="2301">
        <f>L15*B14+L16*B15</f>
        <v>25162.652000000002</v>
      </c>
    </row>
    <row r="19" spans="1:12" ht="16.5">
      <c r="A19" s="2305" t="s">
        <v>645</v>
      </c>
      <c r="B19" s="2307"/>
      <c r="C19" s="2307"/>
      <c r="D19" s="2307"/>
      <c r="E19" s="2306" t="e">
        <f t="shared" si="1"/>
        <v>#DIV/0!</v>
      </c>
      <c r="F19" s="2306" t="e">
        <f t="shared" si="0"/>
        <v>#DIV/0!</v>
      </c>
      <c r="G19" s="2307"/>
      <c r="H19" s="2307"/>
      <c r="I19" s="2307"/>
      <c r="J19" s="2463"/>
      <c r="K19" s="2463"/>
      <c r="L19" s="2301">
        <f>ROUND(L18/B1,2)</f>
        <v>8.74</v>
      </c>
    </row>
    <row r="20" spans="1:12" ht="16.5">
      <c r="A20" s="2305" t="s">
        <v>644</v>
      </c>
      <c r="B20" s="2307"/>
      <c r="C20" s="2307"/>
      <c r="D20" s="2307"/>
      <c r="E20" s="2306" t="e">
        <f t="shared" si="1"/>
        <v>#DIV/0!</v>
      </c>
      <c r="F20" s="2306" t="e">
        <f t="shared" si="0"/>
        <v>#DIV/0!</v>
      </c>
      <c r="G20" s="2307"/>
      <c r="H20" s="2307"/>
      <c r="I20" s="2307"/>
      <c r="J20" s="2463"/>
      <c r="K20" s="2463"/>
    </row>
    <row r="21" spans="1:12" ht="16.5">
      <c r="A21" s="2305" t="s">
        <v>643</v>
      </c>
      <c r="B21" s="2307"/>
      <c r="C21" s="2307"/>
      <c r="D21" s="2307"/>
      <c r="E21" s="2306" t="e">
        <f t="shared" si="1"/>
        <v>#DIV/0!</v>
      </c>
      <c r="F21" s="2306" t="e">
        <f t="shared" si="0"/>
        <v>#DIV/0!</v>
      </c>
      <c r="G21" s="2307"/>
      <c r="H21" s="2307"/>
      <c r="I21" s="2307"/>
      <c r="J21" s="2463"/>
      <c r="K21" s="2463"/>
    </row>
    <row r="22" spans="1:12" ht="16.5">
      <c r="A22" s="2305" t="s">
        <v>642</v>
      </c>
      <c r="B22" s="2307"/>
      <c r="C22" s="2307"/>
      <c r="D22" s="2307"/>
      <c r="E22" s="2306" t="e">
        <f t="shared" si="1"/>
        <v>#DIV/0!</v>
      </c>
      <c r="F22" s="2306" t="e">
        <f t="shared" si="0"/>
        <v>#DIV/0!</v>
      </c>
      <c r="G22" s="2307"/>
      <c r="H22" s="2307"/>
      <c r="I22" s="2307"/>
      <c r="J22" s="2463"/>
      <c r="K22" s="2463"/>
    </row>
    <row r="23" spans="1:12" ht="16.5">
      <c r="A23" s="2305" t="s">
        <v>641</v>
      </c>
      <c r="B23" s="2307"/>
      <c r="C23" s="2307"/>
      <c r="D23" s="2307"/>
      <c r="E23" s="1244" t="e">
        <f t="shared" si="1"/>
        <v>#DIV/0!</v>
      </c>
      <c r="F23" s="1244" t="e">
        <f t="shared" si="0"/>
        <v>#DIV/0!</v>
      </c>
      <c r="G23" s="2307"/>
      <c r="H23" s="2307"/>
      <c r="I23" s="2307"/>
      <c r="J23" s="2463"/>
      <c r="K23" s="2463"/>
    </row>
    <row r="24" spans="1:12">
      <c r="A24" s="2463"/>
      <c r="B24" s="2463"/>
      <c r="C24" s="2463"/>
      <c r="D24" s="2463"/>
      <c r="E24" s="2463"/>
      <c r="F24" s="2463"/>
      <c r="G24" s="2463"/>
      <c r="H24" s="2463"/>
      <c r="I24" s="2463"/>
      <c r="J24" s="2463"/>
      <c r="K24" s="2463"/>
    </row>
    <row r="25" spans="1:12">
      <c r="A25" s="2463"/>
      <c r="B25" s="2463"/>
      <c r="C25" s="2463"/>
      <c r="D25" s="2463"/>
      <c r="E25" s="2463"/>
      <c r="F25" s="2463"/>
      <c r="G25" s="2463"/>
      <c r="H25" s="2463"/>
      <c r="I25" s="2463"/>
      <c r="J25" s="2463"/>
      <c r="K25" s="2463"/>
    </row>
    <row r="26" spans="1:12">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38" sqref="K3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6" t="str">
        <f>项目基本情况!S2</f>
        <v>房地产</v>
      </c>
      <c r="B2" s="3457"/>
      <c r="C2" s="3457"/>
      <c r="D2" s="3457"/>
      <c r="E2" s="3457"/>
      <c r="F2" s="3457"/>
      <c r="G2" s="3457"/>
      <c r="H2" s="3457"/>
      <c r="I2" s="3458"/>
    </row>
    <row r="3" spans="1:12" ht="12.75">
      <c r="A3" s="3460" t="s">
        <v>1264</v>
      </c>
      <c r="B3" s="3461"/>
      <c r="C3" s="3461"/>
      <c r="D3" s="3461"/>
      <c r="E3" s="3461"/>
      <c r="F3" s="3461"/>
      <c r="G3" s="3461"/>
      <c r="H3" s="3461"/>
      <c r="I3" s="3461"/>
    </row>
    <row r="4" spans="1:12" ht="14.25">
      <c r="A4" s="1624" t="s">
        <v>1265</v>
      </c>
      <c r="B4" s="1625" t="s">
        <v>1266</v>
      </c>
      <c r="C4" s="1626"/>
      <c r="D4" s="1626"/>
      <c r="E4" s="3462" t="s">
        <v>1267</v>
      </c>
      <c r="F4" s="3463"/>
      <c r="G4" s="3463"/>
      <c r="H4" s="3463"/>
      <c r="I4" s="346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6" t="s">
        <v>1268</v>
      </c>
      <c r="B5" s="3423">
        <v>25</v>
      </c>
      <c r="C5" s="3439"/>
      <c r="D5" s="3459"/>
      <c r="E5" s="123" t="s">
        <v>1269</v>
      </c>
      <c r="F5" s="1627"/>
      <c r="G5" s="1627"/>
      <c r="H5" s="1627"/>
      <c r="I5" s="1281"/>
    </row>
    <row r="6" spans="1:12" ht="12.75">
      <c r="A6" s="3436"/>
      <c r="B6" s="3423"/>
      <c r="C6" s="3440"/>
      <c r="D6" s="3459"/>
      <c r="E6" s="123" t="s">
        <v>1270</v>
      </c>
      <c r="F6" s="1627"/>
      <c r="G6" s="1627"/>
      <c r="H6" s="1627"/>
      <c r="I6" s="1281"/>
    </row>
    <row r="7" spans="1:12" ht="12.75">
      <c r="A7" s="3436"/>
      <c r="B7" s="3423"/>
      <c r="C7" s="3441"/>
      <c r="D7" s="3459"/>
      <c r="E7" s="123" t="s">
        <v>1271</v>
      </c>
      <c r="F7" s="1627"/>
      <c r="G7" s="1627"/>
      <c r="H7" s="1627"/>
      <c r="I7" s="1281"/>
    </row>
    <row r="8" spans="1:12" ht="12.75">
      <c r="A8" s="3436" t="s">
        <v>1272</v>
      </c>
      <c r="B8" s="3423">
        <v>15</v>
      </c>
      <c r="C8" s="3439"/>
      <c r="D8" s="3459"/>
      <c r="E8" s="123" t="s">
        <v>1273</v>
      </c>
      <c r="F8" s="1627"/>
      <c r="G8" s="1627"/>
      <c r="H8" s="1627"/>
      <c r="I8" s="1281"/>
    </row>
    <row r="9" spans="1:12" ht="12.75">
      <c r="A9" s="3436"/>
      <c r="B9" s="3423"/>
      <c r="C9" s="3441"/>
      <c r="D9" s="3459"/>
      <c r="E9" s="123" t="s">
        <v>1274</v>
      </c>
      <c r="F9" s="1627"/>
      <c r="G9" s="1627"/>
      <c r="H9" s="1627"/>
      <c r="I9" s="1281"/>
    </row>
    <row r="10" spans="1:12" ht="12.75">
      <c r="A10" s="3436" t="s">
        <v>1275</v>
      </c>
      <c r="B10" s="3423">
        <v>15</v>
      </c>
      <c r="C10" s="3439"/>
      <c r="D10" s="3459"/>
      <c r="E10" s="123" t="s">
        <v>1276</v>
      </c>
      <c r="F10" s="1627"/>
      <c r="G10" s="1627"/>
      <c r="H10" s="1627"/>
      <c r="I10" s="1281"/>
    </row>
    <row r="11" spans="1:12" ht="12.75">
      <c r="A11" s="3436"/>
      <c r="B11" s="3423"/>
      <c r="C11" s="3441"/>
      <c r="D11" s="3459"/>
      <c r="E11" s="123" t="s">
        <v>1277</v>
      </c>
      <c r="F11" s="1627"/>
      <c r="G11" s="1627"/>
      <c r="H11" s="1627"/>
      <c r="I11" s="1281"/>
    </row>
    <row r="12" spans="1:12" ht="12.75">
      <c r="A12" s="3436" t="s">
        <v>1278</v>
      </c>
      <c r="B12" s="3423">
        <v>15</v>
      </c>
      <c r="C12" s="3439"/>
      <c r="D12" s="3459"/>
      <c r="E12" s="123" t="s">
        <v>1279</v>
      </c>
      <c r="F12" s="1627"/>
      <c r="G12" s="1627"/>
      <c r="H12" s="1627"/>
      <c r="I12" s="1281"/>
    </row>
    <row r="13" spans="1:12" ht="12.75">
      <c r="A13" s="3436"/>
      <c r="B13" s="3423"/>
      <c r="C13" s="3441"/>
      <c r="D13" s="3459"/>
      <c r="E13" s="123" t="s">
        <v>1280</v>
      </c>
      <c r="F13" s="1627"/>
      <c r="G13" s="1627"/>
      <c r="H13" s="1627"/>
      <c r="I13" s="1281"/>
    </row>
    <row r="14" spans="1:12" ht="12.75">
      <c r="A14" s="3436" t="s">
        <v>1281</v>
      </c>
      <c r="B14" s="3423">
        <v>30</v>
      </c>
      <c r="C14" s="3439"/>
      <c r="D14" s="3459"/>
      <c r="E14" s="123" t="s">
        <v>1282</v>
      </c>
      <c r="F14" s="1627"/>
      <c r="G14" s="1627"/>
      <c r="H14" s="1627"/>
      <c r="I14" s="1281"/>
    </row>
    <row r="15" spans="1:12" ht="12.75">
      <c r="A15" s="3436"/>
      <c r="B15" s="3423"/>
      <c r="C15" s="3440"/>
      <c r="D15" s="3459"/>
      <c r="E15" s="123" t="s">
        <v>1283</v>
      </c>
      <c r="F15" s="1627"/>
      <c r="G15" s="1627"/>
      <c r="H15" s="1627"/>
      <c r="I15" s="1281"/>
    </row>
    <row r="16" spans="1:12" ht="12.75">
      <c r="A16" s="3436"/>
      <c r="B16" s="3423"/>
      <c r="C16" s="3441"/>
      <c r="D16" s="345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46" t="s">
        <v>2131</v>
      </c>
      <c r="F18" s="3447"/>
      <c r="G18" s="3447"/>
      <c r="H18" s="3447"/>
      <c r="I18" s="3447"/>
      <c r="K18" s="294" t="s">
        <v>1289</v>
      </c>
      <c r="L18" s="294">
        <f>IF(C1="",'数据-汇总表'!E3,SUMIF(项目类型,C1,'数据-汇总表'!E17:E26)+SUMIF(项目类型,C1,'数据-汇总表'!I17:I26))</f>
        <v>2877.6400000000003</v>
      </c>
      <c r="M18" s="294">
        <f>IF(C1="",'数据-汇总表'!E3,SUMIF(项目类型,C1,'数据-汇总表'!E17:E26))</f>
        <v>2877.6400000000003</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30" t="s">
        <v>1299</v>
      </c>
      <c r="B24" s="1631" t="s">
        <v>1291</v>
      </c>
      <c r="C24" s="128">
        <f>IF(B30=0,0,D30)</f>
        <v>0</v>
      </c>
      <c r="D24" s="1637"/>
      <c r="E24" s="121"/>
      <c r="F24" s="121"/>
      <c r="G24" s="121"/>
      <c r="H24" s="121"/>
      <c r="I24" s="121"/>
    </row>
    <row r="25" spans="1:36" ht="14.25">
      <c r="A25" s="34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50" t="s">
        <v>1312</v>
      </c>
      <c r="B36" s="1652" t="s">
        <v>1313</v>
      </c>
      <c r="C36" s="137"/>
      <c r="D36" s="1653"/>
      <c r="E36" s="1567"/>
      <c r="F36" s="1654"/>
      <c r="G36" s="121"/>
      <c r="H36" s="121"/>
      <c r="I36" s="121"/>
    </row>
    <row r="37" spans="1:15" ht="15.75" thickBot="1">
      <c r="A37" s="3451"/>
      <c r="B37" s="1555" t="s">
        <v>1314</v>
      </c>
      <c r="C37" s="139"/>
      <c r="D37" s="1071"/>
      <c r="E37" s="1071"/>
      <c r="F37" s="1654"/>
      <c r="G37" s="121"/>
      <c r="H37" s="121"/>
      <c r="I37" s="121"/>
    </row>
    <row r="38" spans="1:15" ht="15.75" thickBot="1">
      <c r="A38" s="345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7" t="s">
        <v>1326</v>
      </c>
      <c r="B45" s="3428"/>
      <c r="C45" s="3429"/>
      <c r="D45" s="147" t="e">
        <f ca="1">ROUND(H101*F45,0)</f>
        <v>#REF!</v>
      </c>
      <c r="E45" s="148" t="s">
        <v>1327</v>
      </c>
      <c r="F45" s="149">
        <v>1</v>
      </c>
      <c r="G45" s="150" t="s">
        <v>1328</v>
      </c>
      <c r="H45" s="121"/>
      <c r="I45" s="121"/>
      <c r="J45" s="3505" t="s">
        <v>1329</v>
      </c>
      <c r="K45" s="3505"/>
      <c r="L45" s="3505"/>
      <c r="M45" s="3505"/>
      <c r="N45" s="3505"/>
      <c r="O45" s="3505"/>
    </row>
    <row r="46" spans="1:15" ht="14.25" customHeight="1">
      <c r="A46" s="3424" t="s">
        <v>1330</v>
      </c>
      <c r="B46" s="3425"/>
      <c r="C46" s="3425"/>
      <c r="D46" s="3425"/>
      <c r="E46" s="3425"/>
      <c r="F46" s="3425"/>
      <c r="G46" s="3426"/>
      <c r="H46" s="1668"/>
      <c r="I46" s="151"/>
      <c r="J46" s="2310">
        <v>1</v>
      </c>
      <c r="K46" s="3486" t="s">
        <v>1331</v>
      </c>
      <c r="L46" s="3486"/>
      <c r="M46" s="3506"/>
      <c r="N46" s="3506"/>
      <c r="O46" s="3506"/>
    </row>
    <row r="47" spans="1:15" ht="12" customHeight="1">
      <c r="A47" s="152" t="s">
        <v>1332</v>
      </c>
      <c r="B47" s="153"/>
      <c r="C47" s="154"/>
      <c r="D47" s="1024" t="s">
        <v>1333</v>
      </c>
      <c r="E47" s="294" t="s">
        <v>1334</v>
      </c>
      <c r="F47" s="155" t="s">
        <v>1335</v>
      </c>
      <c r="G47" s="2333" t="s">
        <v>1336</v>
      </c>
      <c r="H47" s="2334"/>
      <c r="I47" s="151"/>
      <c r="J47" s="2310">
        <v>2</v>
      </c>
      <c r="K47" s="3486" t="s">
        <v>1337</v>
      </c>
      <c r="L47" s="3486"/>
      <c r="M47" s="3507">
        <f>'数据-取费表'!B2</f>
        <v>45910</v>
      </c>
      <c r="N47" s="3507"/>
      <c r="O47" s="3507"/>
    </row>
    <row r="48" spans="1:15" ht="25.5">
      <c r="A48" s="3455" t="s">
        <v>1338</v>
      </c>
      <c r="B48" s="3438"/>
      <c r="C48" s="343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86" t="s">
        <v>1340</v>
      </c>
      <c r="L48" s="3486"/>
      <c r="M48" s="3508" t="e">
        <f ca="1">H101</f>
        <v>#REF!</v>
      </c>
      <c r="N48" s="3508"/>
      <c r="O48" s="3508"/>
    </row>
    <row r="49" spans="1:35" ht="25.5" customHeight="1">
      <c r="A49" s="2152" t="s">
        <v>1341</v>
      </c>
      <c r="B49" s="3422" t="s">
        <v>1342</v>
      </c>
      <c r="C49" s="3422"/>
      <c r="D49" s="1478">
        <v>0</v>
      </c>
      <c r="E49" s="316" t="s">
        <v>1343</v>
      </c>
      <c r="F49" s="2233" t="s">
        <v>28</v>
      </c>
      <c r="G49" s="3492"/>
      <c r="H49" s="2134" t="s">
        <v>2134</v>
      </c>
      <c r="I49" s="2135"/>
      <c r="J49" s="2310">
        <v>4</v>
      </c>
      <c r="K49" s="3486" t="str">
        <f>IF(项目基本情况!E8="房地产抵押价值","房地产抵押价值","抵押担保权已注销时的房地产抵押价值")</f>
        <v>抵押担保权已注销时的房地产抵押价值</v>
      </c>
      <c r="L49" s="3486"/>
      <c r="M49" s="3508" t="str">
        <f>IF(项目基本情况!E8="房地产抵押价值",H107,H109)</f>
        <v>——</v>
      </c>
      <c r="N49" s="3508"/>
      <c r="O49" s="3508"/>
    </row>
    <row r="50" spans="1:35" ht="25.5" customHeight="1">
      <c r="A50" s="2338"/>
      <c r="B50" s="3422" t="s">
        <v>1344</v>
      </c>
      <c r="C50" s="3422"/>
      <c r="D50" s="2189"/>
      <c r="E50" s="323"/>
      <c r="F50" s="2233"/>
      <c r="G50" s="3493"/>
      <c r="H50" s="2136" t="s">
        <v>2135</v>
      </c>
      <c r="I50" s="2135"/>
      <c r="J50" s="3505" t="s">
        <v>1345</v>
      </c>
      <c r="K50" s="3505"/>
      <c r="L50" s="3505"/>
      <c r="M50" s="3505"/>
      <c r="N50" s="3505"/>
      <c r="O50" s="3505"/>
    </row>
    <row r="51" spans="1:35" ht="20.45" customHeight="1">
      <c r="A51" s="2339"/>
      <c r="B51" s="3422" t="s">
        <v>1346</v>
      </c>
      <c r="C51" s="3422"/>
      <c r="D51" s="1024"/>
      <c r="E51" s="319"/>
      <c r="F51" s="2233"/>
      <c r="G51" s="3494"/>
      <c r="H51" s="2136" t="s">
        <v>2136</v>
      </c>
      <c r="I51" s="2135"/>
      <c r="J51" s="2311" t="s">
        <v>1347</v>
      </c>
      <c r="K51" s="3486" t="s">
        <v>1348</v>
      </c>
      <c r="L51" s="3486"/>
      <c r="M51" s="2311" t="s">
        <v>1349</v>
      </c>
      <c r="N51" s="2311" t="s">
        <v>1350</v>
      </c>
      <c r="O51" s="2311" t="s">
        <v>1351</v>
      </c>
    </row>
    <row r="52" spans="1:35" ht="24" customHeight="1">
      <c r="A52" s="2153" t="s">
        <v>1352</v>
      </c>
      <c r="B52" s="3422" t="s">
        <v>1353</v>
      </c>
      <c r="C52" s="3422"/>
      <c r="D52" s="1024" t="e">
        <f ca="1">ROUND(D45*'数据-取费表'!B41/(1+'数据-取费表'!C42),0)</f>
        <v>#REF!</v>
      </c>
      <c r="E52" s="1256" t="s">
        <v>1354</v>
      </c>
      <c r="F52" s="2340">
        <f>'数据-取费表'!B41</f>
        <v>0</v>
      </c>
      <c r="G52" s="2341"/>
      <c r="H52" s="2331"/>
      <c r="I52" s="1669"/>
      <c r="J52" s="2310">
        <v>1</v>
      </c>
      <c r="K52" s="3487" t="s">
        <v>1355</v>
      </c>
      <c r="L52" s="3487"/>
      <c r="M52" s="2312" t="b">
        <f>D48</f>
        <v>0</v>
      </c>
      <c r="N52" s="2310" t="str">
        <f>E48</f>
        <v>销售额×税（费）率</v>
      </c>
      <c r="O52" s="2313">
        <f>F48</f>
        <v>0</v>
      </c>
    </row>
    <row r="53" spans="1:35" ht="12" customHeight="1">
      <c r="A53" s="2153" t="s">
        <v>1356</v>
      </c>
      <c r="B53" s="3448" t="s">
        <v>2291</v>
      </c>
      <c r="C53" s="3449"/>
      <c r="D53" s="1024" t="e">
        <f ca="1">ROUND(D45*'数据-取费表'!B41/(1+'数据-取费表'!C42),0)</f>
        <v>#REF!</v>
      </c>
      <c r="E53" s="1256" t="s">
        <v>1354</v>
      </c>
      <c r="F53" s="2340">
        <f>'数据-取费表'!B41</f>
        <v>0</v>
      </c>
      <c r="G53" s="2341"/>
      <c r="H53" s="2331"/>
      <c r="I53" s="1669"/>
      <c r="J53" s="2310">
        <v>2</v>
      </c>
      <c r="K53" s="3487" t="s">
        <v>1357</v>
      </c>
      <c r="L53" s="3487"/>
      <c r="M53" s="2312" t="e">
        <f t="shared" ref="M53:O54" ca="1" si="0">D55</f>
        <v>#REF!</v>
      </c>
      <c r="N53" s="2310" t="str">
        <f t="shared" si="0"/>
        <v>销售额×税（费）率</v>
      </c>
      <c r="O53" s="2313" t="str">
        <f t="shared" si="0"/>
        <v>免征</v>
      </c>
    </row>
    <row r="54" spans="1:35" ht="12" customHeight="1">
      <c r="A54" s="2153" t="s">
        <v>1358</v>
      </c>
      <c r="B54" s="3448" t="s">
        <v>2292</v>
      </c>
      <c r="C54" s="3449"/>
      <c r="D54" s="1024" t="e">
        <f ca="1">C68</f>
        <v>#REF!</v>
      </c>
      <c r="E54" s="319" t="s">
        <v>1359</v>
      </c>
      <c r="F54" s="2340">
        <f>'数据-取费表'!B41</f>
        <v>0</v>
      </c>
      <c r="G54" s="2341"/>
      <c r="H54" s="2342"/>
      <c r="I54" s="1669"/>
      <c r="J54" s="2310">
        <v>3</v>
      </c>
      <c r="K54" s="3487" t="s">
        <v>1360</v>
      </c>
      <c r="L54" s="3487"/>
      <c r="M54" s="2312" t="e">
        <f t="shared" ca="1" si="0"/>
        <v>#REF!</v>
      </c>
      <c r="N54" s="2310" t="str">
        <f t="shared" si="0"/>
        <v>增值额×税（费）率</v>
      </c>
      <c r="O54" s="2314" t="str">
        <f t="shared" si="0"/>
        <v>免征</v>
      </c>
    </row>
    <row r="55" spans="1:35" ht="24" customHeight="1">
      <c r="A55" s="3437" t="s">
        <v>1361</v>
      </c>
      <c r="B55" s="3438"/>
      <c r="C55" s="3438"/>
      <c r="D55" s="12" t="e">
        <f ca="1">IF(H55="个人住宅",0,ROUND(D45*I55,0))</f>
        <v>#REF!</v>
      </c>
      <c r="E55" s="1256" t="s">
        <v>1362</v>
      </c>
      <c r="F55" s="2340" t="str">
        <f>IF(H55="正常",I55,"免征")</f>
        <v>免征</v>
      </c>
      <c r="G55" s="2341"/>
      <c r="H55" s="2337"/>
      <c r="I55" s="157">
        <f>'数据-取费表'!B49</f>
        <v>0</v>
      </c>
      <c r="J55" s="2310">
        <f>IF(H59="非个人房产","",4)</f>
        <v>4</v>
      </c>
      <c r="K55" s="3487" t="str">
        <f>IF(H59="非个人房产","——","个人所得税")</f>
        <v>个人所得税</v>
      </c>
      <c r="L55" s="3487"/>
      <c r="M55" s="2315" t="e">
        <f ca="1">D59</f>
        <v>#REF!</v>
      </c>
      <c r="N55" s="1883" t="str">
        <f>E59</f>
        <v>差额计税</v>
      </c>
      <c r="O55" s="2316">
        <f>F59</f>
        <v>0.01</v>
      </c>
    </row>
    <row r="56" spans="1:35" ht="24.75">
      <c r="A56" s="3437" t="s">
        <v>1363</v>
      </c>
      <c r="B56" s="3438"/>
      <c r="C56" s="3438"/>
      <c r="D56" s="12" t="e">
        <f ca="1">IF(H56="个人住宅",D57,D58)</f>
        <v>#REF!</v>
      </c>
      <c r="E56" s="1256" t="s">
        <v>1364</v>
      </c>
      <c r="F56" s="2340" t="str">
        <f>IF(H56="正常",F58,"免征")</f>
        <v>免征</v>
      </c>
      <c r="G56" s="2343" t="s">
        <v>1365</v>
      </c>
      <c r="H56" s="2344"/>
      <c r="I56" s="1670"/>
      <c r="J56" s="2310" t="str">
        <f>IF(项目基本情况!K6="上海银行",IF(J55="",4,J55+1),"")</f>
        <v/>
      </c>
      <c r="K56" s="3510" t="str">
        <f>IF(项目基本情况!K6="上海银行","其他处置费用","")</f>
        <v/>
      </c>
      <c r="L56" s="3511"/>
      <c r="M56" s="2312" t="str">
        <f>IF(项目基本情况!K6="上海银行",M69,"")</f>
        <v/>
      </c>
      <c r="N56" s="3510" t="str">
        <f>IF(项目基本情况!K6="上海银行","包含处置中涉及的律师、诉讼、拍卖、评估等费用","")</f>
        <v/>
      </c>
      <c r="O56" s="3513"/>
    </row>
    <row r="57" spans="1:35" ht="12.75">
      <c r="A57" s="2153" t="s">
        <v>1341</v>
      </c>
      <c r="B57" s="3448" t="s">
        <v>1366</v>
      </c>
      <c r="C57" s="3449"/>
      <c r="D57" s="1478">
        <v>0</v>
      </c>
      <c r="E57" s="316" t="s">
        <v>1343</v>
      </c>
      <c r="F57" s="294"/>
      <c r="G57" s="2341"/>
      <c r="H57" s="2345"/>
      <c r="I57" s="1670"/>
      <c r="J57" s="3487">
        <f>IF(AND(J55="",J56=""),4,IF(项目基本情况!K6="上海银行",结果表!J56+1,结果表!J55+1))</f>
        <v>5</v>
      </c>
      <c r="K57" s="3487" t="s">
        <v>1367</v>
      </c>
      <c r="L57" s="2317" t="s">
        <v>1368</v>
      </c>
      <c r="M57" s="2318"/>
      <c r="N57" s="2319">
        <f ca="1">SUMIF(M52:M56,"&lt;9e307")</f>
        <v>0</v>
      </c>
      <c r="O57" s="2320"/>
      <c r="P57" s="2465" t="e">
        <f ca="1">N57/M49</f>
        <v>#VALUE!</v>
      </c>
    </row>
    <row r="58" spans="1:35" ht="24.75">
      <c r="A58" s="2153" t="s">
        <v>1352</v>
      </c>
      <c r="B58" s="3448" t="s">
        <v>1369</v>
      </c>
      <c r="C58" s="3422"/>
      <c r="D58" s="12" t="e">
        <f ca="1">IF(H58="转让取得",C81,C97)</f>
        <v>#REF!</v>
      </c>
      <c r="E58" s="1256" t="s">
        <v>1364</v>
      </c>
      <c r="F58" s="294" t="s">
        <v>28</v>
      </c>
      <c r="G58" s="2341"/>
      <c r="H58" s="2344"/>
      <c r="I58" s="1670"/>
      <c r="J58" s="3487"/>
      <c r="K58" s="3487"/>
      <c r="L58" s="2317" t="s">
        <v>1370</v>
      </c>
      <c r="M58" s="2321"/>
      <c r="N58" s="2322" t="str">
        <f ca="1">NUMBERSTRING(INT(N57*10000),2)&amp;"元整"</f>
        <v>零元整</v>
      </c>
      <c r="O58" s="2323"/>
    </row>
    <row r="59" spans="1:35" ht="24.75" thickBot="1">
      <c r="A59" s="3490" t="s">
        <v>1371</v>
      </c>
      <c r="B59" s="3491"/>
      <c r="C59" s="349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88">
        <f>J57+1</f>
        <v>6</v>
      </c>
      <c r="K59" s="3487" t="s">
        <v>1372</v>
      </c>
      <c r="L59" s="2310" t="s">
        <v>1368</v>
      </c>
      <c r="M59" s="2324"/>
      <c r="N59" s="2325" t="e">
        <f ca="1">M49-N57</f>
        <v>#VALUE!</v>
      </c>
      <c r="O59" s="2326"/>
    </row>
    <row r="60" spans="1:35" ht="12" customHeight="1">
      <c r="A60" s="1671"/>
      <c r="B60" s="646"/>
      <c r="C60" s="646"/>
      <c r="D60" s="646"/>
      <c r="E60" s="1466"/>
      <c r="F60" s="1670"/>
      <c r="G60" s="1670"/>
      <c r="H60" s="151"/>
      <c r="I60" s="121"/>
      <c r="J60" s="3489"/>
      <c r="K60" s="3487"/>
      <c r="L60" s="2317" t="s">
        <v>1370</v>
      </c>
      <c r="M60" s="2321"/>
      <c r="N60" s="2322" t="e">
        <f ca="1">NUMBERSTRING(INT(N59*10000),2)&amp;"元整"</f>
        <v>#VALUE!</v>
      </c>
      <c r="O60" s="2323"/>
    </row>
    <row r="61" spans="1:35" ht="13.5" thickBot="1">
      <c r="A61" s="3435" t="s">
        <v>1373</v>
      </c>
      <c r="B61" s="3435"/>
      <c r="C61" s="3435"/>
      <c r="D61" s="3435"/>
      <c r="E61" s="3435"/>
      <c r="F61" s="1670"/>
      <c r="G61" s="1670"/>
      <c r="H61" s="151"/>
      <c r="I61" s="121"/>
      <c r="J61" s="2310">
        <f>J59+1</f>
        <v>7</v>
      </c>
      <c r="K61" s="3487" t="s">
        <v>1374</v>
      </c>
      <c r="L61" s="3487"/>
      <c r="M61" s="2327"/>
      <c r="N61" s="2328" t="e">
        <f ca="1">ROUND(N59*10000/'数据-汇总表'!E3,0)</f>
        <v>#VALUE!</v>
      </c>
      <c r="O61" s="2329"/>
    </row>
    <row r="62" spans="1:35" ht="12.75">
      <c r="A62" s="3453" t="s">
        <v>1375</v>
      </c>
      <c r="B62" s="345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51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51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51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51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51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51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12"/>
      <c r="K69" s="1245" t="s">
        <v>1393</v>
      </c>
      <c r="L69" s="1245"/>
      <c r="M69" s="294" t="e">
        <f>ROUND(SUM(M63:M68),0)</f>
        <v>#VALUE!</v>
      </c>
      <c r="N69" s="2332" t="e">
        <f>M69/M49</f>
        <v>#VALUE!</v>
      </c>
      <c r="Z69" s="1623"/>
      <c r="AI69" s="1561"/>
    </row>
    <row r="70" spans="1:35" s="642" customFormat="1" ht="15" thickBot="1">
      <c r="A70" s="3474" t="s">
        <v>1394</v>
      </c>
      <c r="B70" s="3475"/>
      <c r="C70" s="3475"/>
      <c r="D70" s="3475"/>
      <c r="E70" s="3475"/>
      <c r="F70" s="3475"/>
      <c r="G70" s="3475"/>
      <c r="H70" s="347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53" t="s">
        <v>1375</v>
      </c>
      <c r="B71" s="345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48" t="s">
        <v>1402</v>
      </c>
      <c r="F76" s="3422"/>
      <c r="G76" s="3422"/>
      <c r="H76" s="347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32" t="s">
        <v>1406</v>
      </c>
      <c r="F78" s="3433"/>
      <c r="G78" s="3433"/>
      <c r="H78" s="344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74" t="s">
        <v>1410</v>
      </c>
      <c r="B83" s="3475"/>
      <c r="C83" s="3475"/>
      <c r="D83" s="3475"/>
      <c r="E83" s="3475"/>
      <c r="F83" s="3475"/>
      <c r="G83" s="3475"/>
      <c r="H83" s="347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53" t="s">
        <v>1375</v>
      </c>
      <c r="B84" s="345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514" t="s">
        <v>2129</v>
      </c>
      <c r="H90" s="351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32" t="s">
        <v>1419</v>
      </c>
      <c r="F91" s="3433"/>
      <c r="G91" s="343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32" t="s">
        <v>1422</v>
      </c>
      <c r="F92" s="3433"/>
      <c r="G92" s="3433"/>
      <c r="H92" s="344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32" t="s">
        <v>1406</v>
      </c>
      <c r="F93" s="3433"/>
      <c r="G93" s="3433"/>
      <c r="H93" s="344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43" t="s">
        <v>1426</v>
      </c>
      <c r="F94" s="3444"/>
      <c r="G94" s="3444"/>
      <c r="H94" s="34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416" t="s">
        <v>1428</v>
      </c>
      <c r="B100" s="3417"/>
      <c r="C100" s="3417"/>
      <c r="D100" s="3434"/>
      <c r="E100" s="3417" t="s">
        <v>1429</v>
      </c>
      <c r="F100" s="3417"/>
      <c r="G100" s="3417"/>
      <c r="H100" s="3434"/>
      <c r="I100" s="121"/>
    </row>
    <row r="101" spans="1:35" ht="18.75" customHeight="1">
      <c r="A101" s="3495" t="s">
        <v>1430</v>
      </c>
      <c r="B101" s="3496"/>
      <c r="C101" s="2371">
        <f>C4</f>
        <v>0</v>
      </c>
      <c r="D101" s="2372">
        <f>D4</f>
        <v>0</v>
      </c>
      <c r="E101" s="3509" t="s">
        <v>1431</v>
      </c>
      <c r="F101" s="3466"/>
      <c r="G101" s="1687" t="s">
        <v>1432</v>
      </c>
      <c r="H101" s="2381" t="e">
        <f ca="1">H118</f>
        <v>#REF!</v>
      </c>
      <c r="I101" s="121"/>
    </row>
    <row r="102" spans="1:35" ht="18.75" customHeight="1">
      <c r="A102" s="3468" t="s">
        <v>1433</v>
      </c>
      <c r="B102" s="2370" t="s">
        <v>1432</v>
      </c>
      <c r="C102" s="2371" t="e">
        <f ca="1">IF(D32="楼面单价",ROUND(C19,0),C19)</f>
        <v>#REF!</v>
      </c>
      <c r="D102" s="2372" t="e">
        <f ca="1">IF(D32="楼面单价",ROUND(D19,0),D19)</f>
        <v>#REF!</v>
      </c>
      <c r="E102" s="3509"/>
      <c r="F102" s="3466"/>
      <c r="G102" s="1687" t="s">
        <v>1434</v>
      </c>
      <c r="H102" s="2341" t="e">
        <f ca="1">I118</f>
        <v>#REF!</v>
      </c>
      <c r="I102" s="121"/>
    </row>
    <row r="103" spans="1:35" ht="42.75" customHeight="1">
      <c r="A103" s="3468"/>
      <c r="B103" s="2370" t="s">
        <v>1434</v>
      </c>
      <c r="C103" s="2373" t="e">
        <f ca="1">C20</f>
        <v>#REF!</v>
      </c>
      <c r="D103" s="2374" t="e">
        <f ca="1">D20</f>
        <v>#REF!</v>
      </c>
      <c r="E103" s="3503" t="s">
        <v>1435</v>
      </c>
      <c r="F103" s="3504"/>
      <c r="G103" s="1688" t="s">
        <v>1436</v>
      </c>
      <c r="H103" s="2381">
        <f>IF(D36="正常操作",H104+H105+H106,H105+H106)</f>
        <v>0</v>
      </c>
      <c r="I103" s="121"/>
    </row>
    <row r="104" spans="1:35" ht="18.75" customHeight="1">
      <c r="A104" s="346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6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65" t="str">
        <f>IF(项目基本情况!E8="已注销","——","3.房地产抵押价值")</f>
        <v>3.房地产抵押价值</v>
      </c>
      <c r="F107" s="3466"/>
      <c r="G107" s="1687" t="s">
        <v>1432</v>
      </c>
      <c r="H107" s="2381" t="e">
        <f ca="1">IF(E107="——","——",H101-H103)</f>
        <v>#REF!</v>
      </c>
      <c r="I107" s="121"/>
    </row>
    <row r="108" spans="1:35" ht="18.75" customHeight="1">
      <c r="A108" s="121"/>
      <c r="B108" s="121"/>
      <c r="C108" s="121"/>
      <c r="D108" s="121"/>
      <c r="E108" s="3465"/>
      <c r="F108" s="3466"/>
      <c r="G108" s="1687" t="s">
        <v>1434</v>
      </c>
      <c r="H108" s="2341">
        <f ca="1">IF(H107=H101,H102,ROUND(H107*10000/'数据-汇总表'!E3,0))</f>
        <v>0</v>
      </c>
      <c r="I108" s="121"/>
    </row>
    <row r="109" spans="1:35" ht="18.75" customHeight="1">
      <c r="A109" s="121"/>
      <c r="B109" s="121"/>
      <c r="C109" s="121"/>
      <c r="D109" s="121"/>
      <c r="E109" s="3465" t="str">
        <f>IF(项目基本情况!E8="已注销及未注销","4.抵押担保权已注销时的房地产抵押价值",IF(项目基本情况!E8="已注销","3.抵押担保权已注销时的房地产抵押价值","——"))</f>
        <v>——</v>
      </c>
      <c r="F109" s="3466"/>
      <c r="G109" s="1687" t="s">
        <v>1432</v>
      </c>
      <c r="H109" s="2384" t="str">
        <f>IF(E109="——","——",H101-H105-H106)</f>
        <v>——</v>
      </c>
      <c r="I109" s="121"/>
    </row>
    <row r="110" spans="1:35" ht="18.75" customHeight="1">
      <c r="A110" s="121"/>
      <c r="B110" s="121"/>
      <c r="C110" s="121"/>
      <c r="D110" s="121"/>
      <c r="E110" s="3465"/>
      <c r="F110" s="3466"/>
      <c r="G110" s="1687" t="s">
        <v>1434</v>
      </c>
      <c r="H110" s="2341" t="str">
        <f>IF(H109="——","——",ROUND(H109*10000/'数据-汇总表'!E3,0))</f>
        <v>——</v>
      </c>
      <c r="I110" s="121"/>
    </row>
    <row r="111" spans="1:35" ht="18.75" customHeight="1">
      <c r="A111" s="121"/>
      <c r="B111" s="121"/>
      <c r="C111" s="121"/>
      <c r="D111" s="121"/>
      <c r="E111" s="3497" t="str">
        <f>IF(项目基本情况!E9="抵押净值",IF(OR(项目基本情况!E8="已注销",项目基本情况!E8="房地产抵押价值"),"4.抵押净值","5.抵押净值"),"——")</f>
        <v>——</v>
      </c>
      <c r="F111" s="3467"/>
      <c r="G111" s="1687" t="s">
        <v>1432</v>
      </c>
      <c r="H111" s="2381" t="str">
        <f>IF(E111="——","——",N59)</f>
        <v>——</v>
      </c>
      <c r="I111" s="121"/>
    </row>
    <row r="112" spans="1:35" ht="18.75" customHeight="1" thickBot="1">
      <c r="A112" s="121"/>
      <c r="B112" s="121"/>
      <c r="C112" s="121"/>
      <c r="D112" s="121"/>
      <c r="E112" s="3498"/>
      <c r="F112" s="3499"/>
      <c r="G112" s="1690" t="s">
        <v>1434</v>
      </c>
      <c r="H112" s="2385" t="str">
        <f>IF(E111="——","——",N61)</f>
        <v>——</v>
      </c>
      <c r="I112" s="121"/>
    </row>
    <row r="113" spans="1:27" ht="18.75" customHeight="1">
      <c r="A113" s="121"/>
      <c r="B113" s="121"/>
      <c r="C113" s="121"/>
      <c r="D113" s="121"/>
      <c r="E113" s="3470" t="s">
        <v>1440</v>
      </c>
      <c r="F113" s="3470"/>
      <c r="G113" s="3470"/>
      <c r="H113" s="3470"/>
      <c r="I113" s="121"/>
    </row>
    <row r="114" spans="1:27" ht="3.75" customHeight="1">
      <c r="A114" s="646"/>
      <c r="B114" s="646"/>
      <c r="C114" s="646"/>
      <c r="D114" s="646"/>
      <c r="E114" s="1671"/>
      <c r="F114" s="1671"/>
      <c r="G114" s="1671"/>
      <c r="H114" s="1671"/>
      <c r="I114" s="646"/>
    </row>
    <row r="115" spans="1:27" ht="18.75" customHeight="1">
      <c r="A115" s="3480" t="s">
        <v>1442</v>
      </c>
      <c r="B115" s="3481"/>
      <c r="C115" s="3481"/>
      <c r="D115" s="3481"/>
      <c r="E115" s="3481"/>
      <c r="F115" s="3481"/>
      <c r="G115" s="3481"/>
      <c r="H115" s="3481"/>
      <c r="I115" s="3482"/>
    </row>
    <row r="116" spans="1:27" ht="27" customHeight="1">
      <c r="A116" s="3436" t="s">
        <v>1443</v>
      </c>
      <c r="B116" s="3471" t="s">
        <v>1444</v>
      </c>
      <c r="C116" s="3471" t="s">
        <v>1445</v>
      </c>
      <c r="D116" s="3484" t="s">
        <v>1446</v>
      </c>
      <c r="E116" s="3485"/>
      <c r="F116" s="3479" t="s">
        <v>1447</v>
      </c>
      <c r="G116" s="3479"/>
      <c r="H116" s="3436" t="s">
        <v>1448</v>
      </c>
      <c r="I116" s="3436"/>
    </row>
    <row r="117" spans="1:27" ht="18.75" customHeight="1">
      <c r="A117" s="3436"/>
      <c r="B117" s="3472"/>
      <c r="C117" s="3472"/>
      <c r="D117" s="2150" t="s">
        <v>1449</v>
      </c>
      <c r="E117" s="2150" t="s">
        <v>1450</v>
      </c>
      <c r="F117" s="2150" t="s">
        <v>1449</v>
      </c>
      <c r="G117" s="2150" t="s">
        <v>1451</v>
      </c>
      <c r="H117" s="2150" t="s">
        <v>1449</v>
      </c>
      <c r="I117" s="2150" t="s">
        <v>1451</v>
      </c>
    </row>
    <row r="118" spans="1:27" ht="24.75" customHeight="1">
      <c r="A118" s="2386" t="str">
        <f>项目基本情况!S2</f>
        <v>房地产</v>
      </c>
      <c r="B118" s="2150">
        <f>M18</f>
        <v>2877.6400000000003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36" t="s">
        <v>1452</v>
      </c>
      <c r="B119" s="3436"/>
      <c r="C119" s="3436"/>
      <c r="D119" s="3476" t="e">
        <f ca="1">NUMBERSTRING(INT(D118*10000),2)&amp;"元整"</f>
        <v>#REF!</v>
      </c>
      <c r="E119" s="3478"/>
      <c r="F119" s="3476" t="e">
        <f ca="1">NUMBERSTRING(INT(F118*10000),2)&amp;"元整"</f>
        <v>#REF!</v>
      </c>
      <c r="G119" s="3478"/>
      <c r="H119" s="3476" t="e">
        <f ca="1">NUMBERSTRING(INT(H118*10000),2)&amp;"元整"</f>
        <v>#REF!</v>
      </c>
      <c r="I119" s="3478"/>
    </row>
    <row r="120" spans="1:27" ht="18.75" customHeight="1">
      <c r="A120" s="3500" t="str">
        <f>IF(项目基本情况!B9="房地产市场价值","",MID(E103,3,LEN(E103)-2))</f>
        <v>估价师知悉的法定优先受偿款</v>
      </c>
      <c r="B120" s="3501"/>
      <c r="C120" s="3502"/>
      <c r="D120" s="3500">
        <f>H103</f>
        <v>0</v>
      </c>
      <c r="E120" s="3501"/>
      <c r="F120" s="3501"/>
      <c r="G120" s="3501"/>
      <c r="H120" s="3501"/>
      <c r="I120" s="35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76" t="s">
        <v>1452</v>
      </c>
      <c r="B121" s="3477"/>
      <c r="C121" s="3478"/>
      <c r="D121" s="3476" t="str">
        <f>IF(D120=0,"零元整",NUMBERSTRING(INT(D120*10000),2)&amp;"元整")</f>
        <v>零元整</v>
      </c>
      <c r="E121" s="3477"/>
      <c r="F121" s="3477"/>
      <c r="G121" s="3477"/>
      <c r="H121" s="3477"/>
      <c r="I121" s="3478"/>
      <c r="AA121" s="684"/>
    </row>
    <row r="122" spans="1:27" ht="18.75" customHeight="1">
      <c r="A122" s="3467" t="str">
        <f>IF(项目基本情况!B9="房地产市场价值","",MID(E107,3,LEN(E107)-2))</f>
        <v>房地产抵押价值</v>
      </c>
      <c r="B122" s="3467"/>
      <c r="C122" s="3467"/>
      <c r="D122" s="3500" t="e">
        <f ca="1">H107</f>
        <v>#REF!</v>
      </c>
      <c r="E122" s="3501"/>
      <c r="F122" s="3501"/>
      <c r="G122" s="3501"/>
      <c r="H122" s="3501"/>
      <c r="I122" s="3502"/>
      <c r="AA122" s="684"/>
    </row>
    <row r="123" spans="1:27" ht="18.75" customHeight="1">
      <c r="A123" s="3436" t="s">
        <v>1452</v>
      </c>
      <c r="B123" s="3436"/>
      <c r="C123" s="3436"/>
      <c r="D123" s="3476" t="e">
        <f ca="1">NUMBERSTRING(INT(D122*10000),2)&amp;"元整"</f>
        <v>#REF!</v>
      </c>
      <c r="E123" s="3477"/>
      <c r="F123" s="3477"/>
      <c r="G123" s="3477"/>
      <c r="H123" s="3477"/>
      <c r="I123" s="3478"/>
      <c r="AA123" s="684"/>
    </row>
    <row r="124" spans="1:27" ht="18.75" customHeight="1">
      <c r="A124" s="3467" t="str">
        <f>IF(项目基本情况!B9="房地产市场价值","",MID(E109,3,LEN(E109)-2))</f>
        <v/>
      </c>
      <c r="B124" s="3467"/>
      <c r="C124" s="3467"/>
      <c r="D124" s="3500" t="str">
        <f>H109</f>
        <v>——</v>
      </c>
      <c r="E124" s="3501"/>
      <c r="F124" s="3501"/>
      <c r="G124" s="3501"/>
      <c r="H124" s="3501"/>
      <c r="I124" s="3502"/>
      <c r="AA124" s="684"/>
    </row>
    <row r="125" spans="1:27" ht="18.75" customHeight="1">
      <c r="A125" s="3436" t="s">
        <v>1452</v>
      </c>
      <c r="B125" s="3436"/>
      <c r="C125" s="3436"/>
      <c r="D125" s="3476" t="e">
        <f>NUMBERSTRING(INT(D124*10000),2)&amp;"元整"</f>
        <v>#VALUE!</v>
      </c>
      <c r="E125" s="3477"/>
      <c r="F125" s="3477"/>
      <c r="G125" s="3477"/>
      <c r="H125" s="3477"/>
      <c r="I125" s="3478"/>
      <c r="AA125" s="684"/>
    </row>
    <row r="126" spans="1:27" ht="18.75" customHeight="1">
      <c r="A126" s="3467" t="str">
        <f>IF(项目基本情况!B9="房地产市场价值","",MID(E111,3,LEN(E111)-2))</f>
        <v/>
      </c>
      <c r="B126" s="3467"/>
      <c r="C126" s="3467"/>
      <c r="D126" s="3500" t="str">
        <f>H111</f>
        <v>——</v>
      </c>
      <c r="E126" s="3501"/>
      <c r="F126" s="3501"/>
      <c r="G126" s="3501"/>
      <c r="H126" s="3501"/>
      <c r="I126" s="3502"/>
      <c r="AA126" s="684"/>
    </row>
    <row r="127" spans="1:27" ht="18.75" customHeight="1">
      <c r="A127" s="3436" t="s">
        <v>1452</v>
      </c>
      <c r="B127" s="3436"/>
      <c r="C127" s="3436"/>
      <c r="D127" s="3476" t="e">
        <f>NUMBERSTRING(INT(D126*10000),2)&amp;"元整"</f>
        <v>#VALUE!</v>
      </c>
      <c r="E127" s="3477"/>
      <c r="F127" s="3477"/>
      <c r="G127" s="3477"/>
      <c r="H127" s="3477"/>
      <c r="I127" s="3478"/>
      <c r="AA127" s="684"/>
    </row>
    <row r="128" spans="1:27" ht="21.75" customHeight="1">
      <c r="A128" s="3483" t="s">
        <v>1453</v>
      </c>
      <c r="B128" s="3483"/>
      <c r="C128" s="3483"/>
      <c r="D128" s="3483"/>
      <c r="E128" s="3483"/>
      <c r="F128" s="3483"/>
      <c r="G128" s="3483"/>
      <c r="H128" s="3483"/>
      <c r="I128" s="34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2877.6400000000003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2877.6400000000003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2877.6400000000003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516" t="s">
        <v>1544</v>
      </c>
    </row>
    <row r="43" spans="1:7" ht="13.5" customHeight="1">
      <c r="A43" s="734" t="s">
        <v>347</v>
      </c>
      <c r="B43" s="207" t="s">
        <v>1545</v>
      </c>
      <c r="C43" s="230" t="e">
        <f ca="1">ROUND(IF('数据-取费表'!B22&lt;=1,C39*F22*'数据-取费表'!B21/2,C39*(POWER((1+F22),'数据-取费表'!B21/2)-1)),0)</f>
        <v>#VALUE!</v>
      </c>
      <c r="D43" s="230"/>
      <c r="E43" s="230"/>
      <c r="F43" s="231"/>
      <c r="G43" s="3517"/>
    </row>
    <row r="44" spans="1:7" ht="13.5" customHeight="1">
      <c r="A44" s="734" t="s">
        <v>348</v>
      </c>
      <c r="B44" s="207" t="s">
        <v>1546</v>
      </c>
      <c r="C44" s="230" t="e">
        <f ca="1">ROUND(IF('数据-取费表'!B22&lt;=1,C40*F22*'数据-取费表'!B21/2,C40*(POWER((1+F22),'数据-取费表'!B21/2)-1)),4)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34" t="str">
        <f>项目基本情况!B1</f>
        <v>预评估</v>
      </c>
      <c r="C37" s="3334"/>
      <c r="D37" s="3334"/>
      <c r="E37" s="3334"/>
      <c r="F37" s="3334"/>
      <c r="G37" s="3334"/>
      <c r="H37" s="3334"/>
      <c r="I37" s="333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2877.6400000000003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2877.6400000000003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2877.6400000000003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516" t="s">
        <v>1591</v>
      </c>
    </row>
    <row r="43" spans="1:7" ht="13.5" customHeight="1">
      <c r="A43" s="734" t="s">
        <v>347</v>
      </c>
      <c r="B43" s="207" t="s">
        <v>1545</v>
      </c>
      <c r="C43" s="230" t="e">
        <f ca="1">ROUND(IF('数据-取费表'!B22&lt;=1,C39*F22*'数据-取费表'!B20/2,C39*(POWER((1+F22),'数据-取费表'!B20/2)-1)),0)</f>
        <v>#VALUE!</v>
      </c>
      <c r="D43" s="230"/>
      <c r="E43" s="230"/>
      <c r="F43" s="231"/>
      <c r="G43" s="3517"/>
    </row>
    <row r="44" spans="1:7" ht="13.5" customHeight="1">
      <c r="A44" s="734" t="s">
        <v>348</v>
      </c>
      <c r="B44" s="207" t="s">
        <v>1546</v>
      </c>
      <c r="C44" s="230" t="e">
        <f ca="1">ROUND(IF('数据-取费表'!B22&lt;=1,C40*F22*'数据-取费表'!B20/2,C40*(POWER((1+F22),'数据-取费表'!B20/2)-1)),4)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2877.6400000000003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2877.6400000000003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2877.6400000000003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1" t="s">
        <v>694</v>
      </c>
      <c r="C6" s="1011">
        <f ca="1">ROUND(F6*F8*F7*(1-F9)/10000,0)</f>
        <v>0</v>
      </c>
      <c r="D6" s="147" t="s">
        <v>2109</v>
      </c>
      <c r="E6" s="294" t="s">
        <v>696</v>
      </c>
      <c r="F6" s="295">
        <f ca="1">INDIRECT("'数据-取费表'!u"&amp;$G$1)</f>
        <v>0</v>
      </c>
      <c r="G6" s="1292"/>
      <c r="H6" s="1006" t="s">
        <v>398</v>
      </c>
      <c r="I6" s="3521" t="s">
        <v>694</v>
      </c>
      <c r="J6" s="293">
        <f ca="1">ROUND(M6*M8*M7*(1-M9)/10000,0)</f>
        <v>0</v>
      </c>
      <c r="K6" s="147" t="s">
        <v>2108</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1" t="s">
        <v>694</v>
      </c>
      <c r="C6" s="1011">
        <f ca="1">ROUND(F6*F8*F7*(1-F9),0)</f>
        <v>0</v>
      </c>
      <c r="D6" s="147" t="s">
        <v>2106</v>
      </c>
      <c r="E6" s="294" t="s">
        <v>696</v>
      </c>
      <c r="F6" s="295">
        <f ca="1">INDIRECT("'数据-取费表'!u"&amp;$G$1)</f>
        <v>0</v>
      </c>
      <c r="G6" s="1292"/>
      <c r="H6" s="1006" t="s">
        <v>398</v>
      </c>
      <c r="I6" s="3521" t="s">
        <v>694</v>
      </c>
      <c r="J6" s="293">
        <f ca="1">ROUND(M6*M8*M7*(1-M9),0)</f>
        <v>0</v>
      </c>
      <c r="K6" s="1284" t="s">
        <v>2107</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30" t="s">
        <v>2317</v>
      </c>
      <c r="K2" s="353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32" t="s">
        <v>2327</v>
      </c>
      <c r="K3" s="353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32" t="s">
        <v>2329</v>
      </c>
      <c r="K4" s="353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38" t="s">
        <v>2333</v>
      </c>
      <c r="B6" s="3539"/>
      <c r="C6" s="3540"/>
      <c r="D6" s="2622"/>
      <c r="E6" s="2623"/>
      <c r="F6" s="2624"/>
      <c r="G6" s="2625"/>
      <c r="H6" s="2600"/>
      <c r="I6" s="2601"/>
      <c r="J6" s="3524">
        <v>1</v>
      </c>
      <c r="K6" s="352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24"/>
      <c r="K7" s="352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41" t="s">
        <v>2347</v>
      </c>
      <c r="C8" s="3542"/>
      <c r="D8" s="2641" t="s">
        <v>2348</v>
      </c>
      <c r="E8" s="2642" t="s">
        <v>2349</v>
      </c>
      <c r="F8" s="2643" t="s">
        <v>2350</v>
      </c>
      <c r="G8" s="2644"/>
      <c r="H8" s="2600"/>
      <c r="I8" s="2601"/>
      <c r="J8" s="3524"/>
      <c r="K8" s="352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41" t="s">
        <v>2353</v>
      </c>
      <c r="C9" s="3542"/>
      <c r="D9" s="2641">
        <f>ROUND(D6*E9,0)</f>
        <v>0</v>
      </c>
      <c r="E9" s="2645"/>
      <c r="F9" s="2646" t="s">
        <v>2354</v>
      </c>
      <c r="G9" s="2625"/>
      <c r="H9" s="2600"/>
      <c r="I9" s="2601"/>
      <c r="J9" s="3524"/>
      <c r="K9" s="3526"/>
      <c r="L9" s="2635" t="s">
        <v>2355</v>
      </c>
      <c r="M9" s="2636"/>
      <c r="N9" s="2612"/>
      <c r="O9" s="2637"/>
      <c r="P9" s="2637"/>
      <c r="Q9" s="2638">
        <v>365</v>
      </c>
      <c r="R9" s="2639">
        <f t="shared" si="0"/>
        <v>0</v>
      </c>
      <c r="S9" s="2593"/>
      <c r="T9" s="2593"/>
      <c r="U9" s="2593"/>
      <c r="V9" s="2601"/>
    </row>
    <row r="10" spans="1:22" s="2605" customFormat="1" ht="13.15" customHeight="1">
      <c r="A10" s="2640">
        <v>2</v>
      </c>
      <c r="B10" s="3541" t="s">
        <v>2356</v>
      </c>
      <c r="C10" s="3542"/>
      <c r="D10" s="2641">
        <f>ROUND(D6*E10,0)</f>
        <v>0</v>
      </c>
      <c r="E10" s="2645"/>
      <c r="F10" s="2646" t="s">
        <v>2357</v>
      </c>
      <c r="G10" s="2625"/>
      <c r="H10" s="2600"/>
      <c r="I10" s="2601"/>
      <c r="J10" s="3524"/>
      <c r="K10" s="3526"/>
      <c r="L10" s="2635" t="s">
        <v>2358</v>
      </c>
      <c r="M10" s="2636"/>
      <c r="N10" s="2612"/>
      <c r="O10" s="2637"/>
      <c r="P10" s="2637"/>
      <c r="Q10" s="2638">
        <v>365</v>
      </c>
      <c r="R10" s="2639">
        <f t="shared" si="0"/>
        <v>0</v>
      </c>
      <c r="S10" s="2593"/>
      <c r="T10" s="2593"/>
      <c r="U10" s="2593"/>
      <c r="V10" s="2601"/>
    </row>
    <row r="11" spans="1:22" s="2605" customFormat="1" ht="13.15" customHeight="1">
      <c r="A11" s="2640">
        <v>3</v>
      </c>
      <c r="B11" s="3541" t="s">
        <v>2359</v>
      </c>
      <c r="C11" s="3542"/>
      <c r="D11" s="2641">
        <f>D12+D14+D15+D16</f>
        <v>0</v>
      </c>
      <c r="E11" s="2647" t="e">
        <f>D11/D6</f>
        <v>#DIV/0!</v>
      </c>
      <c r="F11" s="2643"/>
      <c r="G11" s="2644"/>
      <c r="H11" s="2600"/>
      <c r="I11" s="2601"/>
      <c r="J11" s="3524"/>
      <c r="K11" s="352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34" t="s">
        <v>2362</v>
      </c>
      <c r="C12" s="3535"/>
      <c r="D12" s="2649">
        <f>ROUND(D13*1.2%*(1-30%),0)</f>
        <v>0</v>
      </c>
      <c r="E12" s="2650">
        <v>1.2E-2</v>
      </c>
      <c r="F12" s="2643" t="s">
        <v>2363</v>
      </c>
      <c r="G12" s="2644"/>
      <c r="H12" s="2600"/>
      <c r="I12" s="2601"/>
      <c r="J12" s="3524"/>
      <c r="K12" s="352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24"/>
      <c r="K13" s="352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34" t="s">
        <v>2368</v>
      </c>
      <c r="C14" s="3535"/>
      <c r="D14" s="2649">
        <f>ROUND(E14*B5/10000,0)</f>
        <v>0</v>
      </c>
      <c r="E14" s="2638"/>
      <c r="F14" s="2643" t="s">
        <v>2369</v>
      </c>
      <c r="G14" s="2644"/>
      <c r="H14" s="2600"/>
      <c r="I14" s="2601"/>
      <c r="J14" s="3524"/>
      <c r="K14" s="352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34" t="s">
        <v>2372</v>
      </c>
      <c r="C15" s="3535"/>
      <c r="D15" s="2649">
        <f>ROUND(D6*E15,0)</f>
        <v>0</v>
      </c>
      <c r="E15" s="2650">
        <v>5.5E-2</v>
      </c>
      <c r="F15" s="2643" t="s">
        <v>2373</v>
      </c>
      <c r="G15" s="2625"/>
      <c r="H15" s="2600"/>
      <c r="I15" s="2601"/>
      <c r="J15" s="3524">
        <v>2</v>
      </c>
      <c r="K15" s="352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34" t="s">
        <v>2381</v>
      </c>
      <c r="C16" s="3535"/>
      <c r="D16" s="2660">
        <f>D6*E16</f>
        <v>0</v>
      </c>
      <c r="E16" s="2661"/>
      <c r="F16" s="2646" t="s">
        <v>2382</v>
      </c>
      <c r="G16" s="2625"/>
      <c r="H16" s="2600"/>
      <c r="I16" s="2601"/>
      <c r="J16" s="3524"/>
      <c r="K16" s="352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36" t="s">
        <v>2384</v>
      </c>
      <c r="C17" s="3537"/>
      <c r="D17" s="2663">
        <f>ROUND(D6*E17,0)</f>
        <v>0</v>
      </c>
      <c r="E17" s="2664"/>
      <c r="F17" s="2665" t="s">
        <v>2385</v>
      </c>
      <c r="G17" s="2625"/>
      <c r="H17" s="2600"/>
      <c r="I17" s="2601"/>
      <c r="J17" s="3524"/>
      <c r="K17" s="352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24"/>
      <c r="K18" s="352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24"/>
      <c r="K19" s="352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24">
        <v>3</v>
      </c>
      <c r="K20" s="352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24"/>
      <c r="K21" s="352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24"/>
      <c r="K22" s="352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24"/>
      <c r="K23" s="352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24"/>
      <c r="K24" s="352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2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2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30" t="s">
        <v>2317</v>
      </c>
      <c r="K32" s="353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32" t="s">
        <v>2327</v>
      </c>
      <c r="K33" s="353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32" t="s">
        <v>2329</v>
      </c>
      <c r="K34" s="353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24">
        <v>1</v>
      </c>
      <c r="K36" s="352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24"/>
      <c r="K37" s="352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24"/>
      <c r="K38" s="352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24"/>
      <c r="K39" s="352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24"/>
      <c r="K40" s="352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2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2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3" t="s">
        <v>1654</v>
      </c>
      <c r="C5" s="354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2877.6400000000003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63" t="s">
        <v>1667</v>
      </c>
      <c r="D4" s="3564"/>
      <c r="E4" s="3565" t="s">
        <v>1668</v>
      </c>
      <c r="F4" s="3566"/>
      <c r="G4" s="3563" t="s">
        <v>1669</v>
      </c>
      <c r="H4" s="3564"/>
      <c r="I4" s="3563" t="s">
        <v>1670</v>
      </c>
      <c r="J4" s="3564"/>
      <c r="K4" s="1744" t="s">
        <v>1671</v>
      </c>
      <c r="L4" s="2487"/>
      <c r="M4" s="2488"/>
      <c r="N4" s="2488"/>
      <c r="O4" s="2488"/>
      <c r="P4" s="3567" t="s">
        <v>1672</v>
      </c>
      <c r="Q4" s="3568"/>
      <c r="R4" s="3573" t="s">
        <v>1668</v>
      </c>
      <c r="S4" s="3574"/>
      <c r="T4" s="3573" t="s">
        <v>1669</v>
      </c>
      <c r="U4" s="3574"/>
      <c r="V4" s="3549" t="s">
        <v>1670</v>
      </c>
      <c r="W4" s="3549"/>
      <c r="X4" s="1265"/>
      <c r="Y4" s="3573" t="s">
        <v>1672</v>
      </c>
      <c r="Z4" s="3574"/>
      <c r="AA4" s="3560" t="s">
        <v>1668</v>
      </c>
      <c r="AB4" s="3560" t="s">
        <v>1669</v>
      </c>
      <c r="AC4" s="3560" t="s">
        <v>1670</v>
      </c>
    </row>
    <row r="5" spans="1:29" ht="15">
      <c r="A5" s="348"/>
      <c r="B5" s="349"/>
      <c r="C5" s="3581" t="s">
        <v>1673</v>
      </c>
      <c r="D5" s="3582"/>
      <c r="E5" s="3588" t="s">
        <v>1674</v>
      </c>
      <c r="F5" s="3589"/>
      <c r="G5" s="3581" t="s">
        <v>1675</v>
      </c>
      <c r="H5" s="3582"/>
      <c r="I5" s="3581" t="s">
        <v>1676</v>
      </c>
      <c r="J5" s="3582"/>
      <c r="K5" s="1745"/>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1745"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83" t="s">
        <v>1680</v>
      </c>
      <c r="Q7" s="3585"/>
      <c r="R7" s="664" t="s">
        <v>20</v>
      </c>
      <c r="S7" s="665">
        <f t="shared" ref="S7:S15" si="0">F7</f>
        <v>0</v>
      </c>
      <c r="T7" s="664" t="s">
        <v>20</v>
      </c>
      <c r="U7" s="665">
        <f t="shared" ref="U7:U15" si="1">H7</f>
        <v>0</v>
      </c>
      <c r="V7" s="664" t="s">
        <v>20</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83" t="s">
        <v>1683</v>
      </c>
      <c r="Q8" s="3584"/>
      <c r="R8" s="664" t="s">
        <v>20</v>
      </c>
      <c r="S8" s="665">
        <f t="shared" si="0"/>
        <v>100</v>
      </c>
      <c r="T8" s="664" t="s">
        <v>20</v>
      </c>
      <c r="U8" s="665">
        <f t="shared" si="1"/>
        <v>100</v>
      </c>
      <c r="V8" s="664" t="s">
        <v>20</v>
      </c>
      <c r="W8" s="665">
        <f t="shared" si="2"/>
        <v>100</v>
      </c>
      <c r="X8" s="666"/>
      <c r="Y8" s="3583" t="s">
        <v>1683</v>
      </c>
      <c r="Z8" s="35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59"/>
      <c r="Q11" s="530" t="str">
        <f t="shared" si="6"/>
        <v>容积率</v>
      </c>
      <c r="R11" s="664" t="s">
        <v>18</v>
      </c>
      <c r="S11" s="665" t="e">
        <f t="shared" si="0"/>
        <v>#N/A</v>
      </c>
      <c r="T11" s="664" t="s">
        <v>18</v>
      </c>
      <c r="U11" s="665" t="e">
        <f t="shared" si="1"/>
        <v>#N/A</v>
      </c>
      <c r="V11" s="664" t="s">
        <v>18</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59"/>
      <c r="Q12" s="530">
        <f t="shared" si="6"/>
        <v>111</v>
      </c>
      <c r="R12" s="664" t="s">
        <v>18</v>
      </c>
      <c r="S12" s="665">
        <f t="shared" si="0"/>
        <v>100</v>
      </c>
      <c r="T12" s="664" t="s">
        <v>18</v>
      </c>
      <c r="U12" s="665">
        <f t="shared" si="1"/>
        <v>100</v>
      </c>
      <c r="V12" s="664" t="s">
        <v>18</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59"/>
      <c r="Q13" s="530">
        <f t="shared" si="6"/>
        <v>111</v>
      </c>
      <c r="R13" s="664" t="s">
        <v>18</v>
      </c>
      <c r="S13" s="665">
        <f t="shared" si="0"/>
        <v>100</v>
      </c>
      <c r="T13" s="664" t="s">
        <v>18</v>
      </c>
      <c r="U13" s="665">
        <f t="shared" si="1"/>
        <v>100</v>
      </c>
      <c r="V13" s="664" t="s">
        <v>18</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59"/>
      <c r="Q14" s="530">
        <f t="shared" si="6"/>
        <v>111</v>
      </c>
      <c r="R14" s="664" t="s">
        <v>18</v>
      </c>
      <c r="S14" s="665">
        <f t="shared" si="0"/>
        <v>100</v>
      </c>
      <c r="T14" s="664" t="s">
        <v>18</v>
      </c>
      <c r="U14" s="665">
        <f t="shared" si="1"/>
        <v>100</v>
      </c>
      <c r="V14" s="664" t="s">
        <v>18</v>
      </c>
      <c r="W14" s="665">
        <f t="shared" si="2"/>
        <v>100</v>
      </c>
      <c r="X14" s="666"/>
      <c r="Y14" s="342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57" t="s">
        <v>1691</v>
      </c>
      <c r="Q15" s="1263" t="str">
        <f t="shared" si="6"/>
        <v>居住社区成熟度</v>
      </c>
      <c r="R15" s="667" t="s">
        <v>18</v>
      </c>
      <c r="S15" s="668">
        <f t="shared" si="0"/>
        <v>100</v>
      </c>
      <c r="T15" s="667" t="s">
        <v>18</v>
      </c>
      <c r="U15" s="668">
        <f t="shared" si="1"/>
        <v>100</v>
      </c>
      <c r="V15" s="667" t="s">
        <v>18</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58"/>
      <c r="Q16" s="1263"/>
      <c r="R16" s="667"/>
      <c r="S16" s="668"/>
      <c r="T16" s="667"/>
      <c r="U16" s="668"/>
      <c r="V16" s="667"/>
      <c r="W16" s="668"/>
      <c r="X16" s="1265"/>
      <c r="Y16" s="355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58"/>
      <c r="Q17" s="1263" t="str">
        <f>B17</f>
        <v>交通便捷度</v>
      </c>
      <c r="R17" s="667" t="s">
        <v>18</v>
      </c>
      <c r="S17" s="668">
        <f>F17</f>
        <v>100</v>
      </c>
      <c r="T17" s="667" t="s">
        <v>18</v>
      </c>
      <c r="U17" s="668">
        <f>H17</f>
        <v>100</v>
      </c>
      <c r="V17" s="667" t="s">
        <v>18</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58"/>
      <c r="Q19" s="1263" t="str">
        <f>B19</f>
        <v>公共配套设施</v>
      </c>
      <c r="R19" s="667" t="s">
        <v>18</v>
      </c>
      <c r="S19" s="668">
        <f>F19</f>
        <v>100</v>
      </c>
      <c r="T19" s="667" t="s">
        <v>18</v>
      </c>
      <c r="U19" s="668">
        <f>H19</f>
        <v>100</v>
      </c>
      <c r="V19" s="667" t="s">
        <v>18</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58"/>
      <c r="Q22" s="1263"/>
      <c r="R22" s="667"/>
      <c r="S22" s="668"/>
      <c r="T22" s="667"/>
      <c r="U22" s="668"/>
      <c r="V22" s="667"/>
      <c r="W22" s="668"/>
      <c r="X22" s="1265"/>
      <c r="Y22" s="355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58"/>
      <c r="Q23" s="1263" t="str">
        <f>B23</f>
        <v>自然及人文环境</v>
      </c>
      <c r="R23" s="667" t="s">
        <v>18</v>
      </c>
      <c r="S23" s="668">
        <f>F23</f>
        <v>100</v>
      </c>
      <c r="T23" s="667" t="s">
        <v>18</v>
      </c>
      <c r="U23" s="668">
        <f>H23</f>
        <v>100</v>
      </c>
      <c r="V23" s="667" t="s">
        <v>18</v>
      </c>
      <c r="W23" s="668">
        <f>J23</f>
        <v>100</v>
      </c>
      <c r="X23" s="1265"/>
      <c r="Y23" s="35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58"/>
      <c r="Q26" s="1263" t="str">
        <f t="shared" si="11"/>
        <v>朝向</v>
      </c>
      <c r="R26" s="667" t="s">
        <v>18</v>
      </c>
      <c r="S26" s="668">
        <f t="shared" si="12"/>
        <v>100</v>
      </c>
      <c r="T26" s="667" t="s">
        <v>18</v>
      </c>
      <c r="U26" s="668">
        <f t="shared" si="13"/>
        <v>100</v>
      </c>
      <c r="V26" s="667" t="s">
        <v>18</v>
      </c>
      <c r="W26" s="668">
        <f t="shared" si="14"/>
        <v>100</v>
      </c>
      <c r="X26" s="1265"/>
      <c r="Y26" s="35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58"/>
      <c r="Q27" s="530">
        <f t="shared" si="11"/>
        <v>111</v>
      </c>
      <c r="R27" s="664" t="s">
        <v>18</v>
      </c>
      <c r="S27" s="665">
        <f t="shared" si="12"/>
        <v>100</v>
      </c>
      <c r="T27" s="664" t="s">
        <v>18</v>
      </c>
      <c r="U27" s="665">
        <f t="shared" si="13"/>
        <v>100</v>
      </c>
      <c r="V27" s="664" t="s">
        <v>18</v>
      </c>
      <c r="W27" s="665">
        <f t="shared" si="14"/>
        <v>100</v>
      </c>
      <c r="X27" s="666"/>
      <c r="Y27" s="35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58"/>
      <c r="Q28" s="1263">
        <f t="shared" si="11"/>
        <v>111</v>
      </c>
      <c r="R28" s="667" t="s">
        <v>18</v>
      </c>
      <c r="S28" s="668">
        <f t="shared" si="12"/>
        <v>100</v>
      </c>
      <c r="T28" s="667" t="s">
        <v>18</v>
      </c>
      <c r="U28" s="668">
        <f t="shared" si="13"/>
        <v>100</v>
      </c>
      <c r="V28" s="667" t="s">
        <v>18</v>
      </c>
      <c r="W28" s="668">
        <f t="shared" si="14"/>
        <v>100</v>
      </c>
      <c r="X28" s="1265"/>
      <c r="Y28" s="35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58"/>
      <c r="Q29" s="1263">
        <f t="shared" si="11"/>
        <v>111</v>
      </c>
      <c r="R29" s="667" t="s">
        <v>18</v>
      </c>
      <c r="S29" s="668">
        <f t="shared" si="12"/>
        <v>100</v>
      </c>
      <c r="T29" s="667" t="s">
        <v>18</v>
      </c>
      <c r="U29" s="668">
        <f t="shared" si="13"/>
        <v>100</v>
      </c>
      <c r="V29" s="667" t="s">
        <v>18</v>
      </c>
      <c r="W29" s="668">
        <f t="shared" si="14"/>
        <v>100</v>
      </c>
      <c r="X29" s="1265"/>
      <c r="Y29" s="35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58"/>
      <c r="Q30" s="1263">
        <f t="shared" si="11"/>
        <v>111</v>
      </c>
      <c r="R30" s="667" t="s">
        <v>18</v>
      </c>
      <c r="S30" s="668">
        <f t="shared" si="12"/>
        <v>100</v>
      </c>
      <c r="T30" s="667" t="s">
        <v>18</v>
      </c>
      <c r="U30" s="668">
        <f t="shared" si="13"/>
        <v>100</v>
      </c>
      <c r="V30" s="667" t="s">
        <v>18</v>
      </c>
      <c r="W30" s="668">
        <f t="shared" si="14"/>
        <v>100</v>
      </c>
      <c r="X30" s="1265"/>
      <c r="Y30" s="355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58"/>
      <c r="Q31" s="1263">
        <f t="shared" si="11"/>
        <v>111</v>
      </c>
      <c r="R31" s="667" t="s">
        <v>18</v>
      </c>
      <c r="S31" s="668">
        <f t="shared" si="12"/>
        <v>100</v>
      </c>
      <c r="T31" s="667" t="s">
        <v>18</v>
      </c>
      <c r="U31" s="668">
        <f t="shared" si="13"/>
        <v>100</v>
      </c>
      <c r="V31" s="667" t="s">
        <v>18</v>
      </c>
      <c r="W31" s="668">
        <f t="shared" si="14"/>
        <v>100</v>
      </c>
      <c r="X31" s="1265"/>
      <c r="Y31" s="35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52" t="s">
        <v>1696</v>
      </c>
      <c r="Q32" s="1263" t="str">
        <f t="shared" si="11"/>
        <v>建筑类型</v>
      </c>
      <c r="R32" s="667" t="s">
        <v>18</v>
      </c>
      <c r="S32" s="668">
        <f t="shared" si="12"/>
        <v>100</v>
      </c>
      <c r="T32" s="667" t="s">
        <v>18</v>
      </c>
      <c r="U32" s="668">
        <f t="shared" si="13"/>
        <v>100</v>
      </c>
      <c r="V32" s="667" t="s">
        <v>18</v>
      </c>
      <c r="W32" s="668">
        <f t="shared" si="14"/>
        <v>100</v>
      </c>
      <c r="X32" s="1265"/>
      <c r="Y32" s="35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53"/>
      <c r="Q33" s="531" t="str">
        <f t="shared" si="11"/>
        <v>项目建筑规模</v>
      </c>
      <c r="R33" s="669" t="s">
        <v>18</v>
      </c>
      <c r="S33" s="670" t="e">
        <f t="shared" si="12"/>
        <v>#N/A</v>
      </c>
      <c r="T33" s="669" t="s">
        <v>18</v>
      </c>
      <c r="U33" s="670" t="e">
        <f t="shared" si="13"/>
        <v>#N/A</v>
      </c>
      <c r="V33" s="669" t="s">
        <v>18</v>
      </c>
      <c r="W33" s="670" t="e">
        <f t="shared" si="14"/>
        <v>#N/A</v>
      </c>
      <c r="X33" s="671"/>
      <c r="Y33" s="35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53"/>
      <c r="Q34" s="1263" t="str">
        <f t="shared" si="11"/>
        <v>建筑结构</v>
      </c>
      <c r="R34" s="667" t="s">
        <v>18</v>
      </c>
      <c r="S34" s="668">
        <f t="shared" si="12"/>
        <v>100</v>
      </c>
      <c r="T34" s="667" t="s">
        <v>18</v>
      </c>
      <c r="U34" s="668">
        <f t="shared" si="13"/>
        <v>100</v>
      </c>
      <c r="V34" s="667" t="s">
        <v>18</v>
      </c>
      <c r="W34" s="668">
        <f t="shared" si="14"/>
        <v>100</v>
      </c>
      <c r="X34" s="1265"/>
      <c r="Y34" s="35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53"/>
      <c r="Q35" s="1263" t="str">
        <f t="shared" si="11"/>
        <v>建筑品质</v>
      </c>
      <c r="R35" s="667" t="s">
        <v>18</v>
      </c>
      <c r="S35" s="668">
        <f t="shared" si="12"/>
        <v>100</v>
      </c>
      <c r="T35" s="667" t="s">
        <v>18</v>
      </c>
      <c r="U35" s="668">
        <f t="shared" si="13"/>
        <v>100</v>
      </c>
      <c r="V35" s="667" t="s">
        <v>18</v>
      </c>
      <c r="W35" s="668">
        <f t="shared" si="14"/>
        <v>100</v>
      </c>
      <c r="X35" s="1265"/>
      <c r="Y35" s="35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53"/>
      <c r="Q36" s="1263" t="str">
        <f t="shared" si="11"/>
        <v>公共部分装修</v>
      </c>
      <c r="R36" s="667" t="s">
        <v>18</v>
      </c>
      <c r="S36" s="668">
        <f t="shared" si="12"/>
        <v>100</v>
      </c>
      <c r="T36" s="667" t="s">
        <v>18</v>
      </c>
      <c r="U36" s="668">
        <f t="shared" si="13"/>
        <v>100</v>
      </c>
      <c r="V36" s="667" t="s">
        <v>18</v>
      </c>
      <c r="W36" s="668">
        <f t="shared" si="14"/>
        <v>100</v>
      </c>
      <c r="X36" s="1265"/>
      <c r="Y36" s="35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53"/>
      <c r="Q37" s="530" t="str">
        <f t="shared" si="11"/>
        <v>成新度</v>
      </c>
      <c r="R37" s="664" t="s">
        <v>18</v>
      </c>
      <c r="S37" s="665" t="e">
        <f t="shared" si="12"/>
        <v>#N/A</v>
      </c>
      <c r="T37" s="664" t="s">
        <v>18</v>
      </c>
      <c r="U37" s="665" t="e">
        <f t="shared" si="13"/>
        <v>#N/A</v>
      </c>
      <c r="V37" s="664" t="s">
        <v>18</v>
      </c>
      <c r="W37" s="665" t="e">
        <f t="shared" si="14"/>
        <v>#N/A</v>
      </c>
      <c r="X37" s="666"/>
      <c r="Y37" s="35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53" t="s">
        <v>1696</v>
      </c>
      <c r="Q38" s="1263" t="str">
        <f t="shared" si="11"/>
        <v>物业管理</v>
      </c>
      <c r="R38" s="667" t="s">
        <v>18</v>
      </c>
      <c r="S38" s="668">
        <f t="shared" si="12"/>
        <v>100</v>
      </c>
      <c r="T38" s="667" t="s">
        <v>18</v>
      </c>
      <c r="U38" s="668">
        <f t="shared" si="13"/>
        <v>100</v>
      </c>
      <c r="V38" s="667" t="s">
        <v>18</v>
      </c>
      <c r="W38" s="668">
        <f t="shared" si="14"/>
        <v>100</v>
      </c>
      <c r="X38" s="1265"/>
      <c r="Y38" s="35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53"/>
      <c r="Q39" s="1263" t="str">
        <f t="shared" si="11"/>
        <v>市政基础设施</v>
      </c>
      <c r="R39" s="667" t="s">
        <v>18</v>
      </c>
      <c r="S39" s="668">
        <f t="shared" si="12"/>
        <v>100</v>
      </c>
      <c r="T39" s="667" t="s">
        <v>18</v>
      </c>
      <c r="U39" s="668">
        <f t="shared" si="13"/>
        <v>100</v>
      </c>
      <c r="V39" s="667" t="s">
        <v>18</v>
      </c>
      <c r="W39" s="668">
        <f t="shared" si="14"/>
        <v>100</v>
      </c>
      <c r="X39" s="1265"/>
      <c r="Y39" s="35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53"/>
      <c r="Q40" s="1263" t="str">
        <f t="shared" si="11"/>
        <v>房型</v>
      </c>
      <c r="R40" s="667" t="s">
        <v>18</v>
      </c>
      <c r="S40" s="668">
        <f t="shared" si="12"/>
        <v>100</v>
      </c>
      <c r="T40" s="667" t="s">
        <v>18</v>
      </c>
      <c r="U40" s="668">
        <f t="shared" si="13"/>
        <v>100</v>
      </c>
      <c r="V40" s="667" t="s">
        <v>18</v>
      </c>
      <c r="W40" s="668">
        <f t="shared" si="14"/>
        <v>100</v>
      </c>
      <c r="X40" s="1265"/>
      <c r="Y40" s="355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53"/>
      <c r="Q41" s="531" t="str">
        <f t="shared" si="11"/>
        <v>单套/主力户型建筑面积</v>
      </c>
      <c r="R41" s="669" t="s">
        <v>18</v>
      </c>
      <c r="S41" s="670">
        <f t="shared" si="12"/>
        <v>100</v>
      </c>
      <c r="T41" s="669" t="s">
        <v>18</v>
      </c>
      <c r="U41" s="670">
        <f t="shared" si="13"/>
        <v>100</v>
      </c>
      <c r="V41" s="669" t="s">
        <v>18</v>
      </c>
      <c r="W41" s="670">
        <f t="shared" si="14"/>
        <v>100</v>
      </c>
      <c r="X41" s="671"/>
      <c r="Y41" s="35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53"/>
      <c r="Q42" s="1263" t="str">
        <f t="shared" si="11"/>
        <v>内部装修</v>
      </c>
      <c r="R42" s="667" t="s">
        <v>18</v>
      </c>
      <c r="S42" s="668">
        <f t="shared" si="12"/>
        <v>100</v>
      </c>
      <c r="T42" s="667" t="s">
        <v>18</v>
      </c>
      <c r="U42" s="668">
        <f t="shared" si="13"/>
        <v>100</v>
      </c>
      <c r="V42" s="667" t="s">
        <v>18</v>
      </c>
      <c r="W42" s="668">
        <f t="shared" si="14"/>
        <v>100</v>
      </c>
      <c r="X42" s="1265"/>
      <c r="Y42" s="355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53"/>
      <c r="Q43" s="1263" t="str">
        <f t="shared" si="11"/>
        <v>内部装修维护情况</v>
      </c>
      <c r="R43" s="667" t="s">
        <v>18</v>
      </c>
      <c r="S43" s="668">
        <f t="shared" si="12"/>
        <v>100</v>
      </c>
      <c r="T43" s="667" t="s">
        <v>18</v>
      </c>
      <c r="U43" s="668">
        <f t="shared" si="13"/>
        <v>100</v>
      </c>
      <c r="V43" s="667" t="s">
        <v>18</v>
      </c>
      <c r="W43" s="668">
        <f t="shared" si="14"/>
        <v>100</v>
      </c>
      <c r="X43" s="1265"/>
      <c r="Y43" s="35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53"/>
      <c r="Q44" s="530">
        <f t="shared" si="11"/>
        <v>111</v>
      </c>
      <c r="R44" s="664" t="s">
        <v>18</v>
      </c>
      <c r="S44" s="665">
        <f t="shared" si="12"/>
        <v>100</v>
      </c>
      <c r="T44" s="664" t="s">
        <v>18</v>
      </c>
      <c r="U44" s="665">
        <f t="shared" si="13"/>
        <v>100</v>
      </c>
      <c r="V44" s="664" t="s">
        <v>18</v>
      </c>
      <c r="W44" s="665">
        <f t="shared" si="14"/>
        <v>100</v>
      </c>
      <c r="X44" s="666"/>
      <c r="Y44" s="35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53"/>
      <c r="Q45" s="1263">
        <f t="shared" si="11"/>
        <v>111</v>
      </c>
      <c r="R45" s="667" t="s">
        <v>18</v>
      </c>
      <c r="S45" s="668">
        <f t="shared" si="12"/>
        <v>100</v>
      </c>
      <c r="T45" s="667" t="s">
        <v>18</v>
      </c>
      <c r="U45" s="668">
        <f t="shared" si="13"/>
        <v>100</v>
      </c>
      <c r="V45" s="667" t="s">
        <v>18</v>
      </c>
      <c r="W45" s="668">
        <f t="shared" si="14"/>
        <v>100</v>
      </c>
      <c r="X45" s="1265"/>
      <c r="Y45" s="355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54"/>
      <c r="Q46" s="1263">
        <f t="shared" si="11"/>
        <v>111</v>
      </c>
      <c r="R46" s="667" t="s">
        <v>17</v>
      </c>
      <c r="S46" s="668">
        <f t="shared" si="12"/>
        <v>100</v>
      </c>
      <c r="T46" s="667" t="s">
        <v>17</v>
      </c>
      <c r="U46" s="668">
        <f t="shared" si="13"/>
        <v>100</v>
      </c>
      <c r="V46" s="667" t="s">
        <v>17</v>
      </c>
      <c r="W46" s="668">
        <f t="shared" si="14"/>
        <v>100</v>
      </c>
      <c r="X46" s="1265"/>
      <c r="Y46" s="355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48" t="str">
        <f>A47</f>
        <v>成交单价（元/平方米）</v>
      </c>
      <c r="Q47" s="3548"/>
      <c r="R47" s="3549">
        <f>E47</f>
        <v>0</v>
      </c>
      <c r="S47" s="3549"/>
      <c r="T47" s="3549">
        <f>G47</f>
        <v>0</v>
      </c>
      <c r="U47" s="3549"/>
      <c r="V47" s="3549">
        <f>I47</f>
        <v>0</v>
      </c>
      <c r="W47" s="354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Normal="70" zoomScaleSheetLayoutView="100" workbookViewId="0">
      <selection activeCell="C36" sqref="C3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49" t="s">
        <v>1772</v>
      </c>
      <c r="AC4" s="3560" t="s">
        <v>1773</v>
      </c>
    </row>
    <row r="5" spans="1:29" ht="15">
      <c r="A5" s="348"/>
      <c r="B5" s="349"/>
      <c r="C5" s="3590" t="s">
        <v>3805</v>
      </c>
      <c r="D5" s="3582"/>
      <c r="E5" s="3588" t="str">
        <f>商业租金!B66</f>
        <v>西海国际中心</v>
      </c>
      <c r="F5" s="3589"/>
      <c r="G5" s="3581" t="str">
        <f>商业租金!B58</f>
        <v>启迪科技大厦</v>
      </c>
      <c r="H5" s="3582"/>
      <c r="I5" s="3581" t="str">
        <f>商业租金!B62</f>
        <v>理想国际大厦</v>
      </c>
      <c r="J5" s="3582"/>
      <c r="K5" s="537"/>
      <c r="L5" s="2487"/>
      <c r="M5" s="2488"/>
      <c r="N5" s="2488"/>
      <c r="O5" s="2488"/>
      <c r="P5" s="3569"/>
      <c r="Q5" s="3570"/>
      <c r="R5" s="3575"/>
      <c r="S5" s="3576"/>
      <c r="T5" s="3575"/>
      <c r="U5" s="3576"/>
      <c r="V5" s="3549"/>
      <c r="W5" s="3549"/>
      <c r="X5" s="1265"/>
      <c r="Y5" s="3575"/>
      <c r="Z5" s="3576"/>
      <c r="AA5" s="3561"/>
      <c r="AB5" s="3549"/>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49"/>
      <c r="AC6" s="3562"/>
    </row>
    <row r="7" spans="1:29" s="102" customFormat="1" ht="15.75" thickBot="1">
      <c r="A7" s="352" t="s">
        <v>1679</v>
      </c>
      <c r="B7" s="353"/>
      <c r="C7" s="354">
        <f>'数据-取费表'!B2</f>
        <v>45910</v>
      </c>
      <c r="D7" s="355">
        <v>100</v>
      </c>
      <c r="E7" s="356">
        <v>45901</v>
      </c>
      <c r="F7" s="357">
        <f>SUMIF(58:58,YEAR(E7)&amp;"-"&amp;MONTH(E7),59:59)</f>
        <v>100</v>
      </c>
      <c r="G7" s="356">
        <v>45901</v>
      </c>
      <c r="H7" s="355">
        <f>SUMIF(58:58,YEAR(G7)&amp;"-"&amp;MONTH(G7),59:59)</f>
        <v>100</v>
      </c>
      <c r="I7" s="356">
        <v>45901</v>
      </c>
      <c r="J7" s="355">
        <f>SUMIF(58:58,YEAR(I7)&amp;"-"&amp;MONTH(I7),59:59)</f>
        <v>100</v>
      </c>
      <c r="K7" s="38"/>
      <c r="L7" s="2489"/>
      <c r="M7" s="2440"/>
      <c r="N7" s="2440"/>
      <c r="O7" s="2440"/>
      <c r="P7" s="3583"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50">
        <f>D7/J7</f>
        <v>1</v>
      </c>
    </row>
    <row r="8" spans="1:29" s="102" customFormat="1" ht="15.75" thickBot="1">
      <c r="A8" s="352" t="s">
        <v>1681</v>
      </c>
      <c r="B8" s="353"/>
      <c r="C8" s="358" t="s">
        <v>3629</v>
      </c>
      <c r="D8" s="355">
        <v>100</v>
      </c>
      <c r="E8" s="358" t="s">
        <v>3629</v>
      </c>
      <c r="F8" s="357">
        <f>SUMIF(61:61,E8,62:62)-SUMIF(61:61,C8,62:62)+100</f>
        <v>100</v>
      </c>
      <c r="G8" s="358" t="s">
        <v>3629</v>
      </c>
      <c r="H8" s="355">
        <f>SUMIF(61:61,G8,62:62)-SUMIF(61:61,C8,62:62)+100</f>
        <v>100</v>
      </c>
      <c r="I8" s="358" t="s">
        <v>3629</v>
      </c>
      <c r="J8" s="355">
        <f>SUMIF(61:61,I8,62:62)-SUMIF(61:61,C8,62:62)+100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46" si="3">D8/F8</f>
        <v>1</v>
      </c>
      <c r="AB8" s="50">
        <f t="shared" ref="AB8:AB46" si="4">D8/H8</f>
        <v>1</v>
      </c>
      <c r="AC8" s="50">
        <f t="shared" ref="AC8:AC46" si="5">D8/J8</f>
        <v>1</v>
      </c>
    </row>
    <row r="9" spans="1:29" s="102" customFormat="1">
      <c r="A9" s="359" t="s">
        <v>1684</v>
      </c>
      <c r="B9" s="60" t="s">
        <v>1685</v>
      </c>
      <c r="C9" s="3322" t="s">
        <v>3806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57" t="s">
        <v>1691</v>
      </c>
      <c r="Q15" s="1263" t="str">
        <f t="shared" si="6"/>
        <v>商业繁华度</v>
      </c>
      <c r="R15" s="667" t="s">
        <v>14</v>
      </c>
      <c r="S15" s="668">
        <f t="shared" si="0"/>
        <v>100</v>
      </c>
      <c r="T15" s="667" t="s">
        <v>14</v>
      </c>
      <c r="U15" s="668">
        <f t="shared" si="1"/>
        <v>100</v>
      </c>
      <c r="V15" s="667" t="s">
        <v>14</v>
      </c>
      <c r="W15" s="668">
        <f t="shared" si="2"/>
        <v>100</v>
      </c>
      <c r="X15" s="1265"/>
      <c r="Y15" s="3550" t="s">
        <v>1691</v>
      </c>
      <c r="Z15" s="1264" t="str">
        <f t="shared" si="7"/>
        <v>商业繁华度</v>
      </c>
      <c r="AA15" s="1264">
        <f t="shared" si="3"/>
        <v>1</v>
      </c>
      <c r="AB15" s="1264">
        <f t="shared" si="4"/>
        <v>1</v>
      </c>
      <c r="AC15" s="1264">
        <f t="shared" si="5"/>
        <v>1</v>
      </c>
    </row>
    <row r="16" spans="1:29" ht="15">
      <c r="A16" s="367"/>
      <c r="B16" s="385"/>
      <c r="C16" s="386" t="s">
        <v>3807</v>
      </c>
      <c r="D16" s="387"/>
      <c r="E16" s="386" t="s">
        <v>3807</v>
      </c>
      <c r="F16" s="388"/>
      <c r="G16" s="386" t="s">
        <v>3807</v>
      </c>
      <c r="H16" s="389"/>
      <c r="I16" s="386" t="s">
        <v>3807</v>
      </c>
      <c r="J16" s="387"/>
      <c r="K16" s="541"/>
      <c r="L16" s="2493"/>
      <c r="M16" s="2488"/>
      <c r="N16" s="2488"/>
      <c r="O16" s="2488"/>
      <c r="P16" s="3558"/>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102</v>
      </c>
      <c r="G17" s="393"/>
      <c r="H17" s="394">
        <f>SUMIF(78:78,G18,79:79)-SUMIF(78:78,C18,79:79)+100</f>
        <v>100</v>
      </c>
      <c r="I17" s="391"/>
      <c r="J17" s="394">
        <f>SUMIF(78:78,I18,79:79)-SUMIF(78:78,C18,79:79)+100</f>
        <v>100</v>
      </c>
      <c r="K17" s="540">
        <v>2</v>
      </c>
      <c r="L17" s="2493"/>
      <c r="M17" s="2488"/>
      <c r="N17" s="2488"/>
      <c r="O17" s="2488"/>
      <c r="P17" s="3558"/>
      <c r="Q17" s="1263" t="str">
        <f>B17</f>
        <v>交通便捷度</v>
      </c>
      <c r="R17" s="667" t="s">
        <v>14</v>
      </c>
      <c r="S17" s="668">
        <f>F17</f>
        <v>102</v>
      </c>
      <c r="T17" s="667" t="s">
        <v>14</v>
      </c>
      <c r="U17" s="668">
        <f>H17</f>
        <v>100</v>
      </c>
      <c r="V17" s="667" t="s">
        <v>14</v>
      </c>
      <c r="W17" s="668">
        <f>J17</f>
        <v>100</v>
      </c>
      <c r="X17" s="1265"/>
      <c r="Y17" s="3551"/>
      <c r="Z17" s="1264" t="str">
        <f>Q17</f>
        <v>交通便捷度</v>
      </c>
      <c r="AA17" s="1264">
        <f t="shared" si="3"/>
        <v>0.98039215686274506</v>
      </c>
      <c r="AB17" s="1264">
        <f t="shared" si="4"/>
        <v>1</v>
      </c>
      <c r="AC17" s="1264">
        <f t="shared" si="5"/>
        <v>1</v>
      </c>
    </row>
    <row r="18" spans="1:29" ht="15">
      <c r="A18" s="367"/>
      <c r="B18" s="395"/>
      <c r="C18" s="1755" t="s">
        <v>3807</v>
      </c>
      <c r="D18" s="389"/>
      <c r="E18" s="1757" t="s">
        <v>3834</v>
      </c>
      <c r="F18" s="392"/>
      <c r="G18" s="1756" t="s">
        <v>3807</v>
      </c>
      <c r="H18" s="387"/>
      <c r="I18" s="1757" t="s">
        <v>3807</v>
      </c>
      <c r="J18" s="387"/>
      <c r="K18" s="541"/>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t="s">
        <v>3807</v>
      </c>
      <c r="D20" s="387"/>
      <c r="E20" s="386" t="s">
        <v>3807</v>
      </c>
      <c r="F20" s="388"/>
      <c r="G20" s="386" t="s">
        <v>3807</v>
      </c>
      <c r="H20" s="387"/>
      <c r="I20" s="386" t="s">
        <v>3807</v>
      </c>
      <c r="J20" s="387"/>
      <c r="K20" s="541"/>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t="s">
        <v>3839</v>
      </c>
      <c r="D22" s="387"/>
      <c r="E22" s="1755" t="s">
        <v>3839</v>
      </c>
      <c r="F22" s="388"/>
      <c r="G22" s="1755" t="s">
        <v>3839</v>
      </c>
      <c r="H22" s="387"/>
      <c r="I22" s="1755" t="s">
        <v>3839</v>
      </c>
      <c r="J22" s="387"/>
      <c r="K22" s="1064"/>
      <c r="L22" s="2493"/>
      <c r="M22" s="2488"/>
      <c r="N22" s="2488"/>
      <c r="O22" s="2488"/>
      <c r="P22" s="3558"/>
      <c r="Q22" s="1263"/>
      <c r="R22" s="667"/>
      <c r="S22" s="668"/>
      <c r="T22" s="667"/>
      <c r="U22" s="668"/>
      <c r="V22" s="667"/>
      <c r="W22" s="668"/>
      <c r="X22" s="1265"/>
      <c r="Y22" s="355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58"/>
      <c r="Q23" s="1263" t="str">
        <f>B23</f>
        <v>自然及人文环境</v>
      </c>
      <c r="R23" s="667" t="s">
        <v>14</v>
      </c>
      <c r="S23" s="668">
        <f>F23</f>
        <v>100</v>
      </c>
      <c r="T23" s="667" t="s">
        <v>14</v>
      </c>
      <c r="U23" s="668">
        <f>H23</f>
        <v>100</v>
      </c>
      <c r="V23" s="667" t="s">
        <v>14</v>
      </c>
      <c r="W23" s="668">
        <f>J23</f>
        <v>100</v>
      </c>
      <c r="X23" s="1265"/>
      <c r="Y23" s="3551"/>
      <c r="Z23" s="1264" t="str">
        <f>Q23</f>
        <v>自然及人文环境</v>
      </c>
      <c r="AA23" s="1264">
        <f t="shared" si="3"/>
        <v>1</v>
      </c>
      <c r="AB23" s="1264">
        <f t="shared" si="4"/>
        <v>1</v>
      </c>
      <c r="AC23" s="1264">
        <f t="shared" si="5"/>
        <v>1</v>
      </c>
    </row>
    <row r="24" spans="1:29" ht="15">
      <c r="A24" s="367"/>
      <c r="B24" s="395"/>
      <c r="C24" s="386" t="s">
        <v>3807</v>
      </c>
      <c r="D24" s="387"/>
      <c r="E24" s="386" t="s">
        <v>3807</v>
      </c>
      <c r="F24" s="388"/>
      <c r="G24" s="386" t="s">
        <v>3807</v>
      </c>
      <c r="H24" s="387"/>
      <c r="I24" s="386" t="s">
        <v>3807</v>
      </c>
      <c r="J24" s="387"/>
      <c r="K24" s="541"/>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58"/>
      <c r="Q25" s="1263" t="str">
        <f t="shared" ref="Q25:Q46" si="11">B25</f>
        <v>临街状况</v>
      </c>
      <c r="R25" s="667" t="s">
        <v>14</v>
      </c>
      <c r="S25" s="668">
        <f>F25</f>
        <v>100</v>
      </c>
      <c r="T25" s="667" t="s">
        <v>14</v>
      </c>
      <c r="U25" s="668">
        <f>H25</f>
        <v>100</v>
      </c>
      <c r="V25" s="667" t="s">
        <v>14</v>
      </c>
      <c r="W25" s="668">
        <f>J25</f>
        <v>100</v>
      </c>
      <c r="X25" s="1265"/>
      <c r="Y25" s="3551"/>
      <c r="Z25" s="1264" t="str">
        <f>Q25</f>
        <v>临街状况</v>
      </c>
      <c r="AA25" s="1264">
        <f t="shared" si="3"/>
        <v>1</v>
      </c>
      <c r="AB25" s="1264">
        <f t="shared" si="4"/>
        <v>1</v>
      </c>
      <c r="AC25" s="1264">
        <f t="shared" si="5"/>
        <v>1</v>
      </c>
    </row>
    <row r="26" spans="1:29" ht="15">
      <c r="A26" s="367"/>
      <c r="B26" s="1066" t="s">
        <v>1781</v>
      </c>
      <c r="C26" s="3326" t="s">
        <v>3813</v>
      </c>
      <c r="D26" s="374">
        <v>100</v>
      </c>
      <c r="E26" s="3326" t="s">
        <v>3828</v>
      </c>
      <c r="F26" s="400">
        <f>SUMIF(88:88,E26,89:89)-SUMIF(88:88,C26,89:89)+100</f>
        <v>98</v>
      </c>
      <c r="G26" s="3326" t="s">
        <v>3813</v>
      </c>
      <c r="H26" s="374">
        <f>SUMIF(88:88,G26,89:89)-SUMIF(88:88,C26,89:89)+100</f>
        <v>100</v>
      </c>
      <c r="I26" s="3326" t="s">
        <v>3813</v>
      </c>
      <c r="J26" s="374">
        <f>SUMIF(88:88,I26,89:89)-SUMIF(88:88,C26,89:89)+100</f>
        <v>100</v>
      </c>
      <c r="K26" s="539"/>
      <c r="L26" s="2493"/>
      <c r="M26" s="2488"/>
      <c r="N26" s="2488"/>
      <c r="O26" s="2488"/>
      <c r="P26" s="3558"/>
      <c r="Q26" s="1263" t="str">
        <f t="shared" si="11"/>
        <v>平面位置/可视性</v>
      </c>
      <c r="R26" s="667" t="s">
        <v>14</v>
      </c>
      <c r="S26" s="668">
        <f>F26</f>
        <v>98</v>
      </c>
      <c r="T26" s="667" t="s">
        <v>14</v>
      </c>
      <c r="U26" s="668">
        <f>H26</f>
        <v>100</v>
      </c>
      <c r="V26" s="667" t="s">
        <v>14</v>
      </c>
      <c r="W26" s="668">
        <f>J26</f>
        <v>100</v>
      </c>
      <c r="X26" s="1265"/>
      <c r="Y26" s="3551"/>
      <c r="Z26" s="1264" t="str">
        <f>Q26</f>
        <v>平面位置/可视性</v>
      </c>
      <c r="AA26" s="1264">
        <f t="shared" si="3"/>
        <v>1.0204081632653061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58"/>
      <c r="Q27" s="530" t="str">
        <f t="shared" si="11"/>
        <v>人流量</v>
      </c>
      <c r="R27" s="664" t="s">
        <v>14</v>
      </c>
      <c r="S27" s="665">
        <f>F27</f>
        <v>100</v>
      </c>
      <c r="T27" s="664" t="s">
        <v>14</v>
      </c>
      <c r="U27" s="665">
        <f>H27</f>
        <v>100</v>
      </c>
      <c r="V27" s="664" t="s">
        <v>14</v>
      </c>
      <c r="W27" s="665">
        <f>J27</f>
        <v>100</v>
      </c>
      <c r="X27" s="666"/>
      <c r="Y27" s="3551"/>
      <c r="Z27" s="50" t="str">
        <f>Q27</f>
        <v>人流量</v>
      </c>
      <c r="AA27" s="1264">
        <f>D27/F27</f>
        <v>1</v>
      </c>
      <c r="AB27" s="1264">
        <f>D27/H27</f>
        <v>1</v>
      </c>
      <c r="AC27" s="1264">
        <f>D27/J27</f>
        <v>1</v>
      </c>
    </row>
    <row r="28" spans="1:29" ht="15">
      <c r="A28" s="367"/>
      <c r="B28" s="364" t="s">
        <v>1783</v>
      </c>
      <c r="C28" s="542" t="s">
        <v>3754</v>
      </c>
      <c r="D28" s="374">
        <v>100</v>
      </c>
      <c r="E28" s="542" t="s">
        <v>3754</v>
      </c>
      <c r="F28" s="400">
        <f>SUMIF(92:92,E28,93:93)-SUMIF(92:92,C28,93:93)+100</f>
        <v>100</v>
      </c>
      <c r="G28" s="542" t="s">
        <v>3754</v>
      </c>
      <c r="H28" s="374">
        <f>SUMIF(92:92,G28,93:93)-SUMIF(92:92,C28,93:93)+100</f>
        <v>100</v>
      </c>
      <c r="I28" s="542" t="s">
        <v>3754</v>
      </c>
      <c r="J28" s="374">
        <f>SUMIF(92:92,I28,93:93)-SUMIF(92:92,C28,93:93)+100</f>
        <v>100</v>
      </c>
      <c r="K28" s="539"/>
      <c r="L28" s="2493"/>
      <c r="M28" s="2488"/>
      <c r="N28" s="2488"/>
      <c r="O28" s="2488"/>
      <c r="P28" s="35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51"/>
      <c r="Z28" s="1264" t="str">
        <f t="shared" ref="Z28:Z46" si="15">Q28</f>
        <v>楼层</v>
      </c>
      <c r="AA28" s="1264">
        <f t="shared" si="3"/>
        <v>1</v>
      </c>
      <c r="AB28" s="1264">
        <f t="shared" si="4"/>
        <v>1</v>
      </c>
      <c r="AC28" s="1264">
        <f t="shared" si="5"/>
        <v>1</v>
      </c>
    </row>
    <row r="29" spans="1:29" ht="27.75">
      <c r="A29" s="367"/>
      <c r="B29" s="3323" t="s">
        <v>3823</v>
      </c>
      <c r="C29" s="3327" t="s">
        <v>3820</v>
      </c>
      <c r="D29" s="374">
        <v>100</v>
      </c>
      <c r="E29" s="3327" t="s">
        <v>3821</v>
      </c>
      <c r="F29" s="400">
        <f>SUMIF(94:94,E29,95:95)-SUMIF(94:94,C29,95:95)+100</f>
        <v>101</v>
      </c>
      <c r="G29" s="3327" t="s">
        <v>3822</v>
      </c>
      <c r="H29" s="374">
        <f>SUMIF(94:94,G29,95:95)-SUMIF(94:94,C29,95:95)+100</f>
        <v>101</v>
      </c>
      <c r="I29" s="3327" t="s">
        <v>3824</v>
      </c>
      <c r="J29" s="374">
        <f>SUMIF(94:94,I29,95:95)-SUMIF(94:94,C29,95:95)+100</f>
        <v>102</v>
      </c>
      <c r="K29" s="539"/>
      <c r="L29" s="2493"/>
      <c r="M29" s="2488">
        <f>1-(2025-2001)/60</f>
        <v>0.6</v>
      </c>
      <c r="N29" s="2488">
        <v>0.8</v>
      </c>
      <c r="O29" s="2488">
        <f>AVERAGE(M29:N29)</f>
        <v>0.7</v>
      </c>
      <c r="P29" s="3558"/>
      <c r="Q29" s="1263" t="str">
        <f t="shared" si="11"/>
        <v>道路级别</v>
      </c>
      <c r="R29" s="667" t="s">
        <v>14</v>
      </c>
      <c r="S29" s="668">
        <f t="shared" si="12"/>
        <v>101</v>
      </c>
      <c r="T29" s="667" t="s">
        <v>14</v>
      </c>
      <c r="U29" s="668">
        <f t="shared" si="13"/>
        <v>101</v>
      </c>
      <c r="V29" s="667" t="s">
        <v>14</v>
      </c>
      <c r="W29" s="668">
        <f t="shared" si="14"/>
        <v>102</v>
      </c>
      <c r="X29" s="1265"/>
      <c r="Y29" s="3551"/>
      <c r="Z29" s="1264" t="str">
        <f t="shared" si="15"/>
        <v>道路级别</v>
      </c>
      <c r="AA29" s="1264">
        <f t="shared" si="3"/>
        <v>0.99009900990099009</v>
      </c>
      <c r="AB29" s="1264">
        <f t="shared" si="4"/>
        <v>0.99009900990099009</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1-(2025-2004)/60</f>
        <v>0.65</v>
      </c>
      <c r="N30" s="2488">
        <v>0.8</v>
      </c>
      <c r="O30" s="2488">
        <f t="shared" ref="O30:O32" si="16">AVERAGE(M30:N30)</f>
        <v>0.72500000000000009</v>
      </c>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f>1-(2025-2007)/60</f>
        <v>0.7</v>
      </c>
      <c r="N31" s="2488">
        <v>0.8</v>
      </c>
      <c r="O31" s="2488">
        <f t="shared" si="16"/>
        <v>0.75</v>
      </c>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264">
        <f t="shared" si="5"/>
        <v>1</v>
      </c>
    </row>
    <row r="32" spans="1:29" ht="15">
      <c r="A32" s="379" t="s">
        <v>1694</v>
      </c>
      <c r="B32" s="60" t="s">
        <v>1784</v>
      </c>
      <c r="C32" s="1764" t="s">
        <v>3835</v>
      </c>
      <c r="D32" s="405">
        <v>100</v>
      </c>
      <c r="E32" s="1764" t="s">
        <v>3835</v>
      </c>
      <c r="F32" s="400">
        <f>SUMIF(100:100,E32,101:101)-SUMIF(100:100,C32,101:101)+100</f>
        <v>100</v>
      </c>
      <c r="G32" s="1764" t="s">
        <v>3835</v>
      </c>
      <c r="H32" s="374">
        <f>SUMIF(100:100,G32,101:101)-SUMIF(100:100,C32,101:101)+100</f>
        <v>100</v>
      </c>
      <c r="I32" s="1764" t="s">
        <v>3835</v>
      </c>
      <c r="J32" s="405">
        <f>SUMIF(100:100,I32,101:101)-SUMIF(100:100,C32,101:101)+100</f>
        <v>100</v>
      </c>
      <c r="K32" s="538"/>
      <c r="L32" s="2493"/>
      <c r="M32" s="2488">
        <f>1-(2025-2009)/60</f>
        <v>0.73333333333333339</v>
      </c>
      <c r="N32" s="2488">
        <v>0.8</v>
      </c>
      <c r="O32" s="2488">
        <f t="shared" si="16"/>
        <v>0.76666666666666672</v>
      </c>
      <c r="P32" s="3552" t="s">
        <v>1696</v>
      </c>
      <c r="Q32" s="1263" t="str">
        <f t="shared" si="11"/>
        <v>商业类型</v>
      </c>
      <c r="R32" s="667" t="s">
        <v>14</v>
      </c>
      <c r="S32" s="668">
        <f t="shared" si="12"/>
        <v>100</v>
      </c>
      <c r="T32" s="667" t="s">
        <v>14</v>
      </c>
      <c r="U32" s="668">
        <f t="shared" si="13"/>
        <v>100</v>
      </c>
      <c r="V32" s="667" t="s">
        <v>14</v>
      </c>
      <c r="W32" s="668">
        <f t="shared" si="14"/>
        <v>100</v>
      </c>
      <c r="X32" s="1265"/>
      <c r="Y32" s="3555"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559.47</v>
      </c>
      <c r="D33" s="119">
        <v>100</v>
      </c>
      <c r="E33" s="369">
        <f>商业租金!F57</f>
        <v>616.13</v>
      </c>
      <c r="F33" s="364">
        <f>LOOKUP(E33,103:103,104:104)-LOOKUP(C33,103:103,104:104)+100</f>
        <v>100</v>
      </c>
      <c r="G33" s="368">
        <f>商业租金!F61</f>
        <v>492.44</v>
      </c>
      <c r="H33" s="119">
        <f>LOOKUP(G33,103:103,104:104)-LOOKUP(C33,103:103,104:104)+100</f>
        <v>100</v>
      </c>
      <c r="I33" s="368">
        <f>商业租金!F64</f>
        <v>109.2</v>
      </c>
      <c r="J33" s="119">
        <f>LOOKUP(I33,103:103,104:104)-LOOKUP(C33,103:103,104:104)+100</f>
        <v>106</v>
      </c>
      <c r="K33" s="539"/>
      <c r="L33" s="2492"/>
      <c r="M33" s="2488"/>
      <c r="N33" s="2494"/>
      <c r="O33" s="2494"/>
      <c r="P33" s="3553"/>
      <c r="Q33" s="531" t="str">
        <f t="shared" si="11"/>
        <v>项目建筑规模</v>
      </c>
      <c r="R33" s="669" t="s">
        <v>14</v>
      </c>
      <c r="S33" s="670">
        <f t="shared" si="12"/>
        <v>100</v>
      </c>
      <c r="T33" s="669" t="s">
        <v>14</v>
      </c>
      <c r="U33" s="670">
        <f t="shared" si="13"/>
        <v>100</v>
      </c>
      <c r="V33" s="669" t="s">
        <v>14</v>
      </c>
      <c r="W33" s="670">
        <f t="shared" si="14"/>
        <v>106</v>
      </c>
      <c r="X33" s="671"/>
      <c r="Y33" s="3555"/>
      <c r="Z33" s="672" t="str">
        <f t="shared" si="15"/>
        <v>项目建筑规模</v>
      </c>
      <c r="AA33" s="1264">
        <f t="shared" si="3"/>
        <v>1</v>
      </c>
      <c r="AB33" s="1264">
        <f t="shared" si="4"/>
        <v>1</v>
      </c>
      <c r="AC33" s="1264">
        <f t="shared" si="5"/>
        <v>0.94339622641509435</v>
      </c>
    </row>
    <row r="34" spans="1:29" ht="15">
      <c r="A34" s="409"/>
      <c r="B34" s="364" t="s">
        <v>1698</v>
      </c>
      <c r="C34" s="399" t="s">
        <v>3837</v>
      </c>
      <c r="D34" s="374">
        <v>100</v>
      </c>
      <c r="E34" s="399" t="s">
        <v>3837</v>
      </c>
      <c r="F34" s="400">
        <f>SUMIF(105:105,E34,106:106)-SUMIF(105:105,C34,106:106)+100</f>
        <v>100</v>
      </c>
      <c r="G34" s="399" t="s">
        <v>3837</v>
      </c>
      <c r="H34" s="374">
        <f>SUMIF(105:105,G34,106:106)-SUMIF(105:105,C34,106:106)+100</f>
        <v>100</v>
      </c>
      <c r="I34" s="399" t="s">
        <v>3837</v>
      </c>
      <c r="J34" s="374">
        <f>SUMIF(105:105,I34,106:106)-SUMIF(105:105,C34,106:106)+100</f>
        <v>100</v>
      </c>
      <c r="K34" s="538"/>
      <c r="L34" s="2493"/>
      <c r="M34" s="2488"/>
      <c r="N34" s="2488"/>
      <c r="O34" s="2488"/>
      <c r="P34" s="3553"/>
      <c r="Q34" s="1263" t="str">
        <f t="shared" si="11"/>
        <v>建筑结构</v>
      </c>
      <c r="R34" s="667" t="s">
        <v>14</v>
      </c>
      <c r="S34" s="668">
        <f t="shared" si="12"/>
        <v>100</v>
      </c>
      <c r="T34" s="667" t="s">
        <v>14</v>
      </c>
      <c r="U34" s="668">
        <f t="shared" si="13"/>
        <v>100</v>
      </c>
      <c r="V34" s="667" t="s">
        <v>14</v>
      </c>
      <c r="W34" s="668">
        <f t="shared" si="14"/>
        <v>100</v>
      </c>
      <c r="X34" s="1265"/>
      <c r="Y34" s="3555"/>
      <c r="Z34" s="1264" t="str">
        <f t="shared" si="15"/>
        <v>建筑结构</v>
      </c>
      <c r="AA34" s="1264">
        <f t="shared" si="3"/>
        <v>1</v>
      </c>
      <c r="AB34" s="1264">
        <f t="shared" si="4"/>
        <v>1</v>
      </c>
      <c r="AC34" s="1264">
        <f t="shared" si="5"/>
        <v>1</v>
      </c>
    </row>
    <row r="35" spans="1:29" ht="15">
      <c r="A35" s="409"/>
      <c r="B35" s="364" t="s">
        <v>1785</v>
      </c>
      <c r="C35" s="1760" t="s">
        <v>3825</v>
      </c>
      <c r="D35" s="374">
        <v>100</v>
      </c>
      <c r="E35" s="1760" t="s">
        <v>3782</v>
      </c>
      <c r="F35" s="400">
        <f>SUMIF(107:107,E35,108:108)-SUMIF(107:107,C35,108:108)+100</f>
        <v>102</v>
      </c>
      <c r="G35" s="1760" t="s">
        <v>3782</v>
      </c>
      <c r="H35" s="374">
        <f>SUMIF(107:107,G35,108:108)-SUMIF(107:107,C35,108:108)+100</f>
        <v>102</v>
      </c>
      <c r="I35" s="1760" t="s">
        <v>3782</v>
      </c>
      <c r="J35" s="374">
        <f>SUMIF(107:107,I35,108:108)-SUMIF(107:107,C35,108:108)+100</f>
        <v>102</v>
      </c>
      <c r="K35" s="538">
        <v>2</v>
      </c>
      <c r="L35" s="2493"/>
      <c r="M35" s="2488"/>
      <c r="N35" s="2488"/>
      <c r="O35" s="2488"/>
      <c r="P35" s="3553"/>
      <c r="Q35" s="1263" t="str">
        <f t="shared" si="11"/>
        <v>公共部分装修</v>
      </c>
      <c r="R35" s="667" t="s">
        <v>14</v>
      </c>
      <c r="S35" s="668">
        <f t="shared" si="12"/>
        <v>102</v>
      </c>
      <c r="T35" s="667" t="s">
        <v>14</v>
      </c>
      <c r="U35" s="668">
        <f t="shared" si="13"/>
        <v>102</v>
      </c>
      <c r="V35" s="667" t="s">
        <v>14</v>
      </c>
      <c r="W35" s="668">
        <f t="shared" si="14"/>
        <v>102</v>
      </c>
      <c r="X35" s="1265"/>
      <c r="Y35" s="3555"/>
      <c r="Z35" s="1264" t="str">
        <f t="shared" si="15"/>
        <v>公共部分装修</v>
      </c>
      <c r="AA35" s="1264">
        <f t="shared" si="3"/>
        <v>0.98039215686274506</v>
      </c>
      <c r="AB35" s="1264">
        <f t="shared" si="4"/>
        <v>0.98039215686274506</v>
      </c>
      <c r="AC35" s="1264">
        <f t="shared" si="5"/>
        <v>0.98039215686274506</v>
      </c>
    </row>
    <row r="36" spans="1:29" ht="15">
      <c r="A36" s="409"/>
      <c r="B36" s="364" t="s">
        <v>1786</v>
      </c>
      <c r="C36" s="411">
        <v>0.75</v>
      </c>
      <c r="D36" s="374">
        <v>100</v>
      </c>
      <c r="E36" s="411">
        <v>0.75</v>
      </c>
      <c r="F36" s="400">
        <f>LOOKUP(E36,110:110,111:111)-LOOKUP(C36,110:110,111:111)+100</f>
        <v>100</v>
      </c>
      <c r="G36" s="411">
        <v>0.69</v>
      </c>
      <c r="H36" s="400">
        <f>LOOKUP(G36,110:110,111:111)-LOOKUP(C36,110:110,111:111)+100</f>
        <v>98</v>
      </c>
      <c r="I36" s="411">
        <v>0.72499999999999998</v>
      </c>
      <c r="J36" s="374">
        <f>LOOKUP(I36,110:110,111:111)-LOOKUP(C36,110:110,111:111)+100</f>
        <v>100</v>
      </c>
      <c r="K36" s="538">
        <v>2</v>
      </c>
      <c r="L36" s="2493"/>
      <c r="M36" s="2488"/>
      <c r="N36" s="2488"/>
      <c r="O36" s="2488"/>
      <c r="P36" s="3553"/>
      <c r="Q36" s="1263" t="str">
        <f t="shared" si="11"/>
        <v>成新度</v>
      </c>
      <c r="R36" s="667" t="s">
        <v>14</v>
      </c>
      <c r="S36" s="668">
        <f t="shared" si="12"/>
        <v>100</v>
      </c>
      <c r="T36" s="667" t="s">
        <v>14</v>
      </c>
      <c r="U36" s="668">
        <f t="shared" si="13"/>
        <v>98</v>
      </c>
      <c r="V36" s="667" t="s">
        <v>14</v>
      </c>
      <c r="W36" s="668">
        <f t="shared" si="14"/>
        <v>100</v>
      </c>
      <c r="X36" s="1265"/>
      <c r="Y36" s="3555"/>
      <c r="Z36" s="1264" t="str">
        <f t="shared" si="15"/>
        <v>成新度</v>
      </c>
      <c r="AA36" s="1264">
        <f t="shared" si="3"/>
        <v>1</v>
      </c>
      <c r="AB36" s="1264">
        <f t="shared" si="4"/>
        <v>1.0204081632653061</v>
      </c>
      <c r="AC36" s="1264">
        <f t="shared" si="5"/>
        <v>1</v>
      </c>
    </row>
    <row r="37" spans="1:29" s="102" customFormat="1" ht="15">
      <c r="A37" s="410"/>
      <c r="B37" s="364" t="s">
        <v>1787</v>
      </c>
      <c r="C37" s="1760" t="s">
        <v>3843</v>
      </c>
      <c r="D37" s="119">
        <v>100</v>
      </c>
      <c r="E37" s="1760" t="s">
        <v>3843</v>
      </c>
      <c r="F37" s="400">
        <f>SUMIF(112:112,E37,113:113)-SUMIF(112:112,C37,113:113)+100</f>
        <v>100</v>
      </c>
      <c r="G37" s="1760" t="s">
        <v>3843</v>
      </c>
      <c r="H37" s="374">
        <f>SUMIF(112:112,G37,113:113)-SUMIF(112:112,C37,113:113)+100</f>
        <v>100</v>
      </c>
      <c r="I37" s="1760" t="s">
        <v>3843</v>
      </c>
      <c r="J37" s="374">
        <f>SUMIF(112:112,I37,113:113)-SUMIF(112:112,C37,113:113)+100</f>
        <v>100</v>
      </c>
      <c r="K37" s="538"/>
      <c r="L37" s="2489"/>
      <c r="M37" s="2440"/>
      <c r="N37" s="2440"/>
      <c r="O37" s="2440"/>
      <c r="P37" s="3553"/>
      <c r="Q37" s="530" t="str">
        <f t="shared" si="11"/>
        <v>市政基础设施</v>
      </c>
      <c r="R37" s="664" t="s">
        <v>14</v>
      </c>
      <c r="S37" s="665">
        <f t="shared" si="12"/>
        <v>100</v>
      </c>
      <c r="T37" s="664" t="s">
        <v>14</v>
      </c>
      <c r="U37" s="665">
        <f t="shared" si="13"/>
        <v>100</v>
      </c>
      <c r="V37" s="664" t="s">
        <v>14</v>
      </c>
      <c r="W37" s="665">
        <f t="shared" si="14"/>
        <v>100</v>
      </c>
      <c r="X37" s="666"/>
      <c r="Y37" s="35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53" t="s">
        <v>1696</v>
      </c>
      <c r="Q38" s="1263" t="str">
        <f t="shared" si="11"/>
        <v>业态</v>
      </c>
      <c r="R38" s="667" t="s">
        <v>14</v>
      </c>
      <c r="S38" s="668">
        <f t="shared" si="12"/>
        <v>100</v>
      </c>
      <c r="T38" s="667" t="s">
        <v>14</v>
      </c>
      <c r="U38" s="668">
        <f t="shared" si="13"/>
        <v>100</v>
      </c>
      <c r="V38" s="667" t="s">
        <v>14</v>
      </c>
      <c r="W38" s="668">
        <f t="shared" si="14"/>
        <v>100</v>
      </c>
      <c r="X38" s="1265"/>
      <c r="Y38" s="35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53"/>
      <c r="Q39" s="1263" t="str">
        <f t="shared" si="11"/>
        <v>层高</v>
      </c>
      <c r="R39" s="667" t="s">
        <v>14</v>
      </c>
      <c r="S39" s="668">
        <f t="shared" si="12"/>
        <v>100</v>
      </c>
      <c r="T39" s="667" t="s">
        <v>14</v>
      </c>
      <c r="U39" s="668">
        <f t="shared" si="13"/>
        <v>100</v>
      </c>
      <c r="V39" s="667" t="s">
        <v>14</v>
      </c>
      <c r="W39" s="668">
        <f t="shared" si="14"/>
        <v>100</v>
      </c>
      <c r="X39" s="1265"/>
      <c r="Y39" s="35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v>18</v>
      </c>
      <c r="N40" s="2488"/>
      <c r="O40" s="2488"/>
      <c r="P40" s="3553"/>
      <c r="Q40" s="1263" t="str">
        <f t="shared" si="11"/>
        <v>单套建筑面积</v>
      </c>
      <c r="R40" s="667" t="s">
        <v>14</v>
      </c>
      <c r="S40" s="668">
        <f t="shared" si="12"/>
        <v>100</v>
      </c>
      <c r="T40" s="667" t="s">
        <v>14</v>
      </c>
      <c r="U40" s="668">
        <f t="shared" si="13"/>
        <v>100</v>
      </c>
      <c r="V40" s="667" t="s">
        <v>14</v>
      </c>
      <c r="W40" s="668">
        <f t="shared" si="14"/>
        <v>100</v>
      </c>
      <c r="X40" s="1265"/>
      <c r="Y40" s="35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f>C48/M40</f>
        <v>0.93333333333333335</v>
      </c>
      <c r="N41" s="2494"/>
      <c r="O41" s="2494"/>
      <c r="P41" s="3553"/>
      <c r="Q41" s="531" t="str">
        <f t="shared" si="11"/>
        <v>进深比</v>
      </c>
      <c r="R41" s="669" t="s">
        <v>14</v>
      </c>
      <c r="S41" s="670">
        <f t="shared" si="12"/>
        <v>100</v>
      </c>
      <c r="T41" s="669" t="s">
        <v>14</v>
      </c>
      <c r="U41" s="670">
        <f t="shared" si="13"/>
        <v>100</v>
      </c>
      <c r="V41" s="669" t="s">
        <v>14</v>
      </c>
      <c r="W41" s="670">
        <f t="shared" si="14"/>
        <v>100</v>
      </c>
      <c r="X41" s="671"/>
      <c r="Y41" s="3555"/>
      <c r="Z41" s="672" t="str">
        <f t="shared" si="15"/>
        <v>进深比</v>
      </c>
      <c r="AA41" s="1264">
        <f t="shared" si="3"/>
        <v>1</v>
      </c>
      <c r="AB41" s="1264">
        <f t="shared" si="4"/>
        <v>1</v>
      </c>
      <c r="AC41" s="1264">
        <f t="shared" si="5"/>
        <v>1</v>
      </c>
    </row>
    <row r="42" spans="1:29" ht="15">
      <c r="A42" s="409"/>
      <c r="B42" s="364" t="s">
        <v>1792</v>
      </c>
      <c r="C42" s="1760" t="s">
        <v>3825</v>
      </c>
      <c r="D42" s="374">
        <v>100</v>
      </c>
      <c r="E42" s="1760" t="s">
        <v>3825</v>
      </c>
      <c r="F42" s="400">
        <f>SUMIF(122:122,E42,123:123)-SUMIF(122:122,C42,123:123)+100</f>
        <v>100</v>
      </c>
      <c r="G42" s="1760" t="s">
        <v>3782</v>
      </c>
      <c r="H42" s="374">
        <f>SUMIF(122:122,G42,123:123)-SUMIF(122:122,C42,123:123)+100</f>
        <v>102</v>
      </c>
      <c r="I42" s="1760" t="s">
        <v>3782</v>
      </c>
      <c r="J42" s="374">
        <f>SUMIF(122:122,I42,123:123)-SUMIF(122:122,C42,123:123)+100</f>
        <v>102</v>
      </c>
      <c r="K42" s="538">
        <v>2</v>
      </c>
      <c r="L42" s="2493"/>
      <c r="M42" s="2488">
        <f>(M40-C48)/C48</f>
        <v>7.1428571428571383E-2</v>
      </c>
      <c r="N42" s="2488"/>
      <c r="O42" s="2488"/>
      <c r="P42" s="3553"/>
      <c r="Q42" s="1263" t="str">
        <f t="shared" si="11"/>
        <v>内部装修</v>
      </c>
      <c r="R42" s="667" t="s">
        <v>14</v>
      </c>
      <c r="S42" s="668">
        <f t="shared" si="12"/>
        <v>100</v>
      </c>
      <c r="T42" s="667" t="s">
        <v>14</v>
      </c>
      <c r="U42" s="668">
        <f t="shared" si="13"/>
        <v>102</v>
      </c>
      <c r="V42" s="667" t="s">
        <v>14</v>
      </c>
      <c r="W42" s="668">
        <f t="shared" si="14"/>
        <v>102</v>
      </c>
      <c r="X42" s="1265"/>
      <c r="Y42" s="3555"/>
      <c r="Z42" s="1264" t="str">
        <f t="shared" si="15"/>
        <v>内部装修</v>
      </c>
      <c r="AA42" s="1264">
        <f t="shared" si="3"/>
        <v>1</v>
      </c>
      <c r="AB42" s="1264">
        <f t="shared" si="4"/>
        <v>0.98039215686274506</v>
      </c>
      <c r="AC42" s="1264">
        <f t="shared" si="5"/>
        <v>0.98039215686274506</v>
      </c>
    </row>
    <row r="43" spans="1:29" ht="15">
      <c r="A43" s="409"/>
      <c r="B43" s="364" t="s">
        <v>1707</v>
      </c>
      <c r="C43" s="1760" t="s">
        <v>3829</v>
      </c>
      <c r="D43" s="374">
        <v>100</v>
      </c>
      <c r="E43" s="1760" t="s">
        <v>3807</v>
      </c>
      <c r="F43" s="400">
        <f>SUMIF(124:124,E43,125:125)-SUMIF(124:124,C43,125:125)+100</f>
        <v>102</v>
      </c>
      <c r="G43" s="1760" t="s">
        <v>3807</v>
      </c>
      <c r="H43" s="374">
        <f>SUMIF(124:124,G43,125:125)-SUMIF(124:124,C43,125:125)+100</f>
        <v>102</v>
      </c>
      <c r="I43" s="1760" t="s">
        <v>3807</v>
      </c>
      <c r="J43" s="374">
        <f>SUMIF(124:124,I43,125:125)-SUMIF(124:124,C43,125:125)+100</f>
        <v>102</v>
      </c>
      <c r="K43" s="538">
        <v>2</v>
      </c>
      <c r="L43" s="2493"/>
      <c r="M43" s="2488"/>
      <c r="N43" s="2488"/>
      <c r="O43" s="2488"/>
      <c r="P43" s="3553"/>
      <c r="Q43" s="1263" t="str">
        <f t="shared" si="11"/>
        <v>内部装修维护情况</v>
      </c>
      <c r="R43" s="667" t="s">
        <v>14</v>
      </c>
      <c r="S43" s="668">
        <f t="shared" si="12"/>
        <v>102</v>
      </c>
      <c r="T43" s="667" t="s">
        <v>14</v>
      </c>
      <c r="U43" s="668">
        <f t="shared" si="13"/>
        <v>102</v>
      </c>
      <c r="V43" s="667" t="s">
        <v>14</v>
      </c>
      <c r="W43" s="668">
        <f t="shared" si="14"/>
        <v>102</v>
      </c>
      <c r="X43" s="1265"/>
      <c r="Y43" s="3555"/>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53"/>
      <c r="Q44" s="530">
        <f t="shared" si="11"/>
        <v>111</v>
      </c>
      <c r="R44" s="664" t="s">
        <v>14</v>
      </c>
      <c r="S44" s="665">
        <f t="shared" si="12"/>
        <v>100</v>
      </c>
      <c r="T44" s="664" t="s">
        <v>14</v>
      </c>
      <c r="U44" s="665">
        <f t="shared" si="13"/>
        <v>100</v>
      </c>
      <c r="V44" s="664" t="s">
        <v>14</v>
      </c>
      <c r="W44" s="665">
        <f t="shared" si="14"/>
        <v>100</v>
      </c>
      <c r="X44" s="666"/>
      <c r="Y44" s="35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332">
        <v>0.9</v>
      </c>
      <c r="M45" s="2488">
        <f>C48*L45</f>
        <v>15.120000000000001</v>
      </c>
      <c r="N45" s="2488"/>
      <c r="O45" s="2488"/>
      <c r="P45" s="3553"/>
      <c r="Q45" s="1263">
        <f t="shared" si="11"/>
        <v>111</v>
      </c>
      <c r="R45" s="667" t="s">
        <v>14</v>
      </c>
      <c r="S45" s="668">
        <f t="shared" si="12"/>
        <v>100</v>
      </c>
      <c r="T45" s="667" t="s">
        <v>14</v>
      </c>
      <c r="U45" s="668">
        <f t="shared" si="13"/>
        <v>100</v>
      </c>
      <c r="V45" s="667" t="s">
        <v>14</v>
      </c>
      <c r="W45" s="668">
        <f t="shared" si="14"/>
        <v>100</v>
      </c>
      <c r="X45" s="1265"/>
      <c r="Y45" s="355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332">
        <v>1.1000000000000001</v>
      </c>
      <c r="M46" s="2488">
        <f>C48*L46</f>
        <v>18.480000000000004</v>
      </c>
      <c r="N46" s="2488"/>
      <c r="O46" s="2488"/>
      <c r="P46" s="3554"/>
      <c r="Q46" s="1263">
        <f t="shared" si="11"/>
        <v>111</v>
      </c>
      <c r="R46" s="667" t="s">
        <v>14</v>
      </c>
      <c r="S46" s="668">
        <f t="shared" si="12"/>
        <v>100</v>
      </c>
      <c r="T46" s="667" t="s">
        <v>14</v>
      </c>
      <c r="U46" s="668">
        <f t="shared" si="13"/>
        <v>100</v>
      </c>
      <c r="V46" s="667" t="s">
        <v>14</v>
      </c>
      <c r="W46" s="668">
        <f t="shared" si="14"/>
        <v>100</v>
      </c>
      <c r="X46" s="1265"/>
      <c r="Y46" s="3556"/>
      <c r="Z46" s="1264">
        <f t="shared" si="15"/>
        <v>111</v>
      </c>
      <c r="AA46" s="1264">
        <f t="shared" si="3"/>
        <v>1</v>
      </c>
      <c r="AB46" s="1264">
        <f t="shared" si="4"/>
        <v>1</v>
      </c>
      <c r="AC46" s="1264">
        <f t="shared" si="5"/>
        <v>1</v>
      </c>
    </row>
    <row r="47" spans="1:29" ht="15">
      <c r="A47" s="416" t="s">
        <v>1708</v>
      </c>
      <c r="B47" s="417"/>
      <c r="C47" s="1081" t="s">
        <v>0</v>
      </c>
      <c r="D47" s="418"/>
      <c r="E47" s="419">
        <f>ROUND(商业租金!G66/0.9,1)</f>
        <v>16.7</v>
      </c>
      <c r="F47" s="420"/>
      <c r="G47" s="421">
        <f>商业租金!G61</f>
        <v>16.600000000000001</v>
      </c>
      <c r="H47" s="422"/>
      <c r="I47" s="419">
        <f>商业租金!G62</f>
        <v>21.39</v>
      </c>
      <c r="J47" s="422"/>
      <c r="K47" s="674"/>
      <c r="L47" s="3333"/>
      <c r="M47" s="2488"/>
      <c r="N47" s="2488"/>
      <c r="O47" s="2488"/>
      <c r="P47" s="3548" t="str">
        <f>A47</f>
        <v>成交单价（元/平方米）</v>
      </c>
      <c r="Q47" s="3548"/>
      <c r="R47" s="3549">
        <f>E47</f>
        <v>16.7</v>
      </c>
      <c r="S47" s="3549"/>
      <c r="T47" s="3549">
        <f>G47</f>
        <v>16.600000000000001</v>
      </c>
      <c r="U47" s="3549"/>
      <c r="V47" s="3549">
        <f>I47</f>
        <v>21.39</v>
      </c>
      <c r="W47" s="3549"/>
      <c r="X47" s="385"/>
      <c r="Y47" s="673"/>
      <c r="Z47" s="385"/>
      <c r="AA47" s="385"/>
      <c r="AB47" s="385"/>
      <c r="AC47" s="385"/>
    </row>
    <row r="48" spans="1:29" ht="15.75" thickBot="1">
      <c r="A48" s="423" t="s">
        <v>1793</v>
      </c>
      <c r="B48" s="424"/>
      <c r="C48" s="1082">
        <f>R49</f>
        <v>16.8</v>
      </c>
      <c r="D48" s="2141" t="s">
        <v>2138</v>
      </c>
      <c r="E48" s="1083">
        <f>R48</f>
        <v>15.9</v>
      </c>
      <c r="F48" s="2142"/>
      <c r="G48" s="1082">
        <f>T48</f>
        <v>15.8</v>
      </c>
      <c r="H48" s="2142"/>
      <c r="I48" s="1083">
        <f>V48</f>
        <v>18.600000000000001</v>
      </c>
      <c r="J48" s="2142"/>
      <c r="K48" s="2144">
        <f>F48+H48+J48</f>
        <v>0</v>
      </c>
      <c r="L48" s="3333"/>
      <c r="M48" s="2488"/>
      <c r="N48" s="2488"/>
      <c r="O48" s="2488"/>
      <c r="P48" s="3548" t="str">
        <f>A48</f>
        <v>比较价值（元/平方米）</v>
      </c>
      <c r="Q48" s="3548"/>
      <c r="R48" s="3549">
        <f>IF(F1="售价",ROUND(PRODUCT(R47,AA7:AA46),0),ROUND(PRODUCT(R47,AA7:AA46),1))</f>
        <v>15.9</v>
      </c>
      <c r="S48" s="3549"/>
      <c r="T48" s="3549">
        <f>IF(F1="售价",ROUND(PRODUCT(T47,AB7:AB46),0),ROUND(PRODUCT(T47,AB7:AB46),1))</f>
        <v>15.8</v>
      </c>
      <c r="U48" s="3549"/>
      <c r="V48" s="3549">
        <f>IF(F1="售价",ROUND(PRODUCT(V47,AC7:AC46),0),ROUND(PRODUCT(V47,AC7:AC46),1))</f>
        <v>18.600000000000001</v>
      </c>
      <c r="W48" s="3549"/>
      <c r="X48" s="385"/>
      <c r="Y48" s="385"/>
      <c r="Z48" s="385"/>
      <c r="AA48" s="385"/>
      <c r="AB48" s="385"/>
      <c r="AC48" s="385"/>
    </row>
    <row r="49" spans="1:29" ht="15.75" thickBot="1">
      <c r="A49" s="427" t="s">
        <v>1794</v>
      </c>
      <c r="B49" s="428"/>
      <c r="C49" s="351">
        <f>R49</f>
        <v>16.8</v>
      </c>
      <c r="D49" s="351"/>
      <c r="E49" s="351"/>
      <c r="F49" s="351"/>
      <c r="G49" s="351"/>
      <c r="H49" s="351"/>
      <c r="I49" s="351"/>
      <c r="J49" s="351"/>
      <c r="K49" s="675"/>
      <c r="L49" s="3333"/>
      <c r="M49" s="2488"/>
      <c r="N49" s="2488"/>
      <c r="O49" s="2488"/>
      <c r="P49" s="3545" t="str">
        <f>A49</f>
        <v>估价对象XX用房的比较价值（楼面单价，元/平方米）</v>
      </c>
      <c r="Q49" s="3546"/>
      <c r="R49" s="3547">
        <f>IF(F1="售价",ROUND(IF(D48="简单平均",AVERAGE(R48:V48),R48*F48+T48*H48+V48*J48),0),ROUND(IF(D48="简单平均",AVERAGE(R48:V48),R48*F48+T48*H48+V48*J48),1))</f>
        <v>16.8</v>
      </c>
      <c r="S49" s="3547"/>
      <c r="T49" s="3547"/>
      <c r="U49" s="3547"/>
      <c r="V49" s="3547"/>
      <c r="W49" s="3547"/>
      <c r="X49" s="385"/>
      <c r="Y49" s="385"/>
      <c r="Z49" s="385"/>
      <c r="AA49" s="385"/>
      <c r="AB49" s="385"/>
      <c r="AC49" s="385"/>
    </row>
    <row r="50" spans="1:29">
      <c r="A50" s="2488"/>
      <c r="B50" s="2488"/>
      <c r="C50" s="2488">
        <v>2007</v>
      </c>
      <c r="D50" s="2488"/>
      <c r="E50" s="2488">
        <v>2009</v>
      </c>
      <c r="F50" s="2488"/>
      <c r="G50" s="2499">
        <v>20.010000000000002</v>
      </c>
      <c r="H50" s="2488"/>
      <c r="I50" s="2488">
        <v>2004</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5.031446540880502E-2</v>
      </c>
      <c r="F52" s="435" t="str">
        <f>IF(OR(E52&gt;=0.3,E52&lt;=-0.3),"超过30%","")</f>
        <v/>
      </c>
      <c r="G52" s="434">
        <f>IF(G47&lt;G48,G48/G47-1,G47/G48-1)</f>
        <v>5.0632911392405111E-2</v>
      </c>
      <c r="H52" s="435" t="str">
        <f>IF(OR(G52&gt;=0.3,G52&lt;=-0.3),"超过30%","")</f>
        <v/>
      </c>
      <c r="I52" s="434">
        <f>IF(I47&lt;I48,I48/I47-1,I47/I48-1)</f>
        <v>0.14999999999999991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6.3291139240506666E-3</v>
      </c>
      <c r="F53" s="435" t="str">
        <f>IF(OR(E53&gt;=0.2,E53&lt;=-0.2),"超过20%","")</f>
        <v/>
      </c>
      <c r="G53" s="434">
        <f>IF(G48&lt;I48,I48/G48-1,G48/I48-1)</f>
        <v>0.17721518987341778</v>
      </c>
      <c r="H53" s="435" t="str">
        <f>IF(OR(G53&gt;=0.2,G53&lt;=-0.2),"超过20%","")</f>
        <v/>
      </c>
      <c r="I53" s="434">
        <f>IF(I48&lt;E48,E48/I48-1,I48/E48-1)</f>
        <v>0.16981132075471694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6.0240963855420215E-3</v>
      </c>
      <c r="F54" s="435" t="str">
        <f>IF(OR(E54&gt;=0.3,E54&lt;=-0.3),"超过30%","")</f>
        <v/>
      </c>
      <c r="G54" s="434">
        <f>IF(G47&lt;I47,I47/G47-1,G47/I47-1)</f>
        <v>0.28855421686746974</v>
      </c>
      <c r="H54" s="435" t="str">
        <f>IF(OR(G54&gt;=0.3,G54&lt;=-0.3),"超过30%","")</f>
        <v/>
      </c>
      <c r="I54" s="434">
        <f>IF(I47&lt;E47,E47/I47-1,I47/E47-1)</f>
        <v>0.2808383233532934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7">EDATE(D58,-1)</f>
        <v>45839</v>
      </c>
      <c r="F58" s="1104">
        <f t="shared" si="17"/>
        <v>45809</v>
      </c>
      <c r="G58" s="1104">
        <f t="shared" si="17"/>
        <v>45778</v>
      </c>
      <c r="H58" s="1104">
        <f t="shared" si="17"/>
        <v>45748</v>
      </c>
      <c r="I58" s="1104">
        <f t="shared" si="17"/>
        <v>45717</v>
      </c>
      <c r="J58" s="1104">
        <f t="shared" si="17"/>
        <v>45689</v>
      </c>
      <c r="K58" s="1104">
        <f t="shared" si="17"/>
        <v>45658</v>
      </c>
      <c r="L58" s="1104">
        <f t="shared" si="17"/>
        <v>45627</v>
      </c>
      <c r="M58" s="1104">
        <f t="shared" si="17"/>
        <v>45597</v>
      </c>
      <c r="N58" s="1104">
        <f t="shared" si="17"/>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328" t="s">
        <v>3813</v>
      </c>
      <c r="D88" s="3328" t="s">
        <v>3828</v>
      </c>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3845</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次干道-彩和坊路</v>
      </c>
      <c r="D94" s="485" t="str">
        <f>E29</f>
        <v>主干道-万泉河路</v>
      </c>
      <c r="E94" s="485" t="str">
        <f>G29</f>
        <v>主干道-中关村东路</v>
      </c>
      <c r="F94" s="485" t="str">
        <f>I29</f>
        <v>快速路-北四环西路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101</v>
      </c>
      <c r="E95" s="467">
        <v>101</v>
      </c>
      <c r="F95" s="467">
        <v>102</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325" t="s">
        <v>3836</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4">D103&amp;"(含)"&amp;"-"&amp;E103</f>
        <v>200(含)-400</v>
      </c>
      <c r="E102" s="509" t="str">
        <f t="shared" si="24"/>
        <v>400(含)-</v>
      </c>
      <c r="F102" s="509" t="str">
        <f t="shared" si="24"/>
        <v>(含)-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97</v>
      </c>
      <c r="E104" s="467">
        <f>D104-$G$104</f>
        <v>94</v>
      </c>
      <c r="F104" s="467"/>
      <c r="G104" s="467">
        <v>3</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328" t="s">
        <v>3838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328" t="s">
        <v>3827</v>
      </c>
      <c r="D107" s="3328" t="s">
        <v>3826</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328" t="s">
        <v>3844</v>
      </c>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328" t="s">
        <v>3827</v>
      </c>
      <c r="D122" s="3328" t="s">
        <v>3826</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B16" zoomScale="115" zoomScaleNormal="70" zoomScaleSheetLayoutView="115" workbookViewId="0">
      <selection activeCell="C37" sqref="C3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97" t="s">
        <v>1775</v>
      </c>
      <c r="Q4" s="3598"/>
      <c r="R4" s="3601" t="s">
        <v>1771</v>
      </c>
      <c r="S4" s="3602"/>
      <c r="T4" s="3601" t="s">
        <v>1772</v>
      </c>
      <c r="U4" s="3602"/>
      <c r="V4" s="3603" t="s">
        <v>1773</v>
      </c>
      <c r="W4" s="3603"/>
      <c r="X4" s="1809"/>
      <c r="Y4" s="3601" t="s">
        <v>1775</v>
      </c>
      <c r="Z4" s="3602"/>
      <c r="AA4" s="3605" t="s">
        <v>1771</v>
      </c>
      <c r="AB4" s="3605" t="s">
        <v>1772</v>
      </c>
      <c r="AC4" s="3594" t="s">
        <v>1773</v>
      </c>
    </row>
    <row r="5" spans="1:29" ht="15">
      <c r="A5" s="348"/>
      <c r="B5" s="349"/>
      <c r="C5" s="3581" t="s">
        <v>1673</v>
      </c>
      <c r="D5" s="3582"/>
      <c r="E5" s="3588" t="str">
        <f>办公租金!L2</f>
        <v>中钢国际广场</v>
      </c>
      <c r="F5" s="3589"/>
      <c r="G5" s="3581" t="str">
        <f>办公租金!L5</f>
        <v>互联网金融大厦</v>
      </c>
      <c r="H5" s="3582"/>
      <c r="I5" s="3581" t="str">
        <f>办公租金!L26</f>
        <v>泰鹏大厦</v>
      </c>
      <c r="J5" s="3582"/>
      <c r="K5" s="537"/>
      <c r="L5" s="2487"/>
      <c r="M5" s="2488"/>
      <c r="N5" s="2488"/>
      <c r="O5" s="2488"/>
      <c r="P5" s="3599"/>
      <c r="Q5" s="3570"/>
      <c r="R5" s="3575"/>
      <c r="S5" s="3576"/>
      <c r="T5" s="3575"/>
      <c r="U5" s="3576"/>
      <c r="V5" s="3549"/>
      <c r="W5" s="3549"/>
      <c r="X5" s="1265"/>
      <c r="Y5" s="3575"/>
      <c r="Z5" s="3576"/>
      <c r="AA5" s="3561"/>
      <c r="AB5" s="3561"/>
      <c r="AC5" s="3595"/>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600"/>
      <c r="Q6" s="3572"/>
      <c r="R6" s="3575"/>
      <c r="S6" s="3576"/>
      <c r="T6" s="3577"/>
      <c r="U6" s="3578"/>
      <c r="V6" s="3549"/>
      <c r="W6" s="3549"/>
      <c r="X6" s="1265"/>
      <c r="Y6" s="3577"/>
      <c r="Z6" s="3578"/>
      <c r="AA6" s="3562"/>
      <c r="AB6" s="3562"/>
      <c r="AC6" s="3596"/>
    </row>
    <row r="7" spans="1:29" s="102" customFormat="1" ht="15.75" thickBot="1">
      <c r="A7" s="352" t="s">
        <v>1679</v>
      </c>
      <c r="B7" s="353"/>
      <c r="C7" s="354">
        <f>'数据-取费表'!B2</f>
        <v>45910</v>
      </c>
      <c r="D7" s="355">
        <v>100</v>
      </c>
      <c r="E7" s="356">
        <v>45901</v>
      </c>
      <c r="F7" s="357">
        <f>SUMIF(59:59,YEAR(E7)&amp;"-"&amp;MONTH(E7),60:60)</f>
        <v>100</v>
      </c>
      <c r="G7" s="356">
        <v>45901</v>
      </c>
      <c r="H7" s="355">
        <f>SUMIF(59:59,YEAR(G7)&amp;"-"&amp;MONTH(G7),60:60)</f>
        <v>100</v>
      </c>
      <c r="I7" s="356">
        <v>45901</v>
      </c>
      <c r="J7" s="355">
        <f>SUMIF(59:59,YEAR(I7)&amp;"-"&amp;MONTH(I7),60:60)</f>
        <v>100</v>
      </c>
      <c r="K7" s="38"/>
      <c r="L7" s="2489"/>
      <c r="M7" s="2440"/>
      <c r="N7" s="2440"/>
      <c r="O7" s="2440"/>
      <c r="P7" s="3604"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802">
        <f>D7/J7</f>
        <v>1</v>
      </c>
    </row>
    <row r="8" spans="1:29" s="102" customFormat="1" ht="15.75" thickBot="1">
      <c r="A8" s="352" t="s">
        <v>1681</v>
      </c>
      <c r="B8" s="353"/>
      <c r="C8" s="358" t="s">
        <v>3629</v>
      </c>
      <c r="D8" s="355">
        <v>100</v>
      </c>
      <c r="E8" s="358" t="s">
        <v>3832</v>
      </c>
      <c r="F8" s="357">
        <f>SUMIF(62:62,E8,63:63)-SUMIF(62:62,C8,63:63)+100</f>
        <v>102</v>
      </c>
      <c r="G8" s="358" t="s">
        <v>3832</v>
      </c>
      <c r="H8" s="355">
        <f>SUMIF(62:62,G8,63:63)-SUMIF(62:62,C8,63:63)+100</f>
        <v>102</v>
      </c>
      <c r="I8" s="358" t="s">
        <v>3832</v>
      </c>
      <c r="J8" s="355">
        <f>SUMIF(62:62,I8,63:63)-SUMIF(62:62,C8,63:63)+100</f>
        <v>102</v>
      </c>
      <c r="K8" s="38"/>
      <c r="L8" s="2489"/>
      <c r="M8" s="2440"/>
      <c r="N8" s="2440"/>
      <c r="O8" s="2440"/>
      <c r="P8" s="3604" t="s">
        <v>1683</v>
      </c>
      <c r="Q8" s="3584"/>
      <c r="R8" s="664" t="s">
        <v>14</v>
      </c>
      <c r="S8" s="665">
        <f t="shared" si="0"/>
        <v>102</v>
      </c>
      <c r="T8" s="664" t="s">
        <v>14</v>
      </c>
      <c r="U8" s="665">
        <f t="shared" si="1"/>
        <v>102</v>
      </c>
      <c r="V8" s="664" t="s">
        <v>14</v>
      </c>
      <c r="W8" s="665">
        <f t="shared" si="2"/>
        <v>102</v>
      </c>
      <c r="X8" s="666"/>
      <c r="Y8" s="3583" t="s">
        <v>1683</v>
      </c>
      <c r="Z8" s="3584"/>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322" t="s">
        <v>3812</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57" t="s">
        <v>1691</v>
      </c>
      <c r="Q15" s="1263" t="str">
        <f t="shared" si="6"/>
        <v>办公集聚程度</v>
      </c>
      <c r="R15" s="667" t="s">
        <v>14</v>
      </c>
      <c r="S15" s="668">
        <f t="shared" si="0"/>
        <v>100</v>
      </c>
      <c r="T15" s="667" t="s">
        <v>14</v>
      </c>
      <c r="U15" s="668">
        <f t="shared" si="1"/>
        <v>100</v>
      </c>
      <c r="V15" s="667" t="s">
        <v>14</v>
      </c>
      <c r="W15" s="668">
        <f t="shared" si="2"/>
        <v>100</v>
      </c>
      <c r="X15" s="1265"/>
      <c r="Y15" s="3550" t="s">
        <v>1691</v>
      </c>
      <c r="Z15" s="1264" t="str">
        <f t="shared" si="7"/>
        <v>办公集聚程度</v>
      </c>
      <c r="AA15" s="1264">
        <f t="shared" si="3"/>
        <v>1</v>
      </c>
      <c r="AB15" s="1264">
        <f t="shared" si="4"/>
        <v>1</v>
      </c>
      <c r="AC15" s="1812">
        <f t="shared" si="5"/>
        <v>1</v>
      </c>
    </row>
    <row r="16" spans="1:29" ht="15">
      <c r="A16" s="367"/>
      <c r="B16" s="555"/>
      <c r="C16" s="1758" t="s">
        <v>3807</v>
      </c>
      <c r="D16" s="387"/>
      <c r="E16" s="1758" t="s">
        <v>3807</v>
      </c>
      <c r="F16" s="387"/>
      <c r="G16" s="1758" t="s">
        <v>3807</v>
      </c>
      <c r="H16" s="389"/>
      <c r="I16" s="1758" t="s">
        <v>3807</v>
      </c>
      <c r="J16" s="387"/>
      <c r="K16" s="541"/>
      <c r="L16" s="2493"/>
      <c r="M16" s="2488"/>
      <c r="N16" s="2488"/>
      <c r="O16" s="2488"/>
      <c r="P16" s="3558"/>
      <c r="Q16" s="1263"/>
      <c r="R16" s="667"/>
      <c r="S16" s="668"/>
      <c r="T16" s="667"/>
      <c r="U16" s="668"/>
      <c r="V16" s="667"/>
      <c r="W16" s="668"/>
      <c r="X16" s="1265"/>
      <c r="Y16" s="355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58"/>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812">
        <f t="shared" si="5"/>
        <v>1</v>
      </c>
    </row>
    <row r="18" spans="1:29" ht="15">
      <c r="A18" s="367"/>
      <c r="B18" s="401"/>
      <c r="C18" s="1814" t="s">
        <v>3807</v>
      </c>
      <c r="D18" s="389"/>
      <c r="E18" s="1814" t="s">
        <v>3807</v>
      </c>
      <c r="F18" s="389"/>
      <c r="G18" s="1814" t="s">
        <v>3807</v>
      </c>
      <c r="H18" s="387"/>
      <c r="I18" s="1814" t="s">
        <v>3807</v>
      </c>
      <c r="J18" s="387"/>
      <c r="K18" s="541"/>
      <c r="L18" s="2493"/>
      <c r="M18" s="2488"/>
      <c r="N18" s="2488"/>
      <c r="O18" s="2488"/>
      <c r="P18" s="3558"/>
      <c r="Q18" s="1263"/>
      <c r="R18" s="667"/>
      <c r="S18" s="668"/>
      <c r="T18" s="667"/>
      <c r="U18" s="668"/>
      <c r="V18" s="667"/>
      <c r="W18" s="668"/>
      <c r="X18" s="1265"/>
      <c r="Y18" s="355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812">
        <f t="shared" si="5"/>
        <v>1</v>
      </c>
    </row>
    <row r="20" spans="1:29" ht="15">
      <c r="A20" s="367"/>
      <c r="B20" s="401"/>
      <c r="C20" s="1758" t="s">
        <v>3807</v>
      </c>
      <c r="D20" s="387"/>
      <c r="E20" s="1758" t="s">
        <v>3807</v>
      </c>
      <c r="F20" s="387"/>
      <c r="G20" s="1758" t="s">
        <v>3807</v>
      </c>
      <c r="H20" s="387"/>
      <c r="I20" s="1758" t="s">
        <v>3807</v>
      </c>
      <c r="J20" s="387"/>
      <c r="K20" s="541"/>
      <c r="L20" s="2493"/>
      <c r="M20" s="2488"/>
      <c r="N20" s="2488"/>
      <c r="O20" s="2488"/>
      <c r="P20" s="3558"/>
      <c r="Q20" s="1263"/>
      <c r="R20" s="667"/>
      <c r="S20" s="668"/>
      <c r="T20" s="667"/>
      <c r="U20" s="668"/>
      <c r="V20" s="667"/>
      <c r="W20" s="668"/>
      <c r="X20" s="1265"/>
      <c r="Y20" s="355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812">
        <f t="shared" ref="AC21" si="10">D21/J21</f>
        <v>1</v>
      </c>
    </row>
    <row r="22" spans="1:29" ht="15">
      <c r="A22" s="367"/>
      <c r="B22" s="557"/>
      <c r="C22" s="1814" t="s">
        <v>3839</v>
      </c>
      <c r="D22" s="387"/>
      <c r="E22" s="1814" t="s">
        <v>3839</v>
      </c>
      <c r="F22" s="387"/>
      <c r="G22" s="1814" t="s">
        <v>3839</v>
      </c>
      <c r="H22" s="387"/>
      <c r="I22" s="1814" t="s">
        <v>3839</v>
      </c>
      <c r="J22" s="387"/>
      <c r="K22" s="1064"/>
      <c r="L22" s="2493"/>
      <c r="M22" s="2488"/>
      <c r="N22" s="2488"/>
      <c r="O22" s="2488"/>
      <c r="P22" s="3558"/>
      <c r="Q22" s="1263"/>
      <c r="R22" s="667"/>
      <c r="S22" s="668"/>
      <c r="T22" s="667"/>
      <c r="U22" s="668"/>
      <c r="V22" s="667"/>
      <c r="W22" s="668"/>
      <c r="X22" s="1265"/>
      <c r="Y22" s="355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58"/>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812">
        <f t="shared" si="5"/>
        <v>1</v>
      </c>
    </row>
    <row r="24" spans="1:29" ht="15">
      <c r="A24" s="367"/>
      <c r="B24" s="557"/>
      <c r="C24" s="1758" t="s">
        <v>3807</v>
      </c>
      <c r="D24" s="387"/>
      <c r="E24" s="1758" t="s">
        <v>3807</v>
      </c>
      <c r="F24" s="387"/>
      <c r="G24" s="1758" t="s">
        <v>3807</v>
      </c>
      <c r="H24" s="387"/>
      <c r="I24" s="1758" t="s">
        <v>3807</v>
      </c>
      <c r="J24" s="387"/>
      <c r="K24" s="541"/>
      <c r="L24" s="2493"/>
      <c r="M24" s="2488"/>
      <c r="N24" s="2488"/>
      <c r="O24" s="2488"/>
      <c r="P24" s="3558"/>
      <c r="Q24" s="1263"/>
      <c r="R24" s="667"/>
      <c r="S24" s="668"/>
      <c r="T24" s="667"/>
      <c r="U24" s="668"/>
      <c r="V24" s="667"/>
      <c r="W24" s="668"/>
      <c r="X24" s="1265"/>
      <c r="Y24" s="355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58"/>
      <c r="Q25" s="1263" t="str">
        <f>B25</f>
        <v>毗邻道路的类型与等级</v>
      </c>
      <c r="R25" s="667" t="s">
        <v>14</v>
      </c>
      <c r="S25" s="668">
        <f>F25</f>
        <v>100</v>
      </c>
      <c r="T25" s="667" t="s">
        <v>14</v>
      </c>
      <c r="U25" s="668">
        <f>H25</f>
        <v>100</v>
      </c>
      <c r="V25" s="667" t="s">
        <v>14</v>
      </c>
      <c r="W25" s="668">
        <f>J25</f>
        <v>100</v>
      </c>
      <c r="X25" s="1265"/>
      <c r="Y25" s="3551"/>
      <c r="Z25" s="1264" t="str">
        <f>Q25</f>
        <v>毗邻道路的类型与等级</v>
      </c>
      <c r="AA25" s="1264">
        <f t="shared" si="3"/>
        <v>1</v>
      </c>
      <c r="AB25" s="1264">
        <f t="shared" si="4"/>
        <v>1</v>
      </c>
      <c r="AC25" s="1812">
        <f t="shared" si="5"/>
        <v>1</v>
      </c>
    </row>
    <row r="26" spans="1:29" ht="15">
      <c r="A26" s="348"/>
      <c r="B26" s="401"/>
      <c r="C26" s="558" t="s">
        <v>3841</v>
      </c>
      <c r="D26" s="374"/>
      <c r="E26" s="558" t="s">
        <v>3841</v>
      </c>
      <c r="F26" s="374"/>
      <c r="G26" s="558" t="s">
        <v>3841</v>
      </c>
      <c r="H26" s="374"/>
      <c r="I26" s="558" t="s">
        <v>3841</v>
      </c>
      <c r="J26" s="374"/>
      <c r="K26" s="541"/>
      <c r="L26" s="2493"/>
      <c r="M26" s="2488"/>
      <c r="N26" s="2488"/>
      <c r="O26" s="2488"/>
      <c r="P26" s="3558"/>
      <c r="Q26" s="1263"/>
      <c r="R26" s="667"/>
      <c r="S26" s="668"/>
      <c r="T26" s="667"/>
      <c r="U26" s="668"/>
      <c r="V26" s="667"/>
      <c r="W26" s="668"/>
      <c r="X26" s="1265"/>
      <c r="Y26" s="35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58"/>
      <c r="Q27" s="1263" t="str">
        <f t="shared" ref="Q27:Q47" si="11">B27</f>
        <v>楼层</v>
      </c>
      <c r="R27" s="667" t="s">
        <v>14</v>
      </c>
      <c r="S27" s="668">
        <f>F27</f>
        <v>100</v>
      </c>
      <c r="T27" s="667" t="s">
        <v>14</v>
      </c>
      <c r="U27" s="668">
        <f>H27</f>
        <v>100</v>
      </c>
      <c r="V27" s="667" t="s">
        <v>14</v>
      </c>
      <c r="W27" s="668">
        <f>J27</f>
        <v>100</v>
      </c>
      <c r="X27" s="1265"/>
      <c r="Y27" s="35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58"/>
      <c r="Q28" s="530" t="str">
        <f t="shared" si="11"/>
        <v>朝向</v>
      </c>
      <c r="R28" s="664" t="s">
        <v>14</v>
      </c>
      <c r="S28" s="665">
        <f>F28</f>
        <v>100</v>
      </c>
      <c r="T28" s="664" t="s">
        <v>14</v>
      </c>
      <c r="U28" s="665">
        <f>H28</f>
        <v>100</v>
      </c>
      <c r="V28" s="664" t="s">
        <v>14</v>
      </c>
      <c r="W28" s="665">
        <f>J28</f>
        <v>100</v>
      </c>
      <c r="X28" s="666"/>
      <c r="Y28" s="35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58"/>
      <c r="Q29" s="1263">
        <f t="shared" si="11"/>
        <v>111</v>
      </c>
      <c r="R29" s="667" t="s">
        <v>14</v>
      </c>
      <c r="S29" s="668">
        <f t="shared" ref="S29:S47" si="12">F29</f>
        <v>100</v>
      </c>
      <c r="T29" s="667" t="s">
        <v>14</v>
      </c>
      <c r="U29" s="668">
        <f t="shared" ref="U29:U47" si="13">H29</f>
        <v>100</v>
      </c>
      <c r="V29" s="667" t="s">
        <v>14</v>
      </c>
      <c r="W29" s="668">
        <f t="shared" ref="W29:W47" si="14">J29</f>
        <v>100</v>
      </c>
      <c r="X29" s="1265"/>
      <c r="Y29" s="35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58"/>
      <c r="Q32" s="1263">
        <f t="shared" si="11"/>
        <v>111</v>
      </c>
      <c r="R32" s="667" t="s">
        <v>14</v>
      </c>
      <c r="S32" s="668">
        <f t="shared" si="12"/>
        <v>100</v>
      </c>
      <c r="T32" s="667" t="s">
        <v>14</v>
      </c>
      <c r="U32" s="668">
        <f t="shared" si="13"/>
        <v>100</v>
      </c>
      <c r="V32" s="667" t="s">
        <v>14</v>
      </c>
      <c r="W32" s="668">
        <f t="shared" si="14"/>
        <v>100</v>
      </c>
      <c r="X32" s="1265"/>
      <c r="Y32" s="3551"/>
      <c r="Z32" s="1264">
        <f t="shared" si="15"/>
        <v>111</v>
      </c>
      <c r="AA32" s="1264">
        <f t="shared" si="3"/>
        <v>1</v>
      </c>
      <c r="AB32" s="1264">
        <f t="shared" si="4"/>
        <v>1</v>
      </c>
      <c r="AC32" s="1812">
        <f t="shared" si="5"/>
        <v>1</v>
      </c>
    </row>
    <row r="33" spans="1:29" ht="15">
      <c r="A33" s="379" t="s">
        <v>1694</v>
      </c>
      <c r="B33" s="60" t="s">
        <v>1817</v>
      </c>
      <c r="C33" s="1764" t="s">
        <v>3810</v>
      </c>
      <c r="D33" s="405">
        <v>100</v>
      </c>
      <c r="E33" s="1764" t="s">
        <v>3752</v>
      </c>
      <c r="F33" s="400">
        <f>SUMIF(101:101,E33,102:102)-SUMIF(101:101,C33,102:102)+100</f>
        <v>102</v>
      </c>
      <c r="G33" s="1764" t="s">
        <v>3752</v>
      </c>
      <c r="H33" s="374">
        <f>SUMIF(101:101,G33,102:102)-SUMIF(101:101,C33,102:102)+100</f>
        <v>102</v>
      </c>
      <c r="I33" s="1764" t="s">
        <v>3752</v>
      </c>
      <c r="J33" s="405">
        <f>SUMIF(101:101,I33,102:102)-SUMIF(101:101,C33,102:102)+100</f>
        <v>102</v>
      </c>
      <c r="K33" s="538">
        <v>2</v>
      </c>
      <c r="L33" s="2493"/>
      <c r="M33" s="2488"/>
      <c r="N33" s="2488"/>
      <c r="O33" s="2488"/>
      <c r="P33" s="3552" t="s">
        <v>1696</v>
      </c>
      <c r="Q33" s="1263" t="str">
        <f t="shared" si="11"/>
        <v>建筑类型</v>
      </c>
      <c r="R33" s="667" t="s">
        <v>14</v>
      </c>
      <c r="S33" s="668">
        <f t="shared" si="12"/>
        <v>102</v>
      </c>
      <c r="T33" s="667" t="s">
        <v>14</v>
      </c>
      <c r="U33" s="668">
        <f t="shared" si="13"/>
        <v>102</v>
      </c>
      <c r="V33" s="667" t="s">
        <v>14</v>
      </c>
      <c r="W33" s="668">
        <f t="shared" si="14"/>
        <v>102</v>
      </c>
      <c r="X33" s="1265"/>
      <c r="Y33" s="3555"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'数据-基础表'!K13</f>
        <v>2318.17</v>
      </c>
      <c r="D34" s="119">
        <v>100</v>
      </c>
      <c r="E34" s="369">
        <f>办公租金!M2</f>
        <v>2279.42</v>
      </c>
      <c r="F34" s="364">
        <f>LOOKUP(E34,104:104,105:105)-LOOKUP(C34,104:104,105:105)+100</f>
        <v>100</v>
      </c>
      <c r="G34" s="368">
        <f>办公租金!M5</f>
        <v>2100</v>
      </c>
      <c r="H34" s="119">
        <f>LOOKUP(G34,104:104,105:105)-LOOKUP(C34,104:104,105:105)+100</f>
        <v>100</v>
      </c>
      <c r="I34" s="368">
        <f>办公租金!M6</f>
        <v>2037</v>
      </c>
      <c r="J34" s="119">
        <f>LOOKUP(I34,104:104,105:105)-LOOKUP(C34,104:104,105:105)+100</f>
        <v>100</v>
      </c>
      <c r="K34" s="539"/>
      <c r="L34" s="2492"/>
      <c r="M34" s="2494">
        <f>1-(2025-2014)/60</f>
        <v>0.81666666666666665</v>
      </c>
      <c r="N34" s="2494"/>
      <c r="O34" s="2494"/>
      <c r="P34" s="3553"/>
      <c r="Q34" s="531" t="str">
        <f t="shared" si="11"/>
        <v>项目建筑规模</v>
      </c>
      <c r="R34" s="669" t="s">
        <v>14</v>
      </c>
      <c r="S34" s="670">
        <f t="shared" si="12"/>
        <v>100</v>
      </c>
      <c r="T34" s="669" t="s">
        <v>14</v>
      </c>
      <c r="U34" s="670">
        <f t="shared" si="13"/>
        <v>100</v>
      </c>
      <c r="V34" s="669" t="s">
        <v>14</v>
      </c>
      <c r="W34" s="670">
        <f t="shared" si="14"/>
        <v>100</v>
      </c>
      <c r="X34" s="671"/>
      <c r="Y34" s="3555"/>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53"/>
      <c r="Q35" s="1263" t="str">
        <f t="shared" si="11"/>
        <v>建筑结构</v>
      </c>
      <c r="R35" s="667" t="s">
        <v>14</v>
      </c>
      <c r="S35" s="668">
        <f t="shared" si="12"/>
        <v>100</v>
      </c>
      <c r="T35" s="667" t="s">
        <v>14</v>
      </c>
      <c r="U35" s="668">
        <f t="shared" si="13"/>
        <v>100</v>
      </c>
      <c r="V35" s="667" t="s">
        <v>14</v>
      </c>
      <c r="W35" s="668">
        <f t="shared" si="14"/>
        <v>100</v>
      </c>
      <c r="X35" s="1265"/>
      <c r="Y35" s="3555"/>
      <c r="Z35" s="1264" t="str">
        <f t="shared" si="15"/>
        <v>建筑结构</v>
      </c>
      <c r="AA35" s="1264">
        <f t="shared" si="3"/>
        <v>1</v>
      </c>
      <c r="AB35" s="1264">
        <f t="shared" si="4"/>
        <v>1</v>
      </c>
      <c r="AC35" s="1812">
        <f t="shared" si="5"/>
        <v>1</v>
      </c>
    </row>
    <row r="36" spans="1:29" ht="15">
      <c r="A36" s="409"/>
      <c r="B36" s="364" t="s">
        <v>1785</v>
      </c>
      <c r="C36" s="399" t="s">
        <v>3825</v>
      </c>
      <c r="D36" s="374">
        <v>100</v>
      </c>
      <c r="E36" s="399" t="s">
        <v>3782</v>
      </c>
      <c r="F36" s="400">
        <f>SUMIF(108:108,E36,109:109)-SUMIF(108:108,C36,109:109)+100</f>
        <v>101</v>
      </c>
      <c r="G36" s="399" t="s">
        <v>3782</v>
      </c>
      <c r="H36" s="374">
        <f>SUMIF(108:108,G36,109:109)-SUMIF(108:108,C36,109:109)+100</f>
        <v>101</v>
      </c>
      <c r="I36" s="399" t="s">
        <v>3782</v>
      </c>
      <c r="J36" s="374">
        <f>SUMIF(108:108,I36,109:109)-SUMIF(108:108,C36,109:109)+100</f>
        <v>101</v>
      </c>
      <c r="K36" s="538">
        <v>1</v>
      </c>
      <c r="L36" s="2493"/>
      <c r="M36" s="2488">
        <v>7.5</v>
      </c>
      <c r="N36" s="2488"/>
      <c r="O36" s="2488"/>
      <c r="P36" s="3553"/>
      <c r="Q36" s="1263" t="str">
        <f t="shared" si="11"/>
        <v>公共部分装修</v>
      </c>
      <c r="R36" s="667" t="s">
        <v>14</v>
      </c>
      <c r="S36" s="668">
        <f t="shared" si="12"/>
        <v>101</v>
      </c>
      <c r="T36" s="667" t="s">
        <v>14</v>
      </c>
      <c r="U36" s="668">
        <f t="shared" si="13"/>
        <v>101</v>
      </c>
      <c r="V36" s="667" t="s">
        <v>14</v>
      </c>
      <c r="W36" s="668">
        <f t="shared" si="14"/>
        <v>101</v>
      </c>
      <c r="X36" s="1265"/>
      <c r="Y36" s="3555"/>
      <c r="Z36" s="1264" t="str">
        <f t="shared" si="15"/>
        <v>公共部分装修</v>
      </c>
      <c r="AA36" s="1264">
        <f t="shared" si="3"/>
        <v>0.99009900990099009</v>
      </c>
      <c r="AB36" s="1264">
        <f t="shared" si="4"/>
        <v>0.99009900990099009</v>
      </c>
      <c r="AC36" s="1812">
        <f t="shared" si="5"/>
        <v>0.99009900990099009</v>
      </c>
    </row>
    <row r="37" spans="1:29" ht="15">
      <c r="A37" s="409"/>
      <c r="B37" s="364" t="s">
        <v>1786</v>
      </c>
      <c r="C37" s="411">
        <v>0.75</v>
      </c>
      <c r="D37" s="374">
        <v>100</v>
      </c>
      <c r="E37" s="411">
        <v>0.75</v>
      </c>
      <c r="F37" s="400">
        <f>LOOKUP(E37,111:111,112:112)-LOOKUP(C37,111:111,112:112)+100</f>
        <v>100</v>
      </c>
      <c r="G37" s="411">
        <v>0.82</v>
      </c>
      <c r="H37" s="400">
        <f>LOOKUP(G37,111:111,112:112)-LOOKUP(C37,111:111,112:112)+100</f>
        <v>101</v>
      </c>
      <c r="I37" s="411">
        <v>0.75</v>
      </c>
      <c r="J37" s="374">
        <f>LOOKUP(I37,111:111,112:112)-LOOKUP(C37,111:111,112:112)+100</f>
        <v>100</v>
      </c>
      <c r="K37" s="538">
        <v>1</v>
      </c>
      <c r="L37" s="2493"/>
      <c r="M37" s="2488">
        <f>C49/M36</f>
        <v>0.90666666666666662</v>
      </c>
      <c r="N37" s="2488"/>
      <c r="O37" s="2488"/>
      <c r="P37" s="3553"/>
      <c r="Q37" s="1263" t="str">
        <f t="shared" si="11"/>
        <v>成新度</v>
      </c>
      <c r="R37" s="667" t="s">
        <v>14</v>
      </c>
      <c r="S37" s="668">
        <f t="shared" si="12"/>
        <v>100</v>
      </c>
      <c r="T37" s="667" t="s">
        <v>14</v>
      </c>
      <c r="U37" s="668">
        <f t="shared" si="13"/>
        <v>101</v>
      </c>
      <c r="V37" s="667" t="s">
        <v>14</v>
      </c>
      <c r="W37" s="668">
        <f t="shared" si="14"/>
        <v>100</v>
      </c>
      <c r="X37" s="1265"/>
      <c r="Y37" s="3555"/>
      <c r="Z37" s="1264" t="str">
        <f t="shared" si="15"/>
        <v>成新度</v>
      </c>
      <c r="AA37" s="1264">
        <f t="shared" si="3"/>
        <v>1</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53"/>
      <c r="Q38" s="530" t="str">
        <f t="shared" si="11"/>
        <v>写字楼等级</v>
      </c>
      <c r="R38" s="664" t="s">
        <v>14</v>
      </c>
      <c r="S38" s="665">
        <f t="shared" si="12"/>
        <v>100</v>
      </c>
      <c r="T38" s="664" t="s">
        <v>14</v>
      </c>
      <c r="U38" s="665">
        <f t="shared" si="13"/>
        <v>100</v>
      </c>
      <c r="V38" s="664" t="s">
        <v>14</v>
      </c>
      <c r="W38" s="665">
        <f t="shared" si="14"/>
        <v>100</v>
      </c>
      <c r="X38" s="666"/>
      <c r="Y38" s="35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f>M36-C49</f>
        <v>0.70000000000000018</v>
      </c>
      <c r="N39" s="2488"/>
      <c r="O39" s="2488"/>
      <c r="P39" s="3553" t="s">
        <v>1696</v>
      </c>
      <c r="Q39" s="1263" t="str">
        <f t="shared" si="11"/>
        <v>物业管理</v>
      </c>
      <c r="R39" s="667" t="s">
        <v>14</v>
      </c>
      <c r="S39" s="668">
        <f t="shared" si="12"/>
        <v>100</v>
      </c>
      <c r="T39" s="667" t="s">
        <v>14</v>
      </c>
      <c r="U39" s="668">
        <f t="shared" si="13"/>
        <v>100</v>
      </c>
      <c r="V39" s="667" t="s">
        <v>14</v>
      </c>
      <c r="W39" s="668">
        <f t="shared" si="14"/>
        <v>100</v>
      </c>
      <c r="X39" s="1265"/>
      <c r="Y39" s="35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f>M39/C49</f>
        <v>0.10294117647058826</v>
      </c>
      <c r="N40" s="2488"/>
      <c r="O40" s="2488"/>
      <c r="P40" s="3553"/>
      <c r="Q40" s="1263" t="str">
        <f t="shared" si="11"/>
        <v>市政基础设施</v>
      </c>
      <c r="R40" s="667" t="s">
        <v>14</v>
      </c>
      <c r="S40" s="668">
        <f t="shared" si="12"/>
        <v>100</v>
      </c>
      <c r="T40" s="667" t="s">
        <v>14</v>
      </c>
      <c r="U40" s="668">
        <f t="shared" si="13"/>
        <v>100</v>
      </c>
      <c r="V40" s="667" t="s">
        <v>14</v>
      </c>
      <c r="W40" s="668">
        <f t="shared" si="14"/>
        <v>100</v>
      </c>
      <c r="X40" s="1265"/>
      <c r="Y40" s="35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53"/>
      <c r="Q41" s="1263" t="str">
        <f t="shared" si="11"/>
        <v>层高</v>
      </c>
      <c r="R41" s="667" t="s">
        <v>14</v>
      </c>
      <c r="S41" s="668">
        <f t="shared" si="12"/>
        <v>100</v>
      </c>
      <c r="T41" s="667" t="s">
        <v>14</v>
      </c>
      <c r="U41" s="668">
        <f t="shared" si="13"/>
        <v>100</v>
      </c>
      <c r="V41" s="667" t="s">
        <v>14</v>
      </c>
      <c r="W41" s="668">
        <f t="shared" si="14"/>
        <v>100</v>
      </c>
      <c r="X41" s="1265"/>
      <c r="Y41" s="35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53"/>
      <c r="Q42" s="531" t="str">
        <f t="shared" si="11"/>
        <v>单套建筑面积</v>
      </c>
      <c r="R42" s="669" t="s">
        <v>14</v>
      </c>
      <c r="S42" s="670">
        <f t="shared" si="12"/>
        <v>100</v>
      </c>
      <c r="T42" s="669" t="s">
        <v>14</v>
      </c>
      <c r="U42" s="670">
        <f t="shared" si="13"/>
        <v>100</v>
      </c>
      <c r="V42" s="669" t="s">
        <v>14</v>
      </c>
      <c r="W42" s="670">
        <f t="shared" si="14"/>
        <v>100</v>
      </c>
      <c r="X42" s="671"/>
      <c r="Y42" s="3555"/>
      <c r="Z42" s="672" t="str">
        <f t="shared" si="15"/>
        <v>单套建筑面积</v>
      </c>
      <c r="AA42" s="1264">
        <f t="shared" si="3"/>
        <v>1</v>
      </c>
      <c r="AB42" s="1264">
        <f t="shared" si="4"/>
        <v>1</v>
      </c>
      <c r="AC42" s="1812">
        <f t="shared" si="5"/>
        <v>1</v>
      </c>
    </row>
    <row r="43" spans="1:29" ht="15">
      <c r="A43" s="409"/>
      <c r="B43" s="364" t="s">
        <v>1792</v>
      </c>
      <c r="C43" s="399" t="s">
        <v>3825</v>
      </c>
      <c r="D43" s="374">
        <v>100</v>
      </c>
      <c r="E43" s="399" t="s">
        <v>3825</v>
      </c>
      <c r="F43" s="400">
        <f>SUMIF(123:123,E43,124:124)-SUMIF(123:123,C43,124:124)+100</f>
        <v>100</v>
      </c>
      <c r="G43" s="399" t="s">
        <v>3825</v>
      </c>
      <c r="H43" s="374">
        <f>SUMIF(123:123,G43,124:124)-SUMIF(123:123,C43,124:124)+100</f>
        <v>100</v>
      </c>
      <c r="I43" s="399" t="s">
        <v>3825</v>
      </c>
      <c r="J43" s="374">
        <f>SUMIF(123:123,I43,124:124)-SUMIF(123:123,C43,124:124)+100</f>
        <v>100</v>
      </c>
      <c r="K43" s="538">
        <v>0</v>
      </c>
      <c r="L43" s="2493"/>
      <c r="M43" s="2488"/>
      <c r="N43" s="2488"/>
      <c r="O43" s="2488"/>
      <c r="P43" s="3553"/>
      <c r="Q43" s="1263" t="str">
        <f t="shared" si="11"/>
        <v>内部装修</v>
      </c>
      <c r="R43" s="667" t="s">
        <v>14</v>
      </c>
      <c r="S43" s="668">
        <f t="shared" si="12"/>
        <v>100</v>
      </c>
      <c r="T43" s="667" t="s">
        <v>14</v>
      </c>
      <c r="U43" s="668">
        <f t="shared" si="13"/>
        <v>100</v>
      </c>
      <c r="V43" s="667" t="s">
        <v>14</v>
      </c>
      <c r="W43" s="668">
        <f t="shared" si="14"/>
        <v>100</v>
      </c>
      <c r="X43" s="1265"/>
      <c r="Y43" s="3555"/>
      <c r="Z43" s="1264" t="str">
        <f t="shared" si="15"/>
        <v>内部装修</v>
      </c>
      <c r="AA43" s="1264">
        <f t="shared" si="3"/>
        <v>1</v>
      </c>
      <c r="AB43" s="1264">
        <f t="shared" si="4"/>
        <v>1</v>
      </c>
      <c r="AC43" s="1812">
        <f t="shared" si="5"/>
        <v>1</v>
      </c>
    </row>
    <row r="44" spans="1:29" ht="15">
      <c r="A44" s="409"/>
      <c r="B44" s="364" t="s">
        <v>1707</v>
      </c>
      <c r="C44" s="399" t="s">
        <v>3807</v>
      </c>
      <c r="D44" s="374">
        <v>100</v>
      </c>
      <c r="E44" s="399" t="s">
        <v>3807</v>
      </c>
      <c r="F44" s="400">
        <f>SUMIF(125:125,E44,126:126)-SUMIF(125:125,C44,126:126)+100</f>
        <v>100</v>
      </c>
      <c r="G44" s="399" t="s">
        <v>3807</v>
      </c>
      <c r="H44" s="374">
        <f>SUMIF(125:125,G44,126:126)-SUMIF(125:125,C44,126:126)+100</f>
        <v>100</v>
      </c>
      <c r="I44" s="399" t="s">
        <v>3807</v>
      </c>
      <c r="J44" s="374">
        <f>SUMIF(125:125,I44,126:126)-SUMIF(125:125,C44,126:126)+100</f>
        <v>100</v>
      </c>
      <c r="K44" s="538">
        <v>1</v>
      </c>
      <c r="L44" s="2493"/>
      <c r="M44" s="2488"/>
      <c r="N44" s="2488"/>
      <c r="O44" s="2488"/>
      <c r="P44" s="3553"/>
      <c r="Q44" s="1263" t="str">
        <f t="shared" si="11"/>
        <v>内部装修维护情况</v>
      </c>
      <c r="R44" s="667" t="s">
        <v>14</v>
      </c>
      <c r="S44" s="668">
        <f t="shared" si="12"/>
        <v>100</v>
      </c>
      <c r="T44" s="667" t="s">
        <v>14</v>
      </c>
      <c r="U44" s="668">
        <f t="shared" si="13"/>
        <v>100</v>
      </c>
      <c r="V44" s="667" t="s">
        <v>14</v>
      </c>
      <c r="W44" s="668">
        <f t="shared" si="14"/>
        <v>100</v>
      </c>
      <c r="X44" s="1265"/>
      <c r="Y44" s="3555"/>
      <c r="Z44" s="1264" t="str">
        <f t="shared" si="15"/>
        <v>内部装修维护情况</v>
      </c>
      <c r="AA44" s="1264">
        <f t="shared" si="3"/>
        <v>1</v>
      </c>
      <c r="AB44" s="1264">
        <f t="shared" si="4"/>
        <v>1</v>
      </c>
      <c r="AC44" s="1812">
        <f t="shared" si="5"/>
        <v>1</v>
      </c>
    </row>
    <row r="45" spans="1:29" s="102" customFormat="1" ht="15">
      <c r="A45" s="410"/>
      <c r="B45" s="3323" t="s">
        <v>3808</v>
      </c>
      <c r="C45" s="411">
        <v>0.85</v>
      </c>
      <c r="D45" s="119">
        <v>100</v>
      </c>
      <c r="E45" s="3324">
        <v>0.7</v>
      </c>
      <c r="F45" s="364">
        <f>SUMIF(127:127,E45,128:128)-SUMIF(127:127,C45,128:128)+100</f>
        <v>97</v>
      </c>
      <c r="G45" s="3324">
        <v>0.7</v>
      </c>
      <c r="H45" s="119">
        <f>SUMIF(127:127,G45,128:128)-SUMIF(127:127,C45,128:128)+100</f>
        <v>97</v>
      </c>
      <c r="I45" s="3324">
        <v>0.7</v>
      </c>
      <c r="J45" s="119">
        <f>SUMIF(127:127,I45,128:128)-SUMIF(127:127,C45,128:128)+100</f>
        <v>97</v>
      </c>
      <c r="K45" s="539"/>
      <c r="L45" s="2489"/>
      <c r="M45" s="2440"/>
      <c r="N45" s="2440"/>
      <c r="O45" s="2440"/>
      <c r="P45" s="3553"/>
      <c r="Q45" s="530" t="str">
        <f t="shared" si="11"/>
        <v>使用率</v>
      </c>
      <c r="R45" s="664" t="s">
        <v>14</v>
      </c>
      <c r="S45" s="665">
        <f t="shared" si="12"/>
        <v>97</v>
      </c>
      <c r="T45" s="664" t="s">
        <v>14</v>
      </c>
      <c r="U45" s="665">
        <f t="shared" si="13"/>
        <v>97</v>
      </c>
      <c r="V45" s="664" t="s">
        <v>14</v>
      </c>
      <c r="W45" s="665">
        <f t="shared" si="14"/>
        <v>97</v>
      </c>
      <c r="X45" s="666"/>
      <c r="Y45" s="3555"/>
      <c r="Z45" s="50" t="str">
        <f t="shared" si="15"/>
        <v>使用率</v>
      </c>
      <c r="AA45" s="50">
        <f t="shared" si="3"/>
        <v>1.0309278350515463</v>
      </c>
      <c r="AB45" s="50">
        <f t="shared" si="4"/>
        <v>1.0309278350515463</v>
      </c>
      <c r="AC45" s="802">
        <f t="shared" si="5"/>
        <v>1.0309278350515463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3332">
        <v>0.9</v>
      </c>
      <c r="M46" s="2488">
        <f>C49*L46</f>
        <v>6.12</v>
      </c>
      <c r="N46" s="2488"/>
      <c r="O46" s="2488"/>
      <c r="P46" s="3553"/>
      <c r="Q46" s="1263">
        <f t="shared" si="11"/>
        <v>111</v>
      </c>
      <c r="R46" s="667" t="s">
        <v>14</v>
      </c>
      <c r="S46" s="668">
        <f t="shared" si="12"/>
        <v>100</v>
      </c>
      <c r="T46" s="667" t="s">
        <v>14</v>
      </c>
      <c r="U46" s="668">
        <f t="shared" si="13"/>
        <v>100</v>
      </c>
      <c r="V46" s="667" t="s">
        <v>14</v>
      </c>
      <c r="W46" s="668">
        <f t="shared" si="14"/>
        <v>100</v>
      </c>
      <c r="X46" s="1265"/>
      <c r="Y46" s="355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3332">
        <v>1.1000000000000001</v>
      </c>
      <c r="M47" s="2488">
        <f>C49*L47</f>
        <v>7.48</v>
      </c>
      <c r="N47" s="2488"/>
      <c r="O47" s="2488"/>
      <c r="P47" s="3554"/>
      <c r="Q47" s="1263">
        <f t="shared" si="11"/>
        <v>111</v>
      </c>
      <c r="R47" s="667" t="s">
        <v>14</v>
      </c>
      <c r="S47" s="668">
        <f t="shared" si="12"/>
        <v>100</v>
      </c>
      <c r="T47" s="667" t="s">
        <v>14</v>
      </c>
      <c r="U47" s="668">
        <f t="shared" si="13"/>
        <v>100</v>
      </c>
      <c r="V47" s="667" t="s">
        <v>14</v>
      </c>
      <c r="W47" s="668">
        <f t="shared" si="14"/>
        <v>100</v>
      </c>
      <c r="X47" s="1265"/>
      <c r="Y47" s="3556"/>
      <c r="Z47" s="1264">
        <f t="shared" si="15"/>
        <v>111</v>
      </c>
      <c r="AA47" s="1264">
        <f t="shared" si="3"/>
        <v>1</v>
      </c>
      <c r="AB47" s="1264">
        <f t="shared" si="4"/>
        <v>1</v>
      </c>
      <c r="AC47" s="1812">
        <f t="shared" si="5"/>
        <v>1</v>
      </c>
    </row>
    <row r="48" spans="1:29" ht="15">
      <c r="A48" s="416" t="s">
        <v>1708</v>
      </c>
      <c r="B48" s="417"/>
      <c r="C48" s="1081" t="s">
        <v>0</v>
      </c>
      <c r="D48" s="418"/>
      <c r="E48" s="419">
        <f>办公租金!N3</f>
        <v>7</v>
      </c>
      <c r="F48" s="420"/>
      <c r="G48" s="421">
        <f>办公租金!N5</f>
        <v>6.65</v>
      </c>
      <c r="H48" s="422"/>
      <c r="I48" s="419">
        <f>办公租金!N6</f>
        <v>7</v>
      </c>
      <c r="J48" s="422"/>
      <c r="K48" s="674"/>
      <c r="L48" s="2495"/>
      <c r="M48" s="2488"/>
      <c r="N48" s="2488"/>
      <c r="O48" s="2488"/>
      <c r="P48" s="3559" t="str">
        <f>A48</f>
        <v>成交单价（元/平方米）</v>
      </c>
      <c r="Q48" s="3548"/>
      <c r="R48" s="3549">
        <f>E48</f>
        <v>7</v>
      </c>
      <c r="S48" s="3549"/>
      <c r="T48" s="3549">
        <f>G48</f>
        <v>6.65</v>
      </c>
      <c r="U48" s="3549"/>
      <c r="V48" s="3549">
        <f>I48</f>
        <v>7</v>
      </c>
      <c r="W48" s="3549"/>
      <c r="X48" s="385"/>
      <c r="Y48" s="673"/>
      <c r="Z48" s="385"/>
      <c r="AA48" s="385"/>
      <c r="AB48" s="385"/>
      <c r="AC48" s="555"/>
    </row>
    <row r="49" spans="1:29" ht="15.75" thickBot="1">
      <c r="A49" s="423" t="s">
        <v>1793</v>
      </c>
      <c r="B49" s="424"/>
      <c r="C49" s="1082">
        <f>R50</f>
        <v>6.8</v>
      </c>
      <c r="D49" s="2141" t="s">
        <v>2138</v>
      </c>
      <c r="E49" s="1083">
        <f>R49</f>
        <v>6.9</v>
      </c>
      <c r="F49" s="2142"/>
      <c r="G49" s="1082">
        <f>T49</f>
        <v>6.5</v>
      </c>
      <c r="H49" s="2142"/>
      <c r="I49" s="1083">
        <f>V49</f>
        <v>6.9</v>
      </c>
      <c r="J49" s="2142"/>
      <c r="K49" s="2144">
        <f>F49+H49+J49</f>
        <v>0</v>
      </c>
      <c r="L49" s="2495"/>
      <c r="M49" s="2488"/>
      <c r="N49" s="2488"/>
      <c r="O49" s="2488"/>
      <c r="P49" s="3559" t="str">
        <f>A49</f>
        <v>比较价值（元/平方米）</v>
      </c>
      <c r="Q49" s="3548"/>
      <c r="R49" s="3549">
        <f>IF(F1="售价",ROUND(PRODUCT(R48,AA7:AA47),0),ROUND(PRODUCT(R48,AA7:AA47),1))</f>
        <v>6.9</v>
      </c>
      <c r="S49" s="3549"/>
      <c r="T49" s="3549">
        <f>IF(F1="售价",ROUND(PRODUCT(T48,AB7:AB47),0),ROUND(PRODUCT(T48,AB7:AB47),1))</f>
        <v>6.5</v>
      </c>
      <c r="U49" s="3549"/>
      <c r="V49" s="3549">
        <f>IF(F1="售价",ROUND(PRODUCT(V48,AC7:AC47),0),ROUND(PRODUCT(V48,AC7:AC47),1))</f>
        <v>6.9</v>
      </c>
      <c r="W49" s="3549"/>
      <c r="X49" s="385"/>
      <c r="Y49" s="385"/>
      <c r="Z49" s="385"/>
      <c r="AA49" s="385"/>
      <c r="AB49" s="385"/>
      <c r="AC49" s="555"/>
    </row>
    <row r="50" spans="1:29" ht="15.75" thickBot="1">
      <c r="A50" s="427" t="s">
        <v>1794</v>
      </c>
      <c r="B50" s="428"/>
      <c r="C50" s="351">
        <f>R50</f>
        <v>6.8</v>
      </c>
      <c r="D50" s="351"/>
      <c r="E50" s="351"/>
      <c r="F50" s="351"/>
      <c r="G50" s="351"/>
      <c r="H50" s="351"/>
      <c r="I50" s="351"/>
      <c r="J50" s="429"/>
      <c r="K50" s="675"/>
      <c r="L50" s="2495"/>
      <c r="M50" s="2488"/>
      <c r="N50" s="2488"/>
      <c r="O50" s="2488"/>
      <c r="P50" s="3591" t="str">
        <f>A50</f>
        <v>估价对象XX用房的比较价值（楼面单价，元/平方米）</v>
      </c>
      <c r="Q50" s="3592"/>
      <c r="R50" s="3593">
        <f>IF(F1="售价",ROUND(IF(D49="简单平均",AVERAGE(R49:V49),R49*F49+T49*H49+V49*J49),0),ROUND(IF(D49="简单平均",AVERAGE(R49:V49),R49*F49+T49*H49+V49*J49),1))</f>
        <v>6.8</v>
      </c>
      <c r="S50" s="3593"/>
      <c r="T50" s="3593"/>
      <c r="U50" s="3593"/>
      <c r="V50" s="3593"/>
      <c r="W50" s="3593"/>
      <c r="X50" s="1798"/>
      <c r="Y50" s="1798"/>
      <c r="Z50" s="1798"/>
      <c r="AA50" s="1798"/>
      <c r="AB50" s="1798"/>
      <c r="AC50" s="1799"/>
    </row>
    <row r="51" spans="1:29">
      <c r="A51" s="2488"/>
      <c r="B51" s="2488"/>
      <c r="C51" s="2488">
        <v>2007</v>
      </c>
      <c r="D51" s="2488"/>
      <c r="E51" s="2488">
        <f>办公租金!O2</f>
        <v>2005</v>
      </c>
      <c r="F51" s="2488"/>
      <c r="G51" s="2488">
        <f>办公租金!O5</f>
        <v>2014</v>
      </c>
      <c r="H51" s="2488"/>
      <c r="I51" s="2488">
        <v>2007</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1.4492753623188248E-2</v>
      </c>
      <c r="F53" s="435" t="str">
        <f>IF(OR(E53&gt;=0.3,E53&lt;=-0.3),"超过30%","")</f>
        <v/>
      </c>
      <c r="G53" s="434">
        <f>IF(G48&lt;G49,G49/G48-1,G48/G49-1)</f>
        <v>2.3076923076923217E-2</v>
      </c>
      <c r="H53" s="435" t="str">
        <f>IF(OR(G53&gt;=0.3,G53&lt;=-0.3),"超过30%","")</f>
        <v/>
      </c>
      <c r="I53" s="434">
        <f>IF(I48&lt;I49,I49/I48-1,I48/I49-1)</f>
        <v>1.4492753623188248E-2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6.1538461538461542E-2</v>
      </c>
      <c r="F54" s="435" t="str">
        <f>IF(OR(E54&gt;=0.2,E54&lt;=-0.2),"超过20%","")</f>
        <v/>
      </c>
      <c r="G54" s="434">
        <f>IF(G49&lt;I49,I49/G49-1,G49/I49-1)</f>
        <v>6.1538461538461542E-2</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5.2631578947368363E-2</v>
      </c>
      <c r="F55" s="435" t="str">
        <f>IF(OR(E55&gt;=0.3,E55&lt;=-0.3),"超过30%","")</f>
        <v/>
      </c>
      <c r="G55" s="434">
        <f>IF(G48&lt;I48,I48/G48-1,G48/I48-1)</f>
        <v>5.2631578947368363E-2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331" t="s">
        <v>3833</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328" t="s">
        <v>3840</v>
      </c>
      <c r="D87" s="3328" t="s">
        <v>3842</v>
      </c>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325" t="s">
        <v>3809</v>
      </c>
      <c r="D101" s="3325" t="s">
        <v>3811</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3000(含)-5000</v>
      </c>
      <c r="H103" s="509" t="str">
        <f t="shared" si="23"/>
        <v>5000(含)-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500</v>
      </c>
      <c r="E104" s="6">
        <v>1000</v>
      </c>
      <c r="F104" s="6">
        <v>2000</v>
      </c>
      <c r="G104" s="6">
        <v>3000</v>
      </c>
      <c r="H104" s="6">
        <v>5000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328" t="s">
        <v>3827</v>
      </c>
      <c r="D108" s="3328" t="s">
        <v>3826</v>
      </c>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328" t="s">
        <v>3827</v>
      </c>
      <c r="D123" s="3328" t="s">
        <v>3826</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使用率</v>
      </c>
      <c r="C127" s="3329">
        <v>0.85</v>
      </c>
      <c r="D127" s="3329">
        <v>0.7</v>
      </c>
      <c r="E127" s="3329"/>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67">
        <v>100</v>
      </c>
      <c r="D128" s="491">
        <v>97</v>
      </c>
      <c r="E128" s="491"/>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84CB-6DC8-4D55-B9A7-1DCCE4405120}">
  <dimension ref="B2:B16"/>
  <sheetViews>
    <sheetView workbookViewId="0">
      <selection activeCell="T33" sqref="T33"/>
    </sheetView>
  </sheetViews>
  <sheetFormatPr defaultRowHeight="13.5"/>
  <sheetData>
    <row r="2" spans="2:2">
      <c r="B2" s="1405" t="s">
        <v>3419</v>
      </c>
    </row>
    <row r="16" spans="2:2">
      <c r="B16" s="1405" t="s">
        <v>3420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估价对象为房地产，为所有。根据《国有土地使用证》[]，估价对象（分摊）出让国有建设用地使用权面积为0平方米，建筑面积为2877.64平方米。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估价对象为房地产,属开发建设的，该项目尚在开发建设中。根据《国有土地使用证》[]，估价对象（分摊）出让国有建设用地使用权面积为0平方米，规划建筑面积为2877.64平方米。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A9F2-ECA7-4696-9F63-66C9515875D0}">
  <dimension ref="A1:BY66"/>
  <sheetViews>
    <sheetView topLeftCell="A31" workbookViewId="0">
      <selection activeCell="G61" sqref="G61"/>
    </sheetView>
  </sheetViews>
  <sheetFormatPr defaultColWidth="9" defaultRowHeight="12"/>
  <cols>
    <col min="1" max="1" width="5.5" style="3183" customWidth="1"/>
    <col min="2" max="2" width="11.25" style="3183" customWidth="1"/>
    <col min="3" max="3" width="32.125" style="3183" customWidth="1"/>
    <col min="4" max="4" width="22.625" style="3183" customWidth="1"/>
    <col min="5" max="5" width="11.25" style="3183" customWidth="1"/>
    <col min="6" max="6" width="12.75" style="3183" customWidth="1"/>
    <col min="7" max="9" width="11.25" style="3183" customWidth="1"/>
    <col min="10" max="10" width="14.25" style="3183" customWidth="1"/>
    <col min="11" max="11" width="11.25" style="3183" customWidth="1"/>
    <col min="12" max="12" width="16.125" style="3183" customWidth="1"/>
    <col min="13" max="14" width="11.25" style="3183" customWidth="1"/>
    <col min="15" max="15" width="60.875" style="3183" customWidth="1"/>
    <col min="16" max="56" width="9" style="3183"/>
    <col min="57" max="57" width="12.375" style="3183" customWidth="1"/>
    <col min="58" max="59" width="9" style="3183"/>
    <col min="60" max="60" width="12.5" style="3183" customWidth="1"/>
    <col min="61" max="256" width="9" style="3183"/>
    <col min="257" max="257" width="5.5" style="3183" customWidth="1"/>
    <col min="258" max="258" width="11.25" style="3183" customWidth="1"/>
    <col min="259" max="259" width="32.125" style="3183" customWidth="1"/>
    <col min="260" max="260" width="13" style="3183" customWidth="1"/>
    <col min="261" max="261" width="11.25" style="3183" customWidth="1"/>
    <col min="262" max="262" width="12.75" style="3183" customWidth="1"/>
    <col min="263" max="265" width="11.25" style="3183" customWidth="1"/>
    <col min="266" max="266" width="14.25" style="3183" customWidth="1"/>
    <col min="267" max="267" width="11.25" style="3183" customWidth="1"/>
    <col min="268" max="268" width="16.125" style="3183" customWidth="1"/>
    <col min="269" max="270" width="11.25" style="3183" customWidth="1"/>
    <col min="271" max="271" width="60.875" style="3183" customWidth="1"/>
    <col min="272" max="512" width="9" style="3183"/>
    <col min="513" max="513" width="5.5" style="3183" customWidth="1"/>
    <col min="514" max="514" width="11.25" style="3183" customWidth="1"/>
    <col min="515" max="515" width="32.125" style="3183" customWidth="1"/>
    <col min="516" max="516" width="13" style="3183" customWidth="1"/>
    <col min="517" max="517" width="11.25" style="3183" customWidth="1"/>
    <col min="518" max="518" width="12.75" style="3183" customWidth="1"/>
    <col min="519" max="521" width="11.25" style="3183" customWidth="1"/>
    <col min="522" max="522" width="14.25" style="3183" customWidth="1"/>
    <col min="523" max="523" width="11.25" style="3183" customWidth="1"/>
    <col min="524" max="524" width="16.125" style="3183" customWidth="1"/>
    <col min="525" max="526" width="11.25" style="3183" customWidth="1"/>
    <col min="527" max="527" width="60.875" style="3183" customWidth="1"/>
    <col min="528" max="768" width="9" style="3183"/>
    <col min="769" max="769" width="5.5" style="3183" customWidth="1"/>
    <col min="770" max="770" width="11.25" style="3183" customWidth="1"/>
    <col min="771" max="771" width="32.125" style="3183" customWidth="1"/>
    <col min="772" max="772" width="13" style="3183" customWidth="1"/>
    <col min="773" max="773" width="11.25" style="3183" customWidth="1"/>
    <col min="774" max="774" width="12.75" style="3183" customWidth="1"/>
    <col min="775" max="777" width="11.25" style="3183" customWidth="1"/>
    <col min="778" max="778" width="14.25" style="3183" customWidth="1"/>
    <col min="779" max="779" width="11.25" style="3183" customWidth="1"/>
    <col min="780" max="780" width="16.125" style="3183" customWidth="1"/>
    <col min="781" max="782" width="11.25" style="3183" customWidth="1"/>
    <col min="783" max="783" width="60.875" style="3183" customWidth="1"/>
    <col min="784" max="1024" width="9" style="3183"/>
    <col min="1025" max="1025" width="5.5" style="3183" customWidth="1"/>
    <col min="1026" max="1026" width="11.25" style="3183" customWidth="1"/>
    <col min="1027" max="1027" width="32.125" style="3183" customWidth="1"/>
    <col min="1028" max="1028" width="13" style="3183" customWidth="1"/>
    <col min="1029" max="1029" width="11.25" style="3183" customWidth="1"/>
    <col min="1030" max="1030" width="12.75" style="3183" customWidth="1"/>
    <col min="1031" max="1033" width="11.25" style="3183" customWidth="1"/>
    <col min="1034" max="1034" width="14.25" style="3183" customWidth="1"/>
    <col min="1035" max="1035" width="11.25" style="3183" customWidth="1"/>
    <col min="1036" max="1036" width="16.125" style="3183" customWidth="1"/>
    <col min="1037" max="1038" width="11.25" style="3183" customWidth="1"/>
    <col min="1039" max="1039" width="60.875" style="3183" customWidth="1"/>
    <col min="1040" max="1280" width="9" style="3183"/>
    <col min="1281" max="1281" width="5.5" style="3183" customWidth="1"/>
    <col min="1282" max="1282" width="11.25" style="3183" customWidth="1"/>
    <col min="1283" max="1283" width="32.125" style="3183" customWidth="1"/>
    <col min="1284" max="1284" width="13" style="3183" customWidth="1"/>
    <col min="1285" max="1285" width="11.25" style="3183" customWidth="1"/>
    <col min="1286" max="1286" width="12.75" style="3183" customWidth="1"/>
    <col min="1287" max="1289" width="11.25" style="3183" customWidth="1"/>
    <col min="1290" max="1290" width="14.25" style="3183" customWidth="1"/>
    <col min="1291" max="1291" width="11.25" style="3183" customWidth="1"/>
    <col min="1292" max="1292" width="16.125" style="3183" customWidth="1"/>
    <col min="1293" max="1294" width="11.25" style="3183" customWidth="1"/>
    <col min="1295" max="1295" width="60.875" style="3183" customWidth="1"/>
    <col min="1296" max="1536" width="9" style="3183"/>
    <col min="1537" max="1537" width="5.5" style="3183" customWidth="1"/>
    <col min="1538" max="1538" width="11.25" style="3183" customWidth="1"/>
    <col min="1539" max="1539" width="32.125" style="3183" customWidth="1"/>
    <col min="1540" max="1540" width="13" style="3183" customWidth="1"/>
    <col min="1541" max="1541" width="11.25" style="3183" customWidth="1"/>
    <col min="1542" max="1542" width="12.75" style="3183" customWidth="1"/>
    <col min="1543" max="1545" width="11.25" style="3183" customWidth="1"/>
    <col min="1546" max="1546" width="14.25" style="3183" customWidth="1"/>
    <col min="1547" max="1547" width="11.25" style="3183" customWidth="1"/>
    <col min="1548" max="1548" width="16.125" style="3183" customWidth="1"/>
    <col min="1549" max="1550" width="11.25" style="3183" customWidth="1"/>
    <col min="1551" max="1551" width="60.875" style="3183" customWidth="1"/>
    <col min="1552" max="1792" width="9" style="3183"/>
    <col min="1793" max="1793" width="5.5" style="3183" customWidth="1"/>
    <col min="1794" max="1794" width="11.25" style="3183" customWidth="1"/>
    <col min="1795" max="1795" width="32.125" style="3183" customWidth="1"/>
    <col min="1796" max="1796" width="13" style="3183" customWidth="1"/>
    <col min="1797" max="1797" width="11.25" style="3183" customWidth="1"/>
    <col min="1798" max="1798" width="12.75" style="3183" customWidth="1"/>
    <col min="1799" max="1801" width="11.25" style="3183" customWidth="1"/>
    <col min="1802" max="1802" width="14.25" style="3183" customWidth="1"/>
    <col min="1803" max="1803" width="11.25" style="3183" customWidth="1"/>
    <col min="1804" max="1804" width="16.125" style="3183" customWidth="1"/>
    <col min="1805" max="1806" width="11.25" style="3183" customWidth="1"/>
    <col min="1807" max="1807" width="60.875" style="3183" customWidth="1"/>
    <col min="1808" max="2048" width="9" style="3183"/>
    <col min="2049" max="2049" width="5.5" style="3183" customWidth="1"/>
    <col min="2050" max="2050" width="11.25" style="3183" customWidth="1"/>
    <col min="2051" max="2051" width="32.125" style="3183" customWidth="1"/>
    <col min="2052" max="2052" width="13" style="3183" customWidth="1"/>
    <col min="2053" max="2053" width="11.25" style="3183" customWidth="1"/>
    <col min="2054" max="2054" width="12.75" style="3183" customWidth="1"/>
    <col min="2055" max="2057" width="11.25" style="3183" customWidth="1"/>
    <col min="2058" max="2058" width="14.25" style="3183" customWidth="1"/>
    <col min="2059" max="2059" width="11.25" style="3183" customWidth="1"/>
    <col min="2060" max="2060" width="16.125" style="3183" customWidth="1"/>
    <col min="2061" max="2062" width="11.25" style="3183" customWidth="1"/>
    <col min="2063" max="2063" width="60.875" style="3183" customWidth="1"/>
    <col min="2064" max="2304" width="9" style="3183"/>
    <col min="2305" max="2305" width="5.5" style="3183" customWidth="1"/>
    <col min="2306" max="2306" width="11.25" style="3183" customWidth="1"/>
    <col min="2307" max="2307" width="32.125" style="3183" customWidth="1"/>
    <col min="2308" max="2308" width="13" style="3183" customWidth="1"/>
    <col min="2309" max="2309" width="11.25" style="3183" customWidth="1"/>
    <col min="2310" max="2310" width="12.75" style="3183" customWidth="1"/>
    <col min="2311" max="2313" width="11.25" style="3183" customWidth="1"/>
    <col min="2314" max="2314" width="14.25" style="3183" customWidth="1"/>
    <col min="2315" max="2315" width="11.25" style="3183" customWidth="1"/>
    <col min="2316" max="2316" width="16.125" style="3183" customWidth="1"/>
    <col min="2317" max="2318" width="11.25" style="3183" customWidth="1"/>
    <col min="2319" max="2319" width="60.875" style="3183" customWidth="1"/>
    <col min="2320" max="2560" width="9" style="3183"/>
    <col min="2561" max="2561" width="5.5" style="3183" customWidth="1"/>
    <col min="2562" max="2562" width="11.25" style="3183" customWidth="1"/>
    <col min="2563" max="2563" width="32.125" style="3183" customWidth="1"/>
    <col min="2564" max="2564" width="13" style="3183" customWidth="1"/>
    <col min="2565" max="2565" width="11.25" style="3183" customWidth="1"/>
    <col min="2566" max="2566" width="12.75" style="3183" customWidth="1"/>
    <col min="2567" max="2569" width="11.25" style="3183" customWidth="1"/>
    <col min="2570" max="2570" width="14.25" style="3183" customWidth="1"/>
    <col min="2571" max="2571" width="11.25" style="3183" customWidth="1"/>
    <col min="2572" max="2572" width="16.125" style="3183" customWidth="1"/>
    <col min="2573" max="2574" width="11.25" style="3183" customWidth="1"/>
    <col min="2575" max="2575" width="60.875" style="3183" customWidth="1"/>
    <col min="2576" max="2816" width="9" style="3183"/>
    <col min="2817" max="2817" width="5.5" style="3183" customWidth="1"/>
    <col min="2818" max="2818" width="11.25" style="3183" customWidth="1"/>
    <col min="2819" max="2819" width="32.125" style="3183" customWidth="1"/>
    <col min="2820" max="2820" width="13" style="3183" customWidth="1"/>
    <col min="2821" max="2821" width="11.25" style="3183" customWidth="1"/>
    <col min="2822" max="2822" width="12.75" style="3183" customWidth="1"/>
    <col min="2823" max="2825" width="11.25" style="3183" customWidth="1"/>
    <col min="2826" max="2826" width="14.25" style="3183" customWidth="1"/>
    <col min="2827" max="2827" width="11.25" style="3183" customWidth="1"/>
    <col min="2828" max="2828" width="16.125" style="3183" customWidth="1"/>
    <col min="2829" max="2830" width="11.25" style="3183" customWidth="1"/>
    <col min="2831" max="2831" width="60.875" style="3183" customWidth="1"/>
    <col min="2832" max="3072" width="9" style="3183"/>
    <col min="3073" max="3073" width="5.5" style="3183" customWidth="1"/>
    <col min="3074" max="3074" width="11.25" style="3183" customWidth="1"/>
    <col min="3075" max="3075" width="32.125" style="3183" customWidth="1"/>
    <col min="3076" max="3076" width="13" style="3183" customWidth="1"/>
    <col min="3077" max="3077" width="11.25" style="3183" customWidth="1"/>
    <col min="3078" max="3078" width="12.75" style="3183" customWidth="1"/>
    <col min="3079" max="3081" width="11.25" style="3183" customWidth="1"/>
    <col min="3082" max="3082" width="14.25" style="3183" customWidth="1"/>
    <col min="3083" max="3083" width="11.25" style="3183" customWidth="1"/>
    <col min="3084" max="3084" width="16.125" style="3183" customWidth="1"/>
    <col min="3085" max="3086" width="11.25" style="3183" customWidth="1"/>
    <col min="3087" max="3087" width="60.875" style="3183" customWidth="1"/>
    <col min="3088" max="3328" width="9" style="3183"/>
    <col min="3329" max="3329" width="5.5" style="3183" customWidth="1"/>
    <col min="3330" max="3330" width="11.25" style="3183" customWidth="1"/>
    <col min="3331" max="3331" width="32.125" style="3183" customWidth="1"/>
    <col min="3332" max="3332" width="13" style="3183" customWidth="1"/>
    <col min="3333" max="3333" width="11.25" style="3183" customWidth="1"/>
    <col min="3334" max="3334" width="12.75" style="3183" customWidth="1"/>
    <col min="3335" max="3337" width="11.25" style="3183" customWidth="1"/>
    <col min="3338" max="3338" width="14.25" style="3183" customWidth="1"/>
    <col min="3339" max="3339" width="11.25" style="3183" customWidth="1"/>
    <col min="3340" max="3340" width="16.125" style="3183" customWidth="1"/>
    <col min="3341" max="3342" width="11.25" style="3183" customWidth="1"/>
    <col min="3343" max="3343" width="60.875" style="3183" customWidth="1"/>
    <col min="3344" max="3584" width="9" style="3183"/>
    <col min="3585" max="3585" width="5.5" style="3183" customWidth="1"/>
    <col min="3586" max="3586" width="11.25" style="3183" customWidth="1"/>
    <col min="3587" max="3587" width="32.125" style="3183" customWidth="1"/>
    <col min="3588" max="3588" width="13" style="3183" customWidth="1"/>
    <col min="3589" max="3589" width="11.25" style="3183" customWidth="1"/>
    <col min="3590" max="3590" width="12.75" style="3183" customWidth="1"/>
    <col min="3591" max="3593" width="11.25" style="3183" customWidth="1"/>
    <col min="3594" max="3594" width="14.25" style="3183" customWidth="1"/>
    <col min="3595" max="3595" width="11.25" style="3183" customWidth="1"/>
    <col min="3596" max="3596" width="16.125" style="3183" customWidth="1"/>
    <col min="3597" max="3598" width="11.25" style="3183" customWidth="1"/>
    <col min="3599" max="3599" width="60.875" style="3183" customWidth="1"/>
    <col min="3600" max="3840" width="9" style="3183"/>
    <col min="3841" max="3841" width="5.5" style="3183" customWidth="1"/>
    <col min="3842" max="3842" width="11.25" style="3183" customWidth="1"/>
    <col min="3843" max="3843" width="32.125" style="3183" customWidth="1"/>
    <col min="3844" max="3844" width="13" style="3183" customWidth="1"/>
    <col min="3845" max="3845" width="11.25" style="3183" customWidth="1"/>
    <col min="3846" max="3846" width="12.75" style="3183" customWidth="1"/>
    <col min="3847" max="3849" width="11.25" style="3183" customWidth="1"/>
    <col min="3850" max="3850" width="14.25" style="3183" customWidth="1"/>
    <col min="3851" max="3851" width="11.25" style="3183" customWidth="1"/>
    <col min="3852" max="3852" width="16.125" style="3183" customWidth="1"/>
    <col min="3853" max="3854" width="11.25" style="3183" customWidth="1"/>
    <col min="3855" max="3855" width="60.875" style="3183" customWidth="1"/>
    <col min="3856" max="4096" width="9" style="3183"/>
    <col min="4097" max="4097" width="5.5" style="3183" customWidth="1"/>
    <col min="4098" max="4098" width="11.25" style="3183" customWidth="1"/>
    <col min="4099" max="4099" width="32.125" style="3183" customWidth="1"/>
    <col min="4100" max="4100" width="13" style="3183" customWidth="1"/>
    <col min="4101" max="4101" width="11.25" style="3183" customWidth="1"/>
    <col min="4102" max="4102" width="12.75" style="3183" customWidth="1"/>
    <col min="4103" max="4105" width="11.25" style="3183" customWidth="1"/>
    <col min="4106" max="4106" width="14.25" style="3183" customWidth="1"/>
    <col min="4107" max="4107" width="11.25" style="3183" customWidth="1"/>
    <col min="4108" max="4108" width="16.125" style="3183" customWidth="1"/>
    <col min="4109" max="4110" width="11.25" style="3183" customWidth="1"/>
    <col min="4111" max="4111" width="60.875" style="3183" customWidth="1"/>
    <col min="4112" max="4352" width="9" style="3183"/>
    <col min="4353" max="4353" width="5.5" style="3183" customWidth="1"/>
    <col min="4354" max="4354" width="11.25" style="3183" customWidth="1"/>
    <col min="4355" max="4355" width="32.125" style="3183" customWidth="1"/>
    <col min="4356" max="4356" width="13" style="3183" customWidth="1"/>
    <col min="4357" max="4357" width="11.25" style="3183" customWidth="1"/>
    <col min="4358" max="4358" width="12.75" style="3183" customWidth="1"/>
    <col min="4359" max="4361" width="11.25" style="3183" customWidth="1"/>
    <col min="4362" max="4362" width="14.25" style="3183" customWidth="1"/>
    <col min="4363" max="4363" width="11.25" style="3183" customWidth="1"/>
    <col min="4364" max="4364" width="16.125" style="3183" customWidth="1"/>
    <col min="4365" max="4366" width="11.25" style="3183" customWidth="1"/>
    <col min="4367" max="4367" width="60.875" style="3183" customWidth="1"/>
    <col min="4368" max="4608" width="9" style="3183"/>
    <col min="4609" max="4609" width="5.5" style="3183" customWidth="1"/>
    <col min="4610" max="4610" width="11.25" style="3183" customWidth="1"/>
    <col min="4611" max="4611" width="32.125" style="3183" customWidth="1"/>
    <col min="4612" max="4612" width="13" style="3183" customWidth="1"/>
    <col min="4613" max="4613" width="11.25" style="3183" customWidth="1"/>
    <col min="4614" max="4614" width="12.75" style="3183" customWidth="1"/>
    <col min="4615" max="4617" width="11.25" style="3183" customWidth="1"/>
    <col min="4618" max="4618" width="14.25" style="3183" customWidth="1"/>
    <col min="4619" max="4619" width="11.25" style="3183" customWidth="1"/>
    <col min="4620" max="4620" width="16.125" style="3183" customWidth="1"/>
    <col min="4621" max="4622" width="11.25" style="3183" customWidth="1"/>
    <col min="4623" max="4623" width="60.875" style="3183" customWidth="1"/>
    <col min="4624" max="4864" width="9" style="3183"/>
    <col min="4865" max="4865" width="5.5" style="3183" customWidth="1"/>
    <col min="4866" max="4866" width="11.25" style="3183" customWidth="1"/>
    <col min="4867" max="4867" width="32.125" style="3183" customWidth="1"/>
    <col min="4868" max="4868" width="13" style="3183" customWidth="1"/>
    <col min="4869" max="4869" width="11.25" style="3183" customWidth="1"/>
    <col min="4870" max="4870" width="12.75" style="3183" customWidth="1"/>
    <col min="4871" max="4873" width="11.25" style="3183" customWidth="1"/>
    <col min="4874" max="4874" width="14.25" style="3183" customWidth="1"/>
    <col min="4875" max="4875" width="11.25" style="3183" customWidth="1"/>
    <col min="4876" max="4876" width="16.125" style="3183" customWidth="1"/>
    <col min="4877" max="4878" width="11.25" style="3183" customWidth="1"/>
    <col min="4879" max="4879" width="60.875" style="3183" customWidth="1"/>
    <col min="4880" max="5120" width="9" style="3183"/>
    <col min="5121" max="5121" width="5.5" style="3183" customWidth="1"/>
    <col min="5122" max="5122" width="11.25" style="3183" customWidth="1"/>
    <col min="5123" max="5123" width="32.125" style="3183" customWidth="1"/>
    <col min="5124" max="5124" width="13" style="3183" customWidth="1"/>
    <col min="5125" max="5125" width="11.25" style="3183" customWidth="1"/>
    <col min="5126" max="5126" width="12.75" style="3183" customWidth="1"/>
    <col min="5127" max="5129" width="11.25" style="3183" customWidth="1"/>
    <col min="5130" max="5130" width="14.25" style="3183" customWidth="1"/>
    <col min="5131" max="5131" width="11.25" style="3183" customWidth="1"/>
    <col min="5132" max="5132" width="16.125" style="3183" customWidth="1"/>
    <col min="5133" max="5134" width="11.25" style="3183" customWidth="1"/>
    <col min="5135" max="5135" width="60.875" style="3183" customWidth="1"/>
    <col min="5136" max="5376" width="9" style="3183"/>
    <col min="5377" max="5377" width="5.5" style="3183" customWidth="1"/>
    <col min="5378" max="5378" width="11.25" style="3183" customWidth="1"/>
    <col min="5379" max="5379" width="32.125" style="3183" customWidth="1"/>
    <col min="5380" max="5380" width="13" style="3183" customWidth="1"/>
    <col min="5381" max="5381" width="11.25" style="3183" customWidth="1"/>
    <col min="5382" max="5382" width="12.75" style="3183" customWidth="1"/>
    <col min="5383" max="5385" width="11.25" style="3183" customWidth="1"/>
    <col min="5386" max="5386" width="14.25" style="3183" customWidth="1"/>
    <col min="5387" max="5387" width="11.25" style="3183" customWidth="1"/>
    <col min="5388" max="5388" width="16.125" style="3183" customWidth="1"/>
    <col min="5389" max="5390" width="11.25" style="3183" customWidth="1"/>
    <col min="5391" max="5391" width="60.875" style="3183" customWidth="1"/>
    <col min="5392" max="5632" width="9" style="3183"/>
    <col min="5633" max="5633" width="5.5" style="3183" customWidth="1"/>
    <col min="5634" max="5634" width="11.25" style="3183" customWidth="1"/>
    <col min="5635" max="5635" width="32.125" style="3183" customWidth="1"/>
    <col min="5636" max="5636" width="13" style="3183" customWidth="1"/>
    <col min="5637" max="5637" width="11.25" style="3183" customWidth="1"/>
    <col min="5638" max="5638" width="12.75" style="3183" customWidth="1"/>
    <col min="5639" max="5641" width="11.25" style="3183" customWidth="1"/>
    <col min="5642" max="5642" width="14.25" style="3183" customWidth="1"/>
    <col min="5643" max="5643" width="11.25" style="3183" customWidth="1"/>
    <col min="5644" max="5644" width="16.125" style="3183" customWidth="1"/>
    <col min="5645" max="5646" width="11.25" style="3183" customWidth="1"/>
    <col min="5647" max="5647" width="60.875" style="3183" customWidth="1"/>
    <col min="5648" max="5888" width="9" style="3183"/>
    <col min="5889" max="5889" width="5.5" style="3183" customWidth="1"/>
    <col min="5890" max="5890" width="11.25" style="3183" customWidth="1"/>
    <col min="5891" max="5891" width="32.125" style="3183" customWidth="1"/>
    <col min="5892" max="5892" width="13" style="3183" customWidth="1"/>
    <col min="5893" max="5893" width="11.25" style="3183" customWidth="1"/>
    <col min="5894" max="5894" width="12.75" style="3183" customWidth="1"/>
    <col min="5895" max="5897" width="11.25" style="3183" customWidth="1"/>
    <col min="5898" max="5898" width="14.25" style="3183" customWidth="1"/>
    <col min="5899" max="5899" width="11.25" style="3183" customWidth="1"/>
    <col min="5900" max="5900" width="16.125" style="3183" customWidth="1"/>
    <col min="5901" max="5902" width="11.25" style="3183" customWidth="1"/>
    <col min="5903" max="5903" width="60.875" style="3183" customWidth="1"/>
    <col min="5904" max="6144" width="9" style="3183"/>
    <col min="6145" max="6145" width="5.5" style="3183" customWidth="1"/>
    <col min="6146" max="6146" width="11.25" style="3183" customWidth="1"/>
    <col min="6147" max="6147" width="32.125" style="3183" customWidth="1"/>
    <col min="6148" max="6148" width="13" style="3183" customWidth="1"/>
    <col min="6149" max="6149" width="11.25" style="3183" customWidth="1"/>
    <col min="6150" max="6150" width="12.75" style="3183" customWidth="1"/>
    <col min="6151" max="6153" width="11.25" style="3183" customWidth="1"/>
    <col min="6154" max="6154" width="14.25" style="3183" customWidth="1"/>
    <col min="6155" max="6155" width="11.25" style="3183" customWidth="1"/>
    <col min="6156" max="6156" width="16.125" style="3183" customWidth="1"/>
    <col min="6157" max="6158" width="11.25" style="3183" customWidth="1"/>
    <col min="6159" max="6159" width="60.875" style="3183" customWidth="1"/>
    <col min="6160" max="6400" width="9" style="3183"/>
    <col min="6401" max="6401" width="5.5" style="3183" customWidth="1"/>
    <col min="6402" max="6402" width="11.25" style="3183" customWidth="1"/>
    <col min="6403" max="6403" width="32.125" style="3183" customWidth="1"/>
    <col min="6404" max="6404" width="13" style="3183" customWidth="1"/>
    <col min="6405" max="6405" width="11.25" style="3183" customWidth="1"/>
    <col min="6406" max="6406" width="12.75" style="3183" customWidth="1"/>
    <col min="6407" max="6409" width="11.25" style="3183" customWidth="1"/>
    <col min="6410" max="6410" width="14.25" style="3183" customWidth="1"/>
    <col min="6411" max="6411" width="11.25" style="3183" customWidth="1"/>
    <col min="6412" max="6412" width="16.125" style="3183" customWidth="1"/>
    <col min="6413" max="6414" width="11.25" style="3183" customWidth="1"/>
    <col min="6415" max="6415" width="60.875" style="3183" customWidth="1"/>
    <col min="6416" max="6656" width="9" style="3183"/>
    <col min="6657" max="6657" width="5.5" style="3183" customWidth="1"/>
    <col min="6658" max="6658" width="11.25" style="3183" customWidth="1"/>
    <col min="6659" max="6659" width="32.125" style="3183" customWidth="1"/>
    <col min="6660" max="6660" width="13" style="3183" customWidth="1"/>
    <col min="6661" max="6661" width="11.25" style="3183" customWidth="1"/>
    <col min="6662" max="6662" width="12.75" style="3183" customWidth="1"/>
    <col min="6663" max="6665" width="11.25" style="3183" customWidth="1"/>
    <col min="6666" max="6666" width="14.25" style="3183" customWidth="1"/>
    <col min="6667" max="6667" width="11.25" style="3183" customWidth="1"/>
    <col min="6668" max="6668" width="16.125" style="3183" customWidth="1"/>
    <col min="6669" max="6670" width="11.25" style="3183" customWidth="1"/>
    <col min="6671" max="6671" width="60.875" style="3183" customWidth="1"/>
    <col min="6672" max="6912" width="9" style="3183"/>
    <col min="6913" max="6913" width="5.5" style="3183" customWidth="1"/>
    <col min="6914" max="6914" width="11.25" style="3183" customWidth="1"/>
    <col min="6915" max="6915" width="32.125" style="3183" customWidth="1"/>
    <col min="6916" max="6916" width="13" style="3183" customWidth="1"/>
    <col min="6917" max="6917" width="11.25" style="3183" customWidth="1"/>
    <col min="6918" max="6918" width="12.75" style="3183" customWidth="1"/>
    <col min="6919" max="6921" width="11.25" style="3183" customWidth="1"/>
    <col min="6922" max="6922" width="14.25" style="3183" customWidth="1"/>
    <col min="6923" max="6923" width="11.25" style="3183" customWidth="1"/>
    <col min="6924" max="6924" width="16.125" style="3183" customWidth="1"/>
    <col min="6925" max="6926" width="11.25" style="3183" customWidth="1"/>
    <col min="6927" max="6927" width="60.875" style="3183" customWidth="1"/>
    <col min="6928" max="7168" width="9" style="3183"/>
    <col min="7169" max="7169" width="5.5" style="3183" customWidth="1"/>
    <col min="7170" max="7170" width="11.25" style="3183" customWidth="1"/>
    <col min="7171" max="7171" width="32.125" style="3183" customWidth="1"/>
    <col min="7172" max="7172" width="13" style="3183" customWidth="1"/>
    <col min="7173" max="7173" width="11.25" style="3183" customWidth="1"/>
    <col min="7174" max="7174" width="12.75" style="3183" customWidth="1"/>
    <col min="7175" max="7177" width="11.25" style="3183" customWidth="1"/>
    <col min="7178" max="7178" width="14.25" style="3183" customWidth="1"/>
    <col min="7179" max="7179" width="11.25" style="3183" customWidth="1"/>
    <col min="7180" max="7180" width="16.125" style="3183" customWidth="1"/>
    <col min="7181" max="7182" width="11.25" style="3183" customWidth="1"/>
    <col min="7183" max="7183" width="60.875" style="3183" customWidth="1"/>
    <col min="7184" max="7424" width="9" style="3183"/>
    <col min="7425" max="7425" width="5.5" style="3183" customWidth="1"/>
    <col min="7426" max="7426" width="11.25" style="3183" customWidth="1"/>
    <col min="7427" max="7427" width="32.125" style="3183" customWidth="1"/>
    <col min="7428" max="7428" width="13" style="3183" customWidth="1"/>
    <col min="7429" max="7429" width="11.25" style="3183" customWidth="1"/>
    <col min="7430" max="7430" width="12.75" style="3183" customWidth="1"/>
    <col min="7431" max="7433" width="11.25" style="3183" customWidth="1"/>
    <col min="7434" max="7434" width="14.25" style="3183" customWidth="1"/>
    <col min="7435" max="7435" width="11.25" style="3183" customWidth="1"/>
    <col min="7436" max="7436" width="16.125" style="3183" customWidth="1"/>
    <col min="7437" max="7438" width="11.25" style="3183" customWidth="1"/>
    <col min="7439" max="7439" width="60.875" style="3183" customWidth="1"/>
    <col min="7440" max="7680" width="9" style="3183"/>
    <col min="7681" max="7681" width="5.5" style="3183" customWidth="1"/>
    <col min="7682" max="7682" width="11.25" style="3183" customWidth="1"/>
    <col min="7683" max="7683" width="32.125" style="3183" customWidth="1"/>
    <col min="7684" max="7684" width="13" style="3183" customWidth="1"/>
    <col min="7685" max="7685" width="11.25" style="3183" customWidth="1"/>
    <col min="7686" max="7686" width="12.75" style="3183" customWidth="1"/>
    <col min="7687" max="7689" width="11.25" style="3183" customWidth="1"/>
    <col min="7690" max="7690" width="14.25" style="3183" customWidth="1"/>
    <col min="7691" max="7691" width="11.25" style="3183" customWidth="1"/>
    <col min="7692" max="7692" width="16.125" style="3183" customWidth="1"/>
    <col min="7693" max="7694" width="11.25" style="3183" customWidth="1"/>
    <col min="7695" max="7695" width="60.875" style="3183" customWidth="1"/>
    <col min="7696" max="7936" width="9" style="3183"/>
    <col min="7937" max="7937" width="5.5" style="3183" customWidth="1"/>
    <col min="7938" max="7938" width="11.25" style="3183" customWidth="1"/>
    <col min="7939" max="7939" width="32.125" style="3183" customWidth="1"/>
    <col min="7940" max="7940" width="13" style="3183" customWidth="1"/>
    <col min="7941" max="7941" width="11.25" style="3183" customWidth="1"/>
    <col min="7942" max="7942" width="12.75" style="3183" customWidth="1"/>
    <col min="7943" max="7945" width="11.25" style="3183" customWidth="1"/>
    <col min="7946" max="7946" width="14.25" style="3183" customWidth="1"/>
    <col min="7947" max="7947" width="11.25" style="3183" customWidth="1"/>
    <col min="7948" max="7948" width="16.125" style="3183" customWidth="1"/>
    <col min="7949" max="7950" width="11.25" style="3183" customWidth="1"/>
    <col min="7951" max="7951" width="60.875" style="3183" customWidth="1"/>
    <col min="7952" max="8192" width="9" style="3183"/>
    <col min="8193" max="8193" width="5.5" style="3183" customWidth="1"/>
    <col min="8194" max="8194" width="11.25" style="3183" customWidth="1"/>
    <col min="8195" max="8195" width="32.125" style="3183" customWidth="1"/>
    <col min="8196" max="8196" width="13" style="3183" customWidth="1"/>
    <col min="8197" max="8197" width="11.25" style="3183" customWidth="1"/>
    <col min="8198" max="8198" width="12.75" style="3183" customWidth="1"/>
    <col min="8199" max="8201" width="11.25" style="3183" customWidth="1"/>
    <col min="8202" max="8202" width="14.25" style="3183" customWidth="1"/>
    <col min="8203" max="8203" width="11.25" style="3183" customWidth="1"/>
    <col min="8204" max="8204" width="16.125" style="3183" customWidth="1"/>
    <col min="8205" max="8206" width="11.25" style="3183" customWidth="1"/>
    <col min="8207" max="8207" width="60.875" style="3183" customWidth="1"/>
    <col min="8208" max="8448" width="9" style="3183"/>
    <col min="8449" max="8449" width="5.5" style="3183" customWidth="1"/>
    <col min="8450" max="8450" width="11.25" style="3183" customWidth="1"/>
    <col min="8451" max="8451" width="32.125" style="3183" customWidth="1"/>
    <col min="8452" max="8452" width="13" style="3183" customWidth="1"/>
    <col min="8453" max="8453" width="11.25" style="3183" customWidth="1"/>
    <col min="8454" max="8454" width="12.75" style="3183" customWidth="1"/>
    <col min="8455" max="8457" width="11.25" style="3183" customWidth="1"/>
    <col min="8458" max="8458" width="14.25" style="3183" customWidth="1"/>
    <col min="8459" max="8459" width="11.25" style="3183" customWidth="1"/>
    <col min="8460" max="8460" width="16.125" style="3183" customWidth="1"/>
    <col min="8461" max="8462" width="11.25" style="3183" customWidth="1"/>
    <col min="8463" max="8463" width="60.875" style="3183" customWidth="1"/>
    <col min="8464" max="8704" width="9" style="3183"/>
    <col min="8705" max="8705" width="5.5" style="3183" customWidth="1"/>
    <col min="8706" max="8706" width="11.25" style="3183" customWidth="1"/>
    <col min="8707" max="8707" width="32.125" style="3183" customWidth="1"/>
    <col min="8708" max="8708" width="13" style="3183" customWidth="1"/>
    <col min="8709" max="8709" width="11.25" style="3183" customWidth="1"/>
    <col min="8710" max="8710" width="12.75" style="3183" customWidth="1"/>
    <col min="8711" max="8713" width="11.25" style="3183" customWidth="1"/>
    <col min="8714" max="8714" width="14.25" style="3183" customWidth="1"/>
    <col min="8715" max="8715" width="11.25" style="3183" customWidth="1"/>
    <col min="8716" max="8716" width="16.125" style="3183" customWidth="1"/>
    <col min="8717" max="8718" width="11.25" style="3183" customWidth="1"/>
    <col min="8719" max="8719" width="60.875" style="3183" customWidth="1"/>
    <col min="8720" max="8960" width="9" style="3183"/>
    <col min="8961" max="8961" width="5.5" style="3183" customWidth="1"/>
    <col min="8962" max="8962" width="11.25" style="3183" customWidth="1"/>
    <col min="8963" max="8963" width="32.125" style="3183" customWidth="1"/>
    <col min="8964" max="8964" width="13" style="3183" customWidth="1"/>
    <col min="8965" max="8965" width="11.25" style="3183" customWidth="1"/>
    <col min="8966" max="8966" width="12.75" style="3183" customWidth="1"/>
    <col min="8967" max="8969" width="11.25" style="3183" customWidth="1"/>
    <col min="8970" max="8970" width="14.25" style="3183" customWidth="1"/>
    <col min="8971" max="8971" width="11.25" style="3183" customWidth="1"/>
    <col min="8972" max="8972" width="16.125" style="3183" customWidth="1"/>
    <col min="8973" max="8974" width="11.25" style="3183" customWidth="1"/>
    <col min="8975" max="8975" width="60.875" style="3183" customWidth="1"/>
    <col min="8976" max="9216" width="9" style="3183"/>
    <col min="9217" max="9217" width="5.5" style="3183" customWidth="1"/>
    <col min="9218" max="9218" width="11.25" style="3183" customWidth="1"/>
    <col min="9219" max="9219" width="32.125" style="3183" customWidth="1"/>
    <col min="9220" max="9220" width="13" style="3183" customWidth="1"/>
    <col min="9221" max="9221" width="11.25" style="3183" customWidth="1"/>
    <col min="9222" max="9222" width="12.75" style="3183" customWidth="1"/>
    <col min="9223" max="9225" width="11.25" style="3183" customWidth="1"/>
    <col min="9226" max="9226" width="14.25" style="3183" customWidth="1"/>
    <col min="9227" max="9227" width="11.25" style="3183" customWidth="1"/>
    <col min="9228" max="9228" width="16.125" style="3183" customWidth="1"/>
    <col min="9229" max="9230" width="11.25" style="3183" customWidth="1"/>
    <col min="9231" max="9231" width="60.875" style="3183" customWidth="1"/>
    <col min="9232" max="9472" width="9" style="3183"/>
    <col min="9473" max="9473" width="5.5" style="3183" customWidth="1"/>
    <col min="9474" max="9474" width="11.25" style="3183" customWidth="1"/>
    <col min="9475" max="9475" width="32.125" style="3183" customWidth="1"/>
    <col min="9476" max="9476" width="13" style="3183" customWidth="1"/>
    <col min="9477" max="9477" width="11.25" style="3183" customWidth="1"/>
    <col min="9478" max="9478" width="12.75" style="3183" customWidth="1"/>
    <col min="9479" max="9481" width="11.25" style="3183" customWidth="1"/>
    <col min="9482" max="9482" width="14.25" style="3183" customWidth="1"/>
    <col min="9483" max="9483" width="11.25" style="3183" customWidth="1"/>
    <col min="9484" max="9484" width="16.125" style="3183" customWidth="1"/>
    <col min="9485" max="9486" width="11.25" style="3183" customWidth="1"/>
    <col min="9487" max="9487" width="60.875" style="3183" customWidth="1"/>
    <col min="9488" max="9728" width="9" style="3183"/>
    <col min="9729" max="9729" width="5.5" style="3183" customWidth="1"/>
    <col min="9730" max="9730" width="11.25" style="3183" customWidth="1"/>
    <col min="9731" max="9731" width="32.125" style="3183" customWidth="1"/>
    <col min="9732" max="9732" width="13" style="3183" customWidth="1"/>
    <col min="9733" max="9733" width="11.25" style="3183" customWidth="1"/>
    <col min="9734" max="9734" width="12.75" style="3183" customWidth="1"/>
    <col min="9735" max="9737" width="11.25" style="3183" customWidth="1"/>
    <col min="9738" max="9738" width="14.25" style="3183" customWidth="1"/>
    <col min="9739" max="9739" width="11.25" style="3183" customWidth="1"/>
    <col min="9740" max="9740" width="16.125" style="3183" customWidth="1"/>
    <col min="9741" max="9742" width="11.25" style="3183" customWidth="1"/>
    <col min="9743" max="9743" width="60.875" style="3183" customWidth="1"/>
    <col min="9744" max="9984" width="9" style="3183"/>
    <col min="9985" max="9985" width="5.5" style="3183" customWidth="1"/>
    <col min="9986" max="9986" width="11.25" style="3183" customWidth="1"/>
    <col min="9987" max="9987" width="32.125" style="3183" customWidth="1"/>
    <col min="9988" max="9988" width="13" style="3183" customWidth="1"/>
    <col min="9989" max="9989" width="11.25" style="3183" customWidth="1"/>
    <col min="9990" max="9990" width="12.75" style="3183" customWidth="1"/>
    <col min="9991" max="9993" width="11.25" style="3183" customWidth="1"/>
    <col min="9994" max="9994" width="14.25" style="3183" customWidth="1"/>
    <col min="9995" max="9995" width="11.25" style="3183" customWidth="1"/>
    <col min="9996" max="9996" width="16.125" style="3183" customWidth="1"/>
    <col min="9997" max="9998" width="11.25" style="3183" customWidth="1"/>
    <col min="9999" max="9999" width="60.875" style="3183" customWidth="1"/>
    <col min="10000" max="10240" width="9" style="3183"/>
    <col min="10241" max="10241" width="5.5" style="3183" customWidth="1"/>
    <col min="10242" max="10242" width="11.25" style="3183" customWidth="1"/>
    <col min="10243" max="10243" width="32.125" style="3183" customWidth="1"/>
    <col min="10244" max="10244" width="13" style="3183" customWidth="1"/>
    <col min="10245" max="10245" width="11.25" style="3183" customWidth="1"/>
    <col min="10246" max="10246" width="12.75" style="3183" customWidth="1"/>
    <col min="10247" max="10249" width="11.25" style="3183" customWidth="1"/>
    <col min="10250" max="10250" width="14.25" style="3183" customWidth="1"/>
    <col min="10251" max="10251" width="11.25" style="3183" customWidth="1"/>
    <col min="10252" max="10252" width="16.125" style="3183" customWidth="1"/>
    <col min="10253" max="10254" width="11.25" style="3183" customWidth="1"/>
    <col min="10255" max="10255" width="60.875" style="3183" customWidth="1"/>
    <col min="10256" max="10496" width="9" style="3183"/>
    <col min="10497" max="10497" width="5.5" style="3183" customWidth="1"/>
    <col min="10498" max="10498" width="11.25" style="3183" customWidth="1"/>
    <col min="10499" max="10499" width="32.125" style="3183" customWidth="1"/>
    <col min="10500" max="10500" width="13" style="3183" customWidth="1"/>
    <col min="10501" max="10501" width="11.25" style="3183" customWidth="1"/>
    <col min="10502" max="10502" width="12.75" style="3183" customWidth="1"/>
    <col min="10503" max="10505" width="11.25" style="3183" customWidth="1"/>
    <col min="10506" max="10506" width="14.25" style="3183" customWidth="1"/>
    <col min="10507" max="10507" width="11.25" style="3183" customWidth="1"/>
    <col min="10508" max="10508" width="16.125" style="3183" customWidth="1"/>
    <col min="10509" max="10510" width="11.25" style="3183" customWidth="1"/>
    <col min="10511" max="10511" width="60.875" style="3183" customWidth="1"/>
    <col min="10512" max="10752" width="9" style="3183"/>
    <col min="10753" max="10753" width="5.5" style="3183" customWidth="1"/>
    <col min="10754" max="10754" width="11.25" style="3183" customWidth="1"/>
    <col min="10755" max="10755" width="32.125" style="3183" customWidth="1"/>
    <col min="10756" max="10756" width="13" style="3183" customWidth="1"/>
    <col min="10757" max="10757" width="11.25" style="3183" customWidth="1"/>
    <col min="10758" max="10758" width="12.75" style="3183" customWidth="1"/>
    <col min="10759" max="10761" width="11.25" style="3183" customWidth="1"/>
    <col min="10762" max="10762" width="14.25" style="3183" customWidth="1"/>
    <col min="10763" max="10763" width="11.25" style="3183" customWidth="1"/>
    <col min="10764" max="10764" width="16.125" style="3183" customWidth="1"/>
    <col min="10765" max="10766" width="11.25" style="3183" customWidth="1"/>
    <col min="10767" max="10767" width="60.875" style="3183" customWidth="1"/>
    <col min="10768" max="11008" width="9" style="3183"/>
    <col min="11009" max="11009" width="5.5" style="3183" customWidth="1"/>
    <col min="11010" max="11010" width="11.25" style="3183" customWidth="1"/>
    <col min="11011" max="11011" width="32.125" style="3183" customWidth="1"/>
    <col min="11012" max="11012" width="13" style="3183" customWidth="1"/>
    <col min="11013" max="11013" width="11.25" style="3183" customWidth="1"/>
    <col min="11014" max="11014" width="12.75" style="3183" customWidth="1"/>
    <col min="11015" max="11017" width="11.25" style="3183" customWidth="1"/>
    <col min="11018" max="11018" width="14.25" style="3183" customWidth="1"/>
    <col min="11019" max="11019" width="11.25" style="3183" customWidth="1"/>
    <col min="11020" max="11020" width="16.125" style="3183" customWidth="1"/>
    <col min="11021" max="11022" width="11.25" style="3183" customWidth="1"/>
    <col min="11023" max="11023" width="60.875" style="3183" customWidth="1"/>
    <col min="11024" max="11264" width="9" style="3183"/>
    <col min="11265" max="11265" width="5.5" style="3183" customWidth="1"/>
    <col min="11266" max="11266" width="11.25" style="3183" customWidth="1"/>
    <col min="11267" max="11267" width="32.125" style="3183" customWidth="1"/>
    <col min="11268" max="11268" width="13" style="3183" customWidth="1"/>
    <col min="11269" max="11269" width="11.25" style="3183" customWidth="1"/>
    <col min="11270" max="11270" width="12.75" style="3183" customWidth="1"/>
    <col min="11271" max="11273" width="11.25" style="3183" customWidth="1"/>
    <col min="11274" max="11274" width="14.25" style="3183" customWidth="1"/>
    <col min="11275" max="11275" width="11.25" style="3183" customWidth="1"/>
    <col min="11276" max="11276" width="16.125" style="3183" customWidth="1"/>
    <col min="11277" max="11278" width="11.25" style="3183" customWidth="1"/>
    <col min="11279" max="11279" width="60.875" style="3183" customWidth="1"/>
    <col min="11280" max="11520" width="9" style="3183"/>
    <col min="11521" max="11521" width="5.5" style="3183" customWidth="1"/>
    <col min="11522" max="11522" width="11.25" style="3183" customWidth="1"/>
    <col min="11523" max="11523" width="32.125" style="3183" customWidth="1"/>
    <col min="11524" max="11524" width="13" style="3183" customWidth="1"/>
    <col min="11525" max="11525" width="11.25" style="3183" customWidth="1"/>
    <col min="11526" max="11526" width="12.75" style="3183" customWidth="1"/>
    <col min="11527" max="11529" width="11.25" style="3183" customWidth="1"/>
    <col min="11530" max="11530" width="14.25" style="3183" customWidth="1"/>
    <col min="11531" max="11531" width="11.25" style="3183" customWidth="1"/>
    <col min="11532" max="11532" width="16.125" style="3183" customWidth="1"/>
    <col min="11533" max="11534" width="11.25" style="3183" customWidth="1"/>
    <col min="11535" max="11535" width="60.875" style="3183" customWidth="1"/>
    <col min="11536" max="11776" width="9" style="3183"/>
    <col min="11777" max="11777" width="5.5" style="3183" customWidth="1"/>
    <col min="11778" max="11778" width="11.25" style="3183" customWidth="1"/>
    <col min="11779" max="11779" width="32.125" style="3183" customWidth="1"/>
    <col min="11780" max="11780" width="13" style="3183" customWidth="1"/>
    <col min="11781" max="11781" width="11.25" style="3183" customWidth="1"/>
    <col min="11782" max="11782" width="12.75" style="3183" customWidth="1"/>
    <col min="11783" max="11785" width="11.25" style="3183" customWidth="1"/>
    <col min="11786" max="11786" width="14.25" style="3183" customWidth="1"/>
    <col min="11787" max="11787" width="11.25" style="3183" customWidth="1"/>
    <col min="11788" max="11788" width="16.125" style="3183" customWidth="1"/>
    <col min="11789" max="11790" width="11.25" style="3183" customWidth="1"/>
    <col min="11791" max="11791" width="60.875" style="3183" customWidth="1"/>
    <col min="11792" max="12032" width="9" style="3183"/>
    <col min="12033" max="12033" width="5.5" style="3183" customWidth="1"/>
    <col min="12034" max="12034" width="11.25" style="3183" customWidth="1"/>
    <col min="12035" max="12035" width="32.125" style="3183" customWidth="1"/>
    <col min="12036" max="12036" width="13" style="3183" customWidth="1"/>
    <col min="12037" max="12037" width="11.25" style="3183" customWidth="1"/>
    <col min="12038" max="12038" width="12.75" style="3183" customWidth="1"/>
    <col min="12039" max="12041" width="11.25" style="3183" customWidth="1"/>
    <col min="12042" max="12042" width="14.25" style="3183" customWidth="1"/>
    <col min="12043" max="12043" width="11.25" style="3183" customWidth="1"/>
    <col min="12044" max="12044" width="16.125" style="3183" customWidth="1"/>
    <col min="12045" max="12046" width="11.25" style="3183" customWidth="1"/>
    <col min="12047" max="12047" width="60.875" style="3183" customWidth="1"/>
    <col min="12048" max="12288" width="9" style="3183"/>
    <col min="12289" max="12289" width="5.5" style="3183" customWidth="1"/>
    <col min="12290" max="12290" width="11.25" style="3183" customWidth="1"/>
    <col min="12291" max="12291" width="32.125" style="3183" customWidth="1"/>
    <col min="12292" max="12292" width="13" style="3183" customWidth="1"/>
    <col min="12293" max="12293" width="11.25" style="3183" customWidth="1"/>
    <col min="12294" max="12294" width="12.75" style="3183" customWidth="1"/>
    <col min="12295" max="12297" width="11.25" style="3183" customWidth="1"/>
    <col min="12298" max="12298" width="14.25" style="3183" customWidth="1"/>
    <col min="12299" max="12299" width="11.25" style="3183" customWidth="1"/>
    <col min="12300" max="12300" width="16.125" style="3183" customWidth="1"/>
    <col min="12301" max="12302" width="11.25" style="3183" customWidth="1"/>
    <col min="12303" max="12303" width="60.875" style="3183" customWidth="1"/>
    <col min="12304" max="12544" width="9" style="3183"/>
    <col min="12545" max="12545" width="5.5" style="3183" customWidth="1"/>
    <col min="12546" max="12546" width="11.25" style="3183" customWidth="1"/>
    <col min="12547" max="12547" width="32.125" style="3183" customWidth="1"/>
    <col min="12548" max="12548" width="13" style="3183" customWidth="1"/>
    <col min="12549" max="12549" width="11.25" style="3183" customWidth="1"/>
    <col min="12550" max="12550" width="12.75" style="3183" customWidth="1"/>
    <col min="12551" max="12553" width="11.25" style="3183" customWidth="1"/>
    <col min="12554" max="12554" width="14.25" style="3183" customWidth="1"/>
    <col min="12555" max="12555" width="11.25" style="3183" customWidth="1"/>
    <col min="12556" max="12556" width="16.125" style="3183" customWidth="1"/>
    <col min="12557" max="12558" width="11.25" style="3183" customWidth="1"/>
    <col min="12559" max="12559" width="60.875" style="3183" customWidth="1"/>
    <col min="12560" max="12800" width="9" style="3183"/>
    <col min="12801" max="12801" width="5.5" style="3183" customWidth="1"/>
    <col min="12802" max="12802" width="11.25" style="3183" customWidth="1"/>
    <col min="12803" max="12803" width="32.125" style="3183" customWidth="1"/>
    <col min="12804" max="12804" width="13" style="3183" customWidth="1"/>
    <col min="12805" max="12805" width="11.25" style="3183" customWidth="1"/>
    <col min="12806" max="12806" width="12.75" style="3183" customWidth="1"/>
    <col min="12807" max="12809" width="11.25" style="3183" customWidth="1"/>
    <col min="12810" max="12810" width="14.25" style="3183" customWidth="1"/>
    <col min="12811" max="12811" width="11.25" style="3183" customWidth="1"/>
    <col min="12812" max="12812" width="16.125" style="3183" customWidth="1"/>
    <col min="12813" max="12814" width="11.25" style="3183" customWidth="1"/>
    <col min="12815" max="12815" width="60.875" style="3183" customWidth="1"/>
    <col min="12816" max="13056" width="9" style="3183"/>
    <col min="13057" max="13057" width="5.5" style="3183" customWidth="1"/>
    <col min="13058" max="13058" width="11.25" style="3183" customWidth="1"/>
    <col min="13059" max="13059" width="32.125" style="3183" customWidth="1"/>
    <col min="13060" max="13060" width="13" style="3183" customWidth="1"/>
    <col min="13061" max="13061" width="11.25" style="3183" customWidth="1"/>
    <col min="13062" max="13062" width="12.75" style="3183" customWidth="1"/>
    <col min="13063" max="13065" width="11.25" style="3183" customWidth="1"/>
    <col min="13066" max="13066" width="14.25" style="3183" customWidth="1"/>
    <col min="13067" max="13067" width="11.25" style="3183" customWidth="1"/>
    <col min="13068" max="13068" width="16.125" style="3183" customWidth="1"/>
    <col min="13069" max="13070" width="11.25" style="3183" customWidth="1"/>
    <col min="13071" max="13071" width="60.875" style="3183" customWidth="1"/>
    <col min="13072" max="13312" width="9" style="3183"/>
    <col min="13313" max="13313" width="5.5" style="3183" customWidth="1"/>
    <col min="13314" max="13314" width="11.25" style="3183" customWidth="1"/>
    <col min="13315" max="13315" width="32.125" style="3183" customWidth="1"/>
    <col min="13316" max="13316" width="13" style="3183" customWidth="1"/>
    <col min="13317" max="13317" width="11.25" style="3183" customWidth="1"/>
    <col min="13318" max="13318" width="12.75" style="3183" customWidth="1"/>
    <col min="13319" max="13321" width="11.25" style="3183" customWidth="1"/>
    <col min="13322" max="13322" width="14.25" style="3183" customWidth="1"/>
    <col min="13323" max="13323" width="11.25" style="3183" customWidth="1"/>
    <col min="13324" max="13324" width="16.125" style="3183" customWidth="1"/>
    <col min="13325" max="13326" width="11.25" style="3183" customWidth="1"/>
    <col min="13327" max="13327" width="60.875" style="3183" customWidth="1"/>
    <col min="13328" max="13568" width="9" style="3183"/>
    <col min="13569" max="13569" width="5.5" style="3183" customWidth="1"/>
    <col min="13570" max="13570" width="11.25" style="3183" customWidth="1"/>
    <col min="13571" max="13571" width="32.125" style="3183" customWidth="1"/>
    <col min="13572" max="13572" width="13" style="3183" customWidth="1"/>
    <col min="13573" max="13573" width="11.25" style="3183" customWidth="1"/>
    <col min="13574" max="13574" width="12.75" style="3183" customWidth="1"/>
    <col min="13575" max="13577" width="11.25" style="3183" customWidth="1"/>
    <col min="13578" max="13578" width="14.25" style="3183" customWidth="1"/>
    <col min="13579" max="13579" width="11.25" style="3183" customWidth="1"/>
    <col min="13580" max="13580" width="16.125" style="3183" customWidth="1"/>
    <col min="13581" max="13582" width="11.25" style="3183" customWidth="1"/>
    <col min="13583" max="13583" width="60.875" style="3183" customWidth="1"/>
    <col min="13584" max="13824" width="9" style="3183"/>
    <col min="13825" max="13825" width="5.5" style="3183" customWidth="1"/>
    <col min="13826" max="13826" width="11.25" style="3183" customWidth="1"/>
    <col min="13827" max="13827" width="32.125" style="3183" customWidth="1"/>
    <col min="13828" max="13828" width="13" style="3183" customWidth="1"/>
    <col min="13829" max="13829" width="11.25" style="3183" customWidth="1"/>
    <col min="13830" max="13830" width="12.75" style="3183" customWidth="1"/>
    <col min="13831" max="13833" width="11.25" style="3183" customWidth="1"/>
    <col min="13834" max="13834" width="14.25" style="3183" customWidth="1"/>
    <col min="13835" max="13835" width="11.25" style="3183" customWidth="1"/>
    <col min="13836" max="13836" width="16.125" style="3183" customWidth="1"/>
    <col min="13837" max="13838" width="11.25" style="3183" customWidth="1"/>
    <col min="13839" max="13839" width="60.875" style="3183" customWidth="1"/>
    <col min="13840" max="14080" width="9" style="3183"/>
    <col min="14081" max="14081" width="5.5" style="3183" customWidth="1"/>
    <col min="14082" max="14082" width="11.25" style="3183" customWidth="1"/>
    <col min="14083" max="14083" width="32.125" style="3183" customWidth="1"/>
    <col min="14084" max="14084" width="13" style="3183" customWidth="1"/>
    <col min="14085" max="14085" width="11.25" style="3183" customWidth="1"/>
    <col min="14086" max="14086" width="12.75" style="3183" customWidth="1"/>
    <col min="14087" max="14089" width="11.25" style="3183" customWidth="1"/>
    <col min="14090" max="14090" width="14.25" style="3183" customWidth="1"/>
    <col min="14091" max="14091" width="11.25" style="3183" customWidth="1"/>
    <col min="14092" max="14092" width="16.125" style="3183" customWidth="1"/>
    <col min="14093" max="14094" width="11.25" style="3183" customWidth="1"/>
    <col min="14095" max="14095" width="60.875" style="3183" customWidth="1"/>
    <col min="14096" max="14336" width="9" style="3183"/>
    <col min="14337" max="14337" width="5.5" style="3183" customWidth="1"/>
    <col min="14338" max="14338" width="11.25" style="3183" customWidth="1"/>
    <col min="14339" max="14339" width="32.125" style="3183" customWidth="1"/>
    <col min="14340" max="14340" width="13" style="3183" customWidth="1"/>
    <col min="14341" max="14341" width="11.25" style="3183" customWidth="1"/>
    <col min="14342" max="14342" width="12.75" style="3183" customWidth="1"/>
    <col min="14343" max="14345" width="11.25" style="3183" customWidth="1"/>
    <col min="14346" max="14346" width="14.25" style="3183" customWidth="1"/>
    <col min="14347" max="14347" width="11.25" style="3183" customWidth="1"/>
    <col min="14348" max="14348" width="16.125" style="3183" customWidth="1"/>
    <col min="14349" max="14350" width="11.25" style="3183" customWidth="1"/>
    <col min="14351" max="14351" width="60.875" style="3183" customWidth="1"/>
    <col min="14352" max="14592" width="9" style="3183"/>
    <col min="14593" max="14593" width="5.5" style="3183" customWidth="1"/>
    <col min="14594" max="14594" width="11.25" style="3183" customWidth="1"/>
    <col min="14595" max="14595" width="32.125" style="3183" customWidth="1"/>
    <col min="14596" max="14596" width="13" style="3183" customWidth="1"/>
    <col min="14597" max="14597" width="11.25" style="3183" customWidth="1"/>
    <col min="14598" max="14598" width="12.75" style="3183" customWidth="1"/>
    <col min="14599" max="14601" width="11.25" style="3183" customWidth="1"/>
    <col min="14602" max="14602" width="14.25" style="3183" customWidth="1"/>
    <col min="14603" max="14603" width="11.25" style="3183" customWidth="1"/>
    <col min="14604" max="14604" width="16.125" style="3183" customWidth="1"/>
    <col min="14605" max="14606" width="11.25" style="3183" customWidth="1"/>
    <col min="14607" max="14607" width="60.875" style="3183" customWidth="1"/>
    <col min="14608" max="14848" width="9" style="3183"/>
    <col min="14849" max="14849" width="5.5" style="3183" customWidth="1"/>
    <col min="14850" max="14850" width="11.25" style="3183" customWidth="1"/>
    <col min="14851" max="14851" width="32.125" style="3183" customWidth="1"/>
    <col min="14852" max="14852" width="13" style="3183" customWidth="1"/>
    <col min="14853" max="14853" width="11.25" style="3183" customWidth="1"/>
    <col min="14854" max="14854" width="12.75" style="3183" customWidth="1"/>
    <col min="14855" max="14857" width="11.25" style="3183" customWidth="1"/>
    <col min="14858" max="14858" width="14.25" style="3183" customWidth="1"/>
    <col min="14859" max="14859" width="11.25" style="3183" customWidth="1"/>
    <col min="14860" max="14860" width="16.125" style="3183" customWidth="1"/>
    <col min="14861" max="14862" width="11.25" style="3183" customWidth="1"/>
    <col min="14863" max="14863" width="60.875" style="3183" customWidth="1"/>
    <col min="14864" max="15104" width="9" style="3183"/>
    <col min="15105" max="15105" width="5.5" style="3183" customWidth="1"/>
    <col min="15106" max="15106" width="11.25" style="3183" customWidth="1"/>
    <col min="15107" max="15107" width="32.125" style="3183" customWidth="1"/>
    <col min="15108" max="15108" width="13" style="3183" customWidth="1"/>
    <col min="15109" max="15109" width="11.25" style="3183" customWidth="1"/>
    <col min="15110" max="15110" width="12.75" style="3183" customWidth="1"/>
    <col min="15111" max="15113" width="11.25" style="3183" customWidth="1"/>
    <col min="15114" max="15114" width="14.25" style="3183" customWidth="1"/>
    <col min="15115" max="15115" width="11.25" style="3183" customWidth="1"/>
    <col min="15116" max="15116" width="16.125" style="3183" customWidth="1"/>
    <col min="15117" max="15118" width="11.25" style="3183" customWidth="1"/>
    <col min="15119" max="15119" width="60.875" style="3183" customWidth="1"/>
    <col min="15120" max="15360" width="9" style="3183"/>
    <col min="15361" max="15361" width="5.5" style="3183" customWidth="1"/>
    <col min="15362" max="15362" width="11.25" style="3183" customWidth="1"/>
    <col min="15363" max="15363" width="32.125" style="3183" customWidth="1"/>
    <col min="15364" max="15364" width="13" style="3183" customWidth="1"/>
    <col min="15365" max="15365" width="11.25" style="3183" customWidth="1"/>
    <col min="15366" max="15366" width="12.75" style="3183" customWidth="1"/>
    <col min="15367" max="15369" width="11.25" style="3183" customWidth="1"/>
    <col min="15370" max="15370" width="14.25" style="3183" customWidth="1"/>
    <col min="15371" max="15371" width="11.25" style="3183" customWidth="1"/>
    <col min="15372" max="15372" width="16.125" style="3183" customWidth="1"/>
    <col min="15373" max="15374" width="11.25" style="3183" customWidth="1"/>
    <col min="15375" max="15375" width="60.875" style="3183" customWidth="1"/>
    <col min="15376" max="15616" width="9" style="3183"/>
    <col min="15617" max="15617" width="5.5" style="3183" customWidth="1"/>
    <col min="15618" max="15618" width="11.25" style="3183" customWidth="1"/>
    <col min="15619" max="15619" width="32.125" style="3183" customWidth="1"/>
    <col min="15620" max="15620" width="13" style="3183" customWidth="1"/>
    <col min="15621" max="15621" width="11.25" style="3183" customWidth="1"/>
    <col min="15622" max="15622" width="12.75" style="3183" customWidth="1"/>
    <col min="15623" max="15625" width="11.25" style="3183" customWidth="1"/>
    <col min="15626" max="15626" width="14.25" style="3183" customWidth="1"/>
    <col min="15627" max="15627" width="11.25" style="3183" customWidth="1"/>
    <col min="15628" max="15628" width="16.125" style="3183" customWidth="1"/>
    <col min="15629" max="15630" width="11.25" style="3183" customWidth="1"/>
    <col min="15631" max="15631" width="60.875" style="3183" customWidth="1"/>
    <col min="15632" max="15872" width="9" style="3183"/>
    <col min="15873" max="15873" width="5.5" style="3183" customWidth="1"/>
    <col min="15874" max="15874" width="11.25" style="3183" customWidth="1"/>
    <col min="15875" max="15875" width="32.125" style="3183" customWidth="1"/>
    <col min="15876" max="15876" width="13" style="3183" customWidth="1"/>
    <col min="15877" max="15877" width="11.25" style="3183" customWidth="1"/>
    <col min="15878" max="15878" width="12.75" style="3183" customWidth="1"/>
    <col min="15879" max="15881" width="11.25" style="3183" customWidth="1"/>
    <col min="15882" max="15882" width="14.25" style="3183" customWidth="1"/>
    <col min="15883" max="15883" width="11.25" style="3183" customWidth="1"/>
    <col min="15884" max="15884" width="16.125" style="3183" customWidth="1"/>
    <col min="15885" max="15886" width="11.25" style="3183" customWidth="1"/>
    <col min="15887" max="15887" width="60.875" style="3183" customWidth="1"/>
    <col min="15888" max="16128" width="9" style="3183"/>
    <col min="16129" max="16129" width="5.5" style="3183" customWidth="1"/>
    <col min="16130" max="16130" width="11.25" style="3183" customWidth="1"/>
    <col min="16131" max="16131" width="32.125" style="3183" customWidth="1"/>
    <col min="16132" max="16132" width="13" style="3183" customWidth="1"/>
    <col min="16133" max="16133" width="11.25" style="3183" customWidth="1"/>
    <col min="16134" max="16134" width="12.75" style="3183" customWidth="1"/>
    <col min="16135" max="16137" width="11.25" style="3183" customWidth="1"/>
    <col min="16138" max="16138" width="14.25" style="3183" customWidth="1"/>
    <col min="16139" max="16139" width="11.25" style="3183" customWidth="1"/>
    <col min="16140" max="16140" width="16.125" style="3183" customWidth="1"/>
    <col min="16141" max="16142" width="11.25" style="3183" customWidth="1"/>
    <col min="16143" max="16143" width="60.875" style="3183" customWidth="1"/>
    <col min="16144" max="16384" width="9" style="3183"/>
  </cols>
  <sheetData>
    <row r="1" spans="1:15" s="3173" customFormat="1">
      <c r="A1" s="3170" t="s">
        <v>3421</v>
      </c>
      <c r="B1" s="3643" t="s">
        <v>3422</v>
      </c>
      <c r="C1" s="3644"/>
      <c r="D1" s="3641" t="s">
        <v>3423</v>
      </c>
      <c r="E1" s="3171" t="s">
        <v>3424</v>
      </c>
      <c r="F1" s="3172" t="s">
        <v>3425</v>
      </c>
      <c r="G1" s="3170" t="s">
        <v>3426</v>
      </c>
      <c r="H1" s="3170" t="s">
        <v>3426</v>
      </c>
      <c r="I1" s="3643" t="s">
        <v>3427</v>
      </c>
      <c r="J1" s="3644"/>
      <c r="K1" s="3643" t="s">
        <v>3428</v>
      </c>
      <c r="L1" s="3644"/>
      <c r="M1" s="3641" t="s">
        <v>3429</v>
      </c>
      <c r="N1" s="3170" t="s">
        <v>3430</v>
      </c>
      <c r="O1" s="3641" t="s">
        <v>3431</v>
      </c>
    </row>
    <row r="2" spans="1:15" s="3173" customFormat="1">
      <c r="A2" s="3170"/>
      <c r="B2" s="3170" t="s">
        <v>3432</v>
      </c>
      <c r="C2" s="3170" t="s">
        <v>3433</v>
      </c>
      <c r="D2" s="3642"/>
      <c r="E2" s="3170" t="s">
        <v>3434</v>
      </c>
      <c r="F2" s="3170" t="s">
        <v>3434</v>
      </c>
      <c r="G2" s="3170" t="s">
        <v>3435</v>
      </c>
      <c r="H2" s="3170" t="s">
        <v>3436</v>
      </c>
      <c r="I2" s="3170" t="s">
        <v>3437</v>
      </c>
      <c r="J2" s="3170" t="s">
        <v>3438</v>
      </c>
      <c r="K2" s="3170" t="s">
        <v>3437</v>
      </c>
      <c r="L2" s="3170" t="s">
        <v>3438</v>
      </c>
      <c r="M2" s="3642"/>
      <c r="N2" s="3170" t="s">
        <v>3439</v>
      </c>
      <c r="O2" s="3642"/>
    </row>
    <row r="3" spans="1:15" ht="14.25">
      <c r="A3" s="3174">
        <v>1</v>
      </c>
      <c r="B3" s="3635" t="s">
        <v>3440</v>
      </c>
      <c r="C3" s="3175" t="s">
        <v>3441</v>
      </c>
      <c r="D3" s="3176" t="s">
        <v>3442</v>
      </c>
      <c r="E3" s="3177"/>
      <c r="F3" s="3178">
        <v>4939.08</v>
      </c>
      <c r="G3" s="3179" t="s">
        <v>3443</v>
      </c>
      <c r="H3" s="3179" t="s">
        <v>3444</v>
      </c>
      <c r="I3" s="3180"/>
      <c r="J3" s="3181">
        <f>375/30</f>
        <v>12.5</v>
      </c>
      <c r="K3" s="3180"/>
      <c r="L3" s="3182">
        <f>F3*375*11</f>
        <v>20373705</v>
      </c>
      <c r="M3" s="3180"/>
      <c r="N3" s="3180"/>
      <c r="O3" s="3180" t="s">
        <v>3445</v>
      </c>
    </row>
    <row r="4" spans="1:15" ht="14.25">
      <c r="A4" s="3184">
        <v>2</v>
      </c>
      <c r="B4" s="3636"/>
      <c r="C4" s="3175" t="s">
        <v>3446</v>
      </c>
      <c r="D4" s="3176" t="s">
        <v>3447</v>
      </c>
      <c r="E4" s="3177"/>
      <c r="F4" s="3178">
        <v>60</v>
      </c>
      <c r="G4" s="3179" t="s">
        <v>3443</v>
      </c>
      <c r="H4" s="3179" t="s">
        <v>3444</v>
      </c>
      <c r="I4" s="3180"/>
      <c r="J4" s="3181">
        <f>375/30</f>
        <v>12.5</v>
      </c>
      <c r="K4" s="3180"/>
      <c r="L4" s="3182">
        <f>F4*375*11</f>
        <v>247500</v>
      </c>
      <c r="M4" s="3180"/>
      <c r="N4" s="3180"/>
      <c r="O4" s="3180" t="s">
        <v>3445</v>
      </c>
    </row>
    <row r="5" spans="1:15" ht="14.25">
      <c r="A5" s="3184">
        <v>3</v>
      </c>
      <c r="B5" s="3637" t="s">
        <v>3448</v>
      </c>
      <c r="C5" s="3175" t="s">
        <v>3449</v>
      </c>
      <c r="D5" s="3185" t="s">
        <v>3450</v>
      </c>
      <c r="E5" s="3177"/>
      <c r="F5" s="3178">
        <v>9950.18</v>
      </c>
      <c r="G5" s="3186">
        <v>44682</v>
      </c>
      <c r="H5" s="3186">
        <v>46507</v>
      </c>
      <c r="I5" s="3180"/>
      <c r="J5" s="3181">
        <f>362.32/30</f>
        <v>12.077333333333334</v>
      </c>
      <c r="K5" s="3180"/>
      <c r="L5" s="3182">
        <f>F5*362.32*12</f>
        <v>43261790.611200005</v>
      </c>
      <c r="M5" s="3180"/>
      <c r="N5" s="3180"/>
      <c r="O5" s="3180" t="s">
        <v>3451</v>
      </c>
    </row>
    <row r="6" spans="1:15" s="3193" customFormat="1" ht="14.25">
      <c r="A6" s="3187">
        <v>4</v>
      </c>
      <c r="B6" s="3636"/>
      <c r="C6" s="3188" t="s">
        <v>3449</v>
      </c>
      <c r="D6" s="3188" t="s">
        <v>3452</v>
      </c>
      <c r="E6" s="3189"/>
      <c r="F6" s="3189">
        <v>327</v>
      </c>
      <c r="G6" s="3190" t="s">
        <v>3453</v>
      </c>
      <c r="H6" s="3190" t="s">
        <v>3454</v>
      </c>
      <c r="I6" s="3191"/>
      <c r="J6" s="3192">
        <f>357.5/30</f>
        <v>11.916666666666666</v>
      </c>
      <c r="K6" s="3191"/>
      <c r="L6" s="3192">
        <f>F6*357.5*12</f>
        <v>1402830</v>
      </c>
      <c r="M6" s="3191"/>
      <c r="N6" s="3191"/>
      <c r="O6" s="3191"/>
    </row>
    <row r="7" spans="1:15" ht="14.25">
      <c r="A7" s="3184">
        <v>5</v>
      </c>
      <c r="B7" s="3637" t="s">
        <v>3455</v>
      </c>
      <c r="C7" s="3185" t="s">
        <v>3456</v>
      </c>
      <c r="D7" s="3185" t="s">
        <v>3457</v>
      </c>
      <c r="E7" s="3180"/>
      <c r="F7" s="3194">
        <v>25</v>
      </c>
      <c r="G7" s="3179" t="s">
        <v>3458</v>
      </c>
      <c r="H7" s="3179" t="s">
        <v>3459</v>
      </c>
      <c r="I7" s="3180"/>
      <c r="J7" s="3181">
        <f>377/30</f>
        <v>12.566666666666666</v>
      </c>
      <c r="K7" s="3180"/>
      <c r="L7" s="3182">
        <f>377*F7*12</f>
        <v>113100</v>
      </c>
      <c r="M7" s="3180"/>
      <c r="N7" s="3180"/>
      <c r="O7" s="3180"/>
    </row>
    <row r="8" spans="1:15" ht="14.25">
      <c r="A8" s="3184">
        <v>6</v>
      </c>
      <c r="B8" s="3638"/>
      <c r="C8" s="3185" t="s">
        <v>3460</v>
      </c>
      <c r="D8" s="3185" t="s">
        <v>3461</v>
      </c>
      <c r="E8" s="3180"/>
      <c r="F8" s="3195">
        <v>2508.73</v>
      </c>
      <c r="G8" s="3179" t="s">
        <v>3458</v>
      </c>
      <c r="H8" s="3179" t="s">
        <v>3459</v>
      </c>
      <c r="I8" s="3180"/>
      <c r="J8" s="3181">
        <f>377/30</f>
        <v>12.566666666666666</v>
      </c>
      <c r="K8" s="3180"/>
      <c r="L8" s="3182">
        <f>377*F8*12</f>
        <v>11349494.52</v>
      </c>
      <c r="M8" s="3180"/>
      <c r="N8" s="3180"/>
      <c r="O8" s="3180"/>
    </row>
    <row r="9" spans="1:15" ht="14.25">
      <c r="A9" s="3184">
        <v>7</v>
      </c>
      <c r="B9" s="3636"/>
      <c r="C9" s="3185" t="s">
        <v>3462</v>
      </c>
      <c r="D9" s="3185" t="s">
        <v>3463</v>
      </c>
      <c r="E9" s="3180"/>
      <c r="F9" s="3196">
        <v>130.56</v>
      </c>
      <c r="G9" s="3179" t="s">
        <v>3458</v>
      </c>
      <c r="H9" s="3179" t="s">
        <v>3459</v>
      </c>
      <c r="I9" s="3180"/>
      <c r="J9" s="3181">
        <f>377/30</f>
        <v>12.566666666666666</v>
      </c>
      <c r="K9" s="3180"/>
      <c r="L9" s="3182">
        <f>377*F9*12</f>
        <v>590653.44000000006</v>
      </c>
      <c r="M9" s="3180"/>
      <c r="N9" s="3180"/>
      <c r="O9" s="3180"/>
    </row>
    <row r="10" spans="1:15" ht="14.25">
      <c r="A10" s="3184">
        <v>8</v>
      </c>
      <c r="B10" s="3184" t="s">
        <v>3464</v>
      </c>
      <c r="C10" s="3185" t="s">
        <v>3465</v>
      </c>
      <c r="D10" s="3185" t="s">
        <v>3466</v>
      </c>
      <c r="E10" s="3180"/>
      <c r="F10" s="3196">
        <v>2897.78</v>
      </c>
      <c r="G10" s="3197">
        <v>44911</v>
      </c>
      <c r="H10" s="3197">
        <v>46736</v>
      </c>
      <c r="I10" s="3180"/>
      <c r="J10" s="3181">
        <f>385/30</f>
        <v>12.833333333333334</v>
      </c>
      <c r="K10" s="3180"/>
      <c r="L10" s="3182">
        <f>385*12*F10</f>
        <v>13387743.600000001</v>
      </c>
      <c r="M10" s="3180"/>
      <c r="N10" s="3180"/>
      <c r="O10" s="3180" t="s">
        <v>3467</v>
      </c>
    </row>
    <row r="11" spans="1:15" ht="14.25">
      <c r="A11" s="3184">
        <v>9</v>
      </c>
      <c r="B11" s="3184" t="s">
        <v>3468</v>
      </c>
      <c r="C11" s="3175" t="s">
        <v>3469</v>
      </c>
      <c r="D11" s="3185" t="s">
        <v>3470</v>
      </c>
      <c r="E11" s="3180"/>
      <c r="F11" s="3178">
        <v>2370.67</v>
      </c>
      <c r="G11" s="3179" t="s">
        <v>3471</v>
      </c>
      <c r="H11" s="3179" t="s">
        <v>3472</v>
      </c>
      <c r="I11" s="3180"/>
      <c r="J11" s="3181">
        <f>357/30</f>
        <v>11.9</v>
      </c>
      <c r="K11" s="3180"/>
      <c r="L11" s="3182">
        <f>357*F11*12</f>
        <v>10155950.280000001</v>
      </c>
      <c r="M11" s="3180"/>
      <c r="N11" s="3180"/>
      <c r="O11" s="3198" t="s">
        <v>3473</v>
      </c>
    </row>
    <row r="12" spans="1:15" ht="14.25">
      <c r="A12" s="3184">
        <v>10</v>
      </c>
      <c r="B12" s="3184" t="s">
        <v>3474</v>
      </c>
      <c r="C12" s="3176" t="s">
        <v>3475</v>
      </c>
      <c r="D12" s="3176" t="s">
        <v>3476</v>
      </c>
      <c r="F12" s="3178">
        <v>5034.96</v>
      </c>
      <c r="G12" s="3179" t="s">
        <v>3477</v>
      </c>
      <c r="H12" s="3197" t="s">
        <v>3478</v>
      </c>
      <c r="I12" s="3180"/>
      <c r="J12" s="3181">
        <f>382.5/30</f>
        <v>12.75</v>
      </c>
      <c r="K12" s="3180"/>
      <c r="L12" s="3182">
        <f>382.5*F12</f>
        <v>1925872.2</v>
      </c>
      <c r="M12" s="3180"/>
      <c r="N12" s="3180"/>
      <c r="O12" s="3180" t="s">
        <v>3479</v>
      </c>
    </row>
    <row r="13" spans="1:15" ht="14.25">
      <c r="A13" s="3184">
        <v>11</v>
      </c>
      <c r="B13" s="3184" t="s">
        <v>3480</v>
      </c>
      <c r="C13" s="3175" t="s">
        <v>3481</v>
      </c>
      <c r="D13" s="3185" t="s">
        <v>3482</v>
      </c>
      <c r="E13" s="3177"/>
      <c r="F13" s="3177">
        <v>2789.55</v>
      </c>
      <c r="G13" s="3179" t="s">
        <v>3483</v>
      </c>
      <c r="H13" s="3197">
        <v>46985</v>
      </c>
      <c r="I13" s="3180"/>
      <c r="J13" s="3181">
        <f>406/30</f>
        <v>13.533333333333333</v>
      </c>
      <c r="K13" s="3180"/>
      <c r="L13" s="3181">
        <f>F13*406*10</f>
        <v>11325573</v>
      </c>
      <c r="M13" s="3180"/>
      <c r="N13" s="3180"/>
      <c r="O13" s="3180" t="s">
        <v>3484</v>
      </c>
    </row>
    <row r="14" spans="1:15" ht="14.25">
      <c r="A14" s="3184">
        <v>12</v>
      </c>
      <c r="B14" s="3637" t="s">
        <v>3485</v>
      </c>
      <c r="C14" s="3175" t="s">
        <v>3486</v>
      </c>
      <c r="D14" s="3185" t="s">
        <v>3487</v>
      </c>
      <c r="E14" s="3177"/>
      <c r="F14" s="3177">
        <v>2642.74</v>
      </c>
      <c r="G14" s="3179" t="s">
        <v>3483</v>
      </c>
      <c r="H14" s="3197">
        <v>46985</v>
      </c>
      <c r="I14" s="3180"/>
      <c r="J14" s="3181">
        <f>406/30</f>
        <v>13.533333333333333</v>
      </c>
      <c r="K14" s="3180"/>
      <c r="L14" s="3181">
        <f>F14*406*10</f>
        <v>10729524.399999999</v>
      </c>
      <c r="M14" s="3180"/>
      <c r="N14" s="3180"/>
      <c r="O14" s="3180"/>
    </row>
    <row r="15" spans="1:15" ht="14.25">
      <c r="A15" s="3184">
        <v>13</v>
      </c>
      <c r="B15" s="3636"/>
      <c r="C15" s="3175" t="s">
        <v>3486</v>
      </c>
      <c r="D15" s="3185" t="s">
        <v>3488</v>
      </c>
      <c r="E15" s="3177"/>
      <c r="F15" s="3177">
        <v>2642.74</v>
      </c>
      <c r="G15" s="3179" t="s">
        <v>3483</v>
      </c>
      <c r="H15" s="3197">
        <v>46985</v>
      </c>
      <c r="I15" s="3180"/>
      <c r="J15" s="3181">
        <f>406/30</f>
        <v>13.533333333333333</v>
      </c>
      <c r="K15" s="3180"/>
      <c r="L15" s="3181">
        <f>F15*406*10</f>
        <v>10729524.399999999</v>
      </c>
      <c r="M15" s="3180"/>
      <c r="N15" s="3180"/>
      <c r="O15" s="3180"/>
    </row>
    <row r="16" spans="1:15" ht="14.25">
      <c r="A16" s="3184">
        <v>14</v>
      </c>
      <c r="B16" s="3637" t="s">
        <v>3489</v>
      </c>
      <c r="C16" s="3185" t="s">
        <v>3490</v>
      </c>
      <c r="D16" s="3185" t="s">
        <v>3491</v>
      </c>
      <c r="E16" s="3180"/>
      <c r="F16" s="3178">
        <v>2664.29</v>
      </c>
      <c r="G16" s="3179" t="s">
        <v>3492</v>
      </c>
      <c r="H16" s="3197" t="s">
        <v>3493</v>
      </c>
      <c r="I16" s="3180"/>
      <c r="J16" s="3181">
        <f>366/30</f>
        <v>12.2</v>
      </c>
      <c r="K16" s="3180"/>
      <c r="L16" s="3182">
        <f>366*12*F16</f>
        <v>11701561.68</v>
      </c>
      <c r="M16" s="3180"/>
      <c r="N16" s="3180"/>
      <c r="O16" s="3199"/>
    </row>
    <row r="17" spans="1:76" ht="14.25">
      <c r="A17" s="3184">
        <v>15</v>
      </c>
      <c r="B17" s="3638"/>
      <c r="C17" s="3185" t="s">
        <v>3494</v>
      </c>
      <c r="D17" s="3185" t="s">
        <v>3495</v>
      </c>
      <c r="E17" s="3177"/>
      <c r="F17" s="3177">
        <v>659.3</v>
      </c>
      <c r="G17" s="3179" t="s">
        <v>3496</v>
      </c>
      <c r="H17" s="3179" t="s">
        <v>3497</v>
      </c>
      <c r="I17" s="3180"/>
      <c r="J17" s="3181">
        <f>366/30</f>
        <v>12.2</v>
      </c>
      <c r="K17" s="3180"/>
      <c r="L17" s="3181">
        <f>F17*366*11.5</f>
        <v>2774993.6999999997</v>
      </c>
      <c r="M17" s="3180"/>
      <c r="N17" s="3180"/>
      <c r="O17" s="3199" t="s">
        <v>3498</v>
      </c>
    </row>
    <row r="18" spans="1:76" ht="14.25">
      <c r="A18" s="3184">
        <v>16</v>
      </c>
      <c r="B18" s="3638"/>
      <c r="C18" s="3185" t="s">
        <v>3499</v>
      </c>
      <c r="D18" s="3185" t="s">
        <v>3500</v>
      </c>
      <c r="E18" s="3177"/>
      <c r="F18" s="3177">
        <v>470.5</v>
      </c>
      <c r="G18" s="3179" t="s">
        <v>3496</v>
      </c>
      <c r="H18" s="3179" t="s">
        <v>3497</v>
      </c>
      <c r="I18" s="3180"/>
      <c r="J18" s="3181">
        <f>366/30</f>
        <v>12.2</v>
      </c>
      <c r="K18" s="3180"/>
      <c r="L18" s="3181">
        <f>F18*366*11.5</f>
        <v>1980334.5</v>
      </c>
      <c r="M18" s="3180"/>
      <c r="N18" s="3180"/>
      <c r="O18" s="3199" t="s">
        <v>3498</v>
      </c>
    </row>
    <row r="19" spans="1:76" ht="14.25">
      <c r="A19" s="3184">
        <v>17</v>
      </c>
      <c r="B19" s="3638"/>
      <c r="C19" s="3185" t="s">
        <v>3501</v>
      </c>
      <c r="D19" s="3185" t="s">
        <v>3502</v>
      </c>
      <c r="E19" s="3177"/>
      <c r="F19" s="3177">
        <v>463.77</v>
      </c>
      <c r="G19" s="3179" t="s">
        <v>3496</v>
      </c>
      <c r="H19" s="3179" t="s">
        <v>3497</v>
      </c>
      <c r="I19" s="3180"/>
      <c r="J19" s="3181">
        <f>366/30</f>
        <v>12.2</v>
      </c>
      <c r="K19" s="3180"/>
      <c r="L19" s="3181">
        <f>F19*366*11.5</f>
        <v>1952007.9300000002</v>
      </c>
      <c r="M19" s="3180"/>
      <c r="N19" s="3180"/>
      <c r="O19" s="3199" t="s">
        <v>3498</v>
      </c>
    </row>
    <row r="20" spans="1:76" ht="14.25">
      <c r="A20" s="3184">
        <v>18</v>
      </c>
      <c r="B20" s="3638"/>
      <c r="C20" s="3185" t="s">
        <v>3503</v>
      </c>
      <c r="D20" s="3185" t="s">
        <v>3504</v>
      </c>
      <c r="F20" s="3178">
        <v>1049.17</v>
      </c>
      <c r="G20" s="3197">
        <v>45017</v>
      </c>
      <c r="H20" s="3197">
        <v>45657</v>
      </c>
      <c r="I20" s="3180"/>
      <c r="J20" s="3181">
        <f>366/30</f>
        <v>12.2</v>
      </c>
      <c r="K20" s="3180"/>
      <c r="L20" s="3182">
        <f>F20*366*12</f>
        <v>4607954.6400000006</v>
      </c>
      <c r="M20" s="3180"/>
      <c r="N20" s="3180"/>
      <c r="O20" s="3180"/>
    </row>
    <row r="21" spans="1:76" ht="14.25">
      <c r="A21" s="3184">
        <v>19</v>
      </c>
      <c r="B21" s="3638"/>
      <c r="C21" s="3185" t="s">
        <v>3505</v>
      </c>
      <c r="D21" s="3185" t="s">
        <v>3506</v>
      </c>
      <c r="E21" s="3180"/>
      <c r="F21" s="3178">
        <v>2898.26</v>
      </c>
      <c r="G21" s="3197">
        <v>44835</v>
      </c>
      <c r="H21" s="3197">
        <v>45930</v>
      </c>
      <c r="I21" s="3180"/>
      <c r="J21" s="3181">
        <f>368/30</f>
        <v>12.266666666666667</v>
      </c>
      <c r="K21" s="3180"/>
      <c r="L21" s="3181">
        <f>368*F21*12</f>
        <v>12798716.160000002</v>
      </c>
      <c r="M21" s="3180"/>
      <c r="N21" s="3180"/>
      <c r="O21" s="3180"/>
    </row>
    <row r="22" spans="1:76" ht="14.25">
      <c r="A22" s="3184">
        <v>20</v>
      </c>
      <c r="B22" s="3638"/>
      <c r="C22" s="3185" t="s">
        <v>3507</v>
      </c>
      <c r="D22" s="3185" t="s">
        <v>3508</v>
      </c>
      <c r="E22" s="3180"/>
      <c r="F22" s="3178">
        <v>2898.26</v>
      </c>
      <c r="G22" s="3179" t="s">
        <v>3496</v>
      </c>
      <c r="H22" s="3179" t="s">
        <v>3497</v>
      </c>
      <c r="I22" s="3180"/>
      <c r="J22" s="3181">
        <f>368/30</f>
        <v>12.266666666666667</v>
      </c>
      <c r="K22" s="3180"/>
      <c r="L22" s="3182">
        <f>F22*368*12</f>
        <v>12798716.160000002</v>
      </c>
      <c r="M22" s="3180"/>
      <c r="N22" s="3180"/>
      <c r="O22" s="3180"/>
    </row>
    <row r="23" spans="1:76" ht="14.25">
      <c r="A23" s="3184">
        <v>21</v>
      </c>
      <c r="B23" s="3638"/>
      <c r="C23" s="3180" t="s">
        <v>3509</v>
      </c>
      <c r="D23" s="3185" t="s">
        <v>3510</v>
      </c>
      <c r="E23" s="3180"/>
      <c r="F23" s="3178">
        <v>32508.240000000002</v>
      </c>
      <c r="G23" s="3197">
        <v>44652</v>
      </c>
      <c r="H23" s="3197">
        <v>45747</v>
      </c>
      <c r="I23" s="3180"/>
      <c r="J23" s="3181">
        <f>312/30</f>
        <v>10.4</v>
      </c>
      <c r="K23" s="3180"/>
      <c r="L23" s="3182">
        <f>312*F23*12</f>
        <v>121710850.56</v>
      </c>
      <c r="M23" s="3180"/>
      <c r="N23" s="3181">
        <v>33</v>
      </c>
      <c r="O23" s="3180"/>
    </row>
    <row r="24" spans="1:76" ht="14.25">
      <c r="A24" s="3184">
        <v>22</v>
      </c>
      <c r="B24" s="3636"/>
      <c r="C24" s="3180" t="s">
        <v>3509</v>
      </c>
      <c r="D24" s="3185" t="s">
        <v>3511</v>
      </c>
      <c r="F24" s="3178">
        <v>3297.3</v>
      </c>
      <c r="G24" s="3197">
        <v>44197</v>
      </c>
      <c r="H24" s="3197">
        <v>45291</v>
      </c>
      <c r="I24" s="3180"/>
      <c r="J24" s="3200">
        <f>475/30</f>
        <v>15.833333333333334</v>
      </c>
      <c r="K24" s="3180"/>
      <c r="L24" s="3182">
        <f>475*12*F24</f>
        <v>18794610</v>
      </c>
      <c r="M24" s="3180"/>
      <c r="N24" s="3181">
        <v>50</v>
      </c>
      <c r="O24" s="3180"/>
    </row>
    <row r="25" spans="1:76" s="3208" customFormat="1" ht="14.25">
      <c r="A25" s="3201">
        <v>23</v>
      </c>
      <c r="B25" s="3639" t="s">
        <v>3512</v>
      </c>
      <c r="C25" s="3202" t="s">
        <v>3513</v>
      </c>
      <c r="D25" s="3202" t="s">
        <v>3514</v>
      </c>
      <c r="E25" s="3203"/>
      <c r="F25" s="3203">
        <v>689</v>
      </c>
      <c r="G25" s="3204" t="s">
        <v>3453</v>
      </c>
      <c r="H25" s="3204" t="s">
        <v>3454</v>
      </c>
      <c r="I25" s="3205"/>
      <c r="J25" s="3206">
        <f>257.25/30</f>
        <v>8.5749999999999993</v>
      </c>
      <c r="K25" s="3205"/>
      <c r="L25" s="3207">
        <f>F25*257.25*12</f>
        <v>2126943</v>
      </c>
      <c r="M25" s="3205"/>
      <c r="N25" s="3205"/>
      <c r="O25" s="3205"/>
    </row>
    <row r="26" spans="1:76" s="3216" customFormat="1" ht="14.25">
      <c r="A26" s="3209">
        <v>24</v>
      </c>
      <c r="B26" s="3640"/>
      <c r="C26" s="3210" t="s">
        <v>3513</v>
      </c>
      <c r="D26" s="3210" t="s">
        <v>3514</v>
      </c>
      <c r="E26" s="3211"/>
      <c r="F26" s="3211">
        <v>188</v>
      </c>
      <c r="G26" s="3212" t="s">
        <v>3453</v>
      </c>
      <c r="H26" s="3212" t="s">
        <v>3454</v>
      </c>
      <c r="I26" s="3213"/>
      <c r="J26" s="3214">
        <f>393.75/30</f>
        <v>13.125</v>
      </c>
      <c r="K26" s="3213"/>
      <c r="L26" s="3215">
        <f>F26*257.25*12</f>
        <v>580356</v>
      </c>
      <c r="M26" s="3213"/>
      <c r="N26" s="3213"/>
      <c r="O26" s="3213"/>
    </row>
    <row r="27" spans="1:76" ht="14.25">
      <c r="A27" s="3184">
        <v>25</v>
      </c>
      <c r="B27" s="3184" t="s">
        <v>3515</v>
      </c>
      <c r="C27" s="3180" t="s">
        <v>3516</v>
      </c>
      <c r="D27" s="3185" t="s">
        <v>3517</v>
      </c>
      <c r="E27" s="3180"/>
      <c r="F27" s="3178">
        <v>1146.78</v>
      </c>
      <c r="G27" s="3197">
        <v>45170</v>
      </c>
      <c r="H27" s="3197">
        <v>47361</v>
      </c>
      <c r="I27" s="3180"/>
      <c r="J27" s="3181">
        <f>360/30</f>
        <v>12</v>
      </c>
      <c r="K27" s="3180"/>
      <c r="L27" s="3182">
        <f>360*F27*11</f>
        <v>4541248.8</v>
      </c>
      <c r="M27" s="3180"/>
      <c r="N27" s="3180"/>
      <c r="O27" s="3180" t="s">
        <v>3518</v>
      </c>
    </row>
    <row r="28" spans="1:76">
      <c r="A28" s="3180"/>
      <c r="B28" s="3180"/>
      <c r="C28" s="3180"/>
      <c r="D28" s="3180"/>
      <c r="E28" s="3180"/>
      <c r="F28" s="3180"/>
      <c r="G28" s="3186"/>
      <c r="H28" s="3186"/>
      <c r="I28" s="3180"/>
      <c r="J28" s="3180"/>
      <c r="K28" s="3180"/>
      <c r="L28" s="3180"/>
      <c r="M28" s="3180"/>
      <c r="N28" s="3180"/>
      <c r="O28" s="3180"/>
    </row>
    <row r="30" spans="1:76" ht="12.75" thickBot="1"/>
    <row r="31" spans="1:76" s="3218" customFormat="1" ht="10.5">
      <c r="A31" s="3627" t="s">
        <v>3519</v>
      </c>
      <c r="B31" s="3629" t="s">
        <v>3520</v>
      </c>
      <c r="C31" s="3631" t="s">
        <v>3521</v>
      </c>
      <c r="D31" s="3631"/>
      <c r="E31" s="3631" t="s">
        <v>3522</v>
      </c>
      <c r="F31" s="3631" t="s">
        <v>3523</v>
      </c>
      <c r="G31" s="3633" t="s">
        <v>3524</v>
      </c>
      <c r="H31" s="3633" t="s">
        <v>3525</v>
      </c>
      <c r="I31" s="3622" t="s">
        <v>3526</v>
      </c>
      <c r="J31" s="3624" t="s">
        <v>3527</v>
      </c>
      <c r="K31" s="3626" t="s">
        <v>672</v>
      </c>
      <c r="L31" s="3621"/>
      <c r="M31" s="3621" t="s">
        <v>3528</v>
      </c>
      <c r="N31" s="3621"/>
      <c r="O31" s="3621" t="s">
        <v>3529</v>
      </c>
      <c r="P31" s="3621"/>
      <c r="Q31" s="3621" t="s">
        <v>3530</v>
      </c>
      <c r="R31" s="3621"/>
      <c r="S31" s="3621"/>
      <c r="T31" s="3621"/>
      <c r="U31" s="3621" t="s">
        <v>3531</v>
      </c>
      <c r="V31" s="3621"/>
      <c r="W31" s="3621"/>
      <c r="X31" s="3621"/>
      <c r="Y31" s="3621"/>
      <c r="Z31" s="3621" t="s">
        <v>3532</v>
      </c>
      <c r="AA31" s="3621"/>
      <c r="AB31" s="3621" t="s">
        <v>3533</v>
      </c>
      <c r="AC31" s="3621"/>
      <c r="AD31" s="3621" t="s">
        <v>3534</v>
      </c>
      <c r="AE31" s="3621"/>
      <c r="AF31" s="3621" t="s">
        <v>3535</v>
      </c>
      <c r="AG31" s="3621"/>
      <c r="AH31" s="3621" t="s">
        <v>3536</v>
      </c>
      <c r="AI31" s="3621"/>
      <c r="AJ31" s="3616" t="s">
        <v>3537</v>
      </c>
      <c r="AK31" s="3618" t="s">
        <v>3538</v>
      </c>
      <c r="AL31" s="3608"/>
      <c r="AM31" s="3608" t="s">
        <v>3539</v>
      </c>
      <c r="AN31" s="3608"/>
      <c r="AO31" s="3608" t="s">
        <v>3540</v>
      </c>
      <c r="AP31" s="3608"/>
      <c r="AQ31" s="3608" t="s">
        <v>3541</v>
      </c>
      <c r="AR31" s="3608"/>
      <c r="AS31" s="3608"/>
      <c r="AT31" s="3608"/>
      <c r="AU31" s="3608"/>
      <c r="AV31" s="3619" t="s">
        <v>3542</v>
      </c>
      <c r="AW31" s="3619" t="s">
        <v>3543</v>
      </c>
      <c r="AX31" s="3608" t="s">
        <v>3544</v>
      </c>
      <c r="AY31" s="3608"/>
      <c r="AZ31" s="3608"/>
      <c r="BA31" s="3608"/>
      <c r="BB31" s="3608"/>
      <c r="BC31" s="3217" t="s">
        <v>3545</v>
      </c>
      <c r="BD31" s="3608" t="s">
        <v>3546</v>
      </c>
      <c r="BE31" s="3608"/>
      <c r="BF31" s="3608"/>
      <c r="BG31" s="3608" t="s">
        <v>3547</v>
      </c>
      <c r="BH31" s="3608" t="s">
        <v>3548</v>
      </c>
      <c r="BI31" s="3608"/>
      <c r="BJ31" s="3608" t="s">
        <v>3549</v>
      </c>
      <c r="BK31" s="3608" t="s">
        <v>3550</v>
      </c>
      <c r="BL31" s="3608"/>
      <c r="BM31" s="3608" t="s">
        <v>3551</v>
      </c>
      <c r="BN31" s="3609"/>
      <c r="BO31" s="3610" t="s">
        <v>3552</v>
      </c>
      <c r="BP31" s="3611"/>
      <c r="BQ31" s="3611"/>
      <c r="BR31" s="3611"/>
      <c r="BS31" s="3612"/>
      <c r="BT31" s="3613" t="s">
        <v>3553</v>
      </c>
      <c r="BU31" s="3606" t="s">
        <v>3554</v>
      </c>
      <c r="BV31" s="3606" t="s">
        <v>3555</v>
      </c>
      <c r="BW31" s="3606" t="s">
        <v>3556</v>
      </c>
      <c r="BX31" s="3606" t="s">
        <v>3557</v>
      </c>
    </row>
    <row r="32" spans="1:76" s="3218" customFormat="1" ht="32.25" thickBot="1">
      <c r="A32" s="3628"/>
      <c r="B32" s="3630"/>
      <c r="C32" s="3219" t="s">
        <v>3558</v>
      </c>
      <c r="D32" s="3220" t="s">
        <v>3559</v>
      </c>
      <c r="E32" s="3632"/>
      <c r="F32" s="3632"/>
      <c r="G32" s="3634"/>
      <c r="H32" s="3634"/>
      <c r="I32" s="3623"/>
      <c r="J32" s="3625"/>
      <c r="K32" s="3221" t="s">
        <v>3560</v>
      </c>
      <c r="L32" s="3222" t="s">
        <v>3561</v>
      </c>
      <c r="M32" s="3223" t="s">
        <v>3562</v>
      </c>
      <c r="N32" s="3223" t="s">
        <v>3511</v>
      </c>
      <c r="O32" s="3222" t="s">
        <v>3563</v>
      </c>
      <c r="P32" s="3222" t="s">
        <v>3564</v>
      </c>
      <c r="Q32" s="3223" t="s">
        <v>3565</v>
      </c>
      <c r="R32" s="3223" t="s">
        <v>3566</v>
      </c>
      <c r="S32" s="3222" t="s">
        <v>3567</v>
      </c>
      <c r="T32" s="3222" t="s">
        <v>3568</v>
      </c>
      <c r="U32" s="3222" t="s">
        <v>3569</v>
      </c>
      <c r="V32" s="3222" t="s">
        <v>3570</v>
      </c>
      <c r="W32" s="3222" t="s">
        <v>3571</v>
      </c>
      <c r="X32" s="3222" t="s">
        <v>3572</v>
      </c>
      <c r="Y32" s="3222" t="s">
        <v>3431</v>
      </c>
      <c r="Z32" s="3222" t="s">
        <v>3573</v>
      </c>
      <c r="AA32" s="3222" t="s">
        <v>3574</v>
      </c>
      <c r="AB32" s="3223" t="s">
        <v>3575</v>
      </c>
      <c r="AC32" s="3222" t="s">
        <v>3576</v>
      </c>
      <c r="AD32" s="3223" t="s">
        <v>3577</v>
      </c>
      <c r="AE32" s="3223" t="s">
        <v>3578</v>
      </c>
      <c r="AF32" s="3223" t="s">
        <v>3575</v>
      </c>
      <c r="AG32" s="3223" t="s">
        <v>3576</v>
      </c>
      <c r="AH32" s="3223" t="s">
        <v>3579</v>
      </c>
      <c r="AI32" s="3223" t="s">
        <v>3580</v>
      </c>
      <c r="AJ32" s="3617"/>
      <c r="AK32" s="3224" t="s">
        <v>3581</v>
      </c>
      <c r="AL32" s="3225" t="s">
        <v>3582</v>
      </c>
      <c r="AM32" s="3225" t="s">
        <v>3583</v>
      </c>
      <c r="AN32" s="3225" t="s">
        <v>3584</v>
      </c>
      <c r="AO32" s="3225" t="s">
        <v>3585</v>
      </c>
      <c r="AP32" s="3226" t="s">
        <v>3576</v>
      </c>
      <c r="AQ32" s="3226" t="s">
        <v>3586</v>
      </c>
      <c r="AR32" s="3225" t="s">
        <v>3587</v>
      </c>
      <c r="AS32" s="3225" t="s">
        <v>3588</v>
      </c>
      <c r="AT32" s="3225" t="s">
        <v>3589</v>
      </c>
      <c r="AU32" s="3226" t="s">
        <v>3590</v>
      </c>
      <c r="AV32" s="3620"/>
      <c r="AW32" s="3620"/>
      <c r="AX32" s="3227" t="s">
        <v>3591</v>
      </c>
      <c r="AY32" s="3227" t="s">
        <v>3592</v>
      </c>
      <c r="AZ32" s="3228" t="s">
        <v>3593</v>
      </c>
      <c r="BA32" s="3228" t="s">
        <v>3594</v>
      </c>
      <c r="BB32" s="3228" t="s">
        <v>3595</v>
      </c>
      <c r="BC32" s="3227"/>
      <c r="BD32" s="3225" t="s">
        <v>3596</v>
      </c>
      <c r="BE32" s="3225" t="s">
        <v>3597</v>
      </c>
      <c r="BF32" s="3225" t="s">
        <v>3598</v>
      </c>
      <c r="BG32" s="3615"/>
      <c r="BH32" s="3225" t="s">
        <v>3599</v>
      </c>
      <c r="BI32" s="3225" t="s">
        <v>3600</v>
      </c>
      <c r="BJ32" s="3615"/>
      <c r="BK32" s="3226" t="s">
        <v>3601</v>
      </c>
      <c r="BL32" s="3225" t="s">
        <v>3602</v>
      </c>
      <c r="BM32" s="3225" t="s">
        <v>3603</v>
      </c>
      <c r="BN32" s="3229" t="s">
        <v>3604</v>
      </c>
      <c r="BO32" s="3230" t="s">
        <v>3605</v>
      </c>
      <c r="BP32" s="3231" t="s">
        <v>3593</v>
      </c>
      <c r="BQ32" s="3230" t="s">
        <v>3606</v>
      </c>
      <c r="BR32" s="3230" t="s">
        <v>3607</v>
      </c>
      <c r="BS32" s="3232" t="s">
        <v>3608</v>
      </c>
      <c r="BT32" s="3614"/>
      <c r="BU32" s="3607"/>
      <c r="BV32" s="3607"/>
      <c r="BW32" s="3607"/>
      <c r="BX32" s="3607"/>
    </row>
    <row r="33" spans="1:77" s="3260" customFormat="1" ht="12.75" thickBot="1">
      <c r="A33" s="3233" t="s">
        <v>3609</v>
      </c>
      <c r="B33" s="3234" t="s">
        <v>3610</v>
      </c>
      <c r="C33" s="3235" t="s">
        <v>3611</v>
      </c>
      <c r="D33" s="3235" t="str">
        <f t="shared" ref="D33" si="0">C33</f>
        <v>北京市朝阳区樱花园东街</v>
      </c>
      <c r="E33" s="3235" t="s">
        <v>3612</v>
      </c>
      <c r="F33" s="3235" t="s">
        <v>3612</v>
      </c>
      <c r="G33" s="3235" t="s">
        <v>3613</v>
      </c>
      <c r="H33" s="3236" t="s">
        <v>3614</v>
      </c>
      <c r="I33" s="3237" t="s">
        <v>3615</v>
      </c>
      <c r="J33" s="3238" t="s">
        <v>3616</v>
      </c>
      <c r="K33" s="3239" t="s">
        <v>673</v>
      </c>
      <c r="L33" s="3240" t="s">
        <v>673</v>
      </c>
      <c r="M33" s="3241" t="s">
        <v>3617</v>
      </c>
      <c r="N33" s="3240" t="s">
        <v>3618</v>
      </c>
      <c r="O33" s="3240" t="s">
        <v>3619</v>
      </c>
      <c r="P33" s="3240" t="s">
        <v>3618</v>
      </c>
      <c r="Q33" s="3242">
        <v>3</v>
      </c>
      <c r="R33" s="3242">
        <v>0</v>
      </c>
      <c r="S33" s="3243" t="s">
        <v>3620</v>
      </c>
      <c r="T33" s="3240" t="s">
        <v>3621</v>
      </c>
      <c r="U33" s="3240" t="s">
        <v>3622</v>
      </c>
      <c r="V33" s="3242">
        <v>6.5</v>
      </c>
      <c r="W33" s="3242">
        <v>16</v>
      </c>
      <c r="X33" s="3242" t="s">
        <v>3618</v>
      </c>
      <c r="Y33" s="3242" t="s">
        <v>3618</v>
      </c>
      <c r="Z33" s="3242">
        <v>3</v>
      </c>
      <c r="AA33" s="3242" t="s">
        <v>3618</v>
      </c>
      <c r="AB33" s="3242" t="s">
        <v>3618</v>
      </c>
      <c r="AC33" s="3242">
        <v>1998</v>
      </c>
      <c r="AD33" s="3242" t="s">
        <v>3618</v>
      </c>
      <c r="AE33" s="3242" t="s">
        <v>3618</v>
      </c>
      <c r="AF33" s="3244">
        <v>54325</v>
      </c>
      <c r="AG33" s="3242" t="s">
        <v>3618</v>
      </c>
      <c r="AH33" s="3242" t="s">
        <v>3618</v>
      </c>
      <c r="AI33" s="3242" t="s">
        <v>3618</v>
      </c>
      <c r="AJ33" s="3242" t="s">
        <v>3618</v>
      </c>
      <c r="AK33" s="3245" t="s">
        <v>3623</v>
      </c>
      <c r="AL33" s="3245" t="s">
        <v>3624</v>
      </c>
      <c r="AM33" s="3240" t="s">
        <v>3625</v>
      </c>
      <c r="AN33" s="3240" t="s">
        <v>3618</v>
      </c>
      <c r="AO33" s="3242" t="s">
        <v>3618</v>
      </c>
      <c r="AP33" s="3242" t="s">
        <v>3618</v>
      </c>
      <c r="AQ33" s="3245">
        <v>102.86</v>
      </c>
      <c r="AR33" s="3246" t="s">
        <v>3618</v>
      </c>
      <c r="AS33" s="3246">
        <f>AQ33</f>
        <v>102.86</v>
      </c>
      <c r="AT33" s="3247" t="e">
        <f t="shared" ref="AT33:AT43" si="1">IF(OR(AQ33=0,AR33=0,AS33=0),"/",AR33/AS33)</f>
        <v>#VALUE!</v>
      </c>
      <c r="AU33" s="3246" t="s">
        <v>3618</v>
      </c>
      <c r="AV33" s="3240" t="s">
        <v>3626</v>
      </c>
      <c r="AW33" s="3248" t="s">
        <v>3431</v>
      </c>
      <c r="AX33" s="3245">
        <f>ROUND(60*10000/365/AQ33,1)</f>
        <v>16</v>
      </c>
      <c r="AY33" s="3249">
        <f t="shared" ref="AY33:AY43" si="2">ROUND((AX33-BA33/30-BB33)/(1+AZ33),2)</f>
        <v>15.24</v>
      </c>
      <c r="AZ33" s="3250">
        <v>0.05</v>
      </c>
      <c r="BA33" s="3245">
        <v>0</v>
      </c>
      <c r="BB33" s="3245">
        <v>0</v>
      </c>
      <c r="BC33" s="3246" t="s">
        <v>3618</v>
      </c>
      <c r="BD33" s="3251">
        <v>44071</v>
      </c>
      <c r="BE33" s="3251">
        <v>45946</v>
      </c>
      <c r="BF33" s="3245">
        <v>5</v>
      </c>
      <c r="BG33" s="3246" t="s">
        <v>3618</v>
      </c>
      <c r="BH33" s="3245" t="s">
        <v>3627</v>
      </c>
      <c r="BI33" s="3252">
        <v>1.6E-2</v>
      </c>
      <c r="BJ33" s="3246" t="s">
        <v>3618</v>
      </c>
      <c r="BK33" s="3240" t="s">
        <v>3628</v>
      </c>
      <c r="BL33" s="3251">
        <v>44066</v>
      </c>
      <c r="BM33" s="3240" t="s">
        <v>3629</v>
      </c>
      <c r="BN33" s="3246" t="s">
        <v>3618</v>
      </c>
      <c r="BO33" s="3253" t="s">
        <v>3618</v>
      </c>
      <c r="BP33" s="3254" t="s">
        <v>3618</v>
      </c>
      <c r="BQ33" s="3255" t="s">
        <v>3618</v>
      </c>
      <c r="BR33" s="3255" t="s">
        <v>3618</v>
      </c>
      <c r="BS33" s="3255" t="s">
        <v>3618</v>
      </c>
      <c r="BT33" s="3256" t="s">
        <v>3630</v>
      </c>
      <c r="BU33" s="3256" t="s">
        <v>3631</v>
      </c>
      <c r="BV33" s="3257">
        <v>45139</v>
      </c>
      <c r="BW33" s="3258" t="s">
        <v>3632</v>
      </c>
      <c r="BX33" s="3259">
        <v>45139</v>
      </c>
    </row>
    <row r="34" spans="1:77" s="3260" customFormat="1" ht="12.75" thickBot="1">
      <c r="A34" s="3233" t="s">
        <v>3633</v>
      </c>
      <c r="B34" s="3234" t="s">
        <v>3634</v>
      </c>
      <c r="C34" s="3235" t="s">
        <v>3635</v>
      </c>
      <c r="D34" s="3235" t="s">
        <v>3618</v>
      </c>
      <c r="E34" s="3235" t="s">
        <v>3612</v>
      </c>
      <c r="F34" s="3235" t="s">
        <v>3612</v>
      </c>
      <c r="G34" s="3235" t="s">
        <v>3613</v>
      </c>
      <c r="H34" s="3236" t="s">
        <v>3636</v>
      </c>
      <c r="I34" s="3237" t="s">
        <v>3637</v>
      </c>
      <c r="J34" s="3238" t="s">
        <v>3616</v>
      </c>
      <c r="K34" s="3239" t="s">
        <v>3638</v>
      </c>
      <c r="L34" s="3240" t="s">
        <v>673</v>
      </c>
      <c r="M34" s="3241" t="s">
        <v>3639</v>
      </c>
      <c r="N34" s="3240" t="s">
        <v>3617</v>
      </c>
      <c r="O34" s="3240" t="s">
        <v>3640</v>
      </c>
      <c r="P34" s="3240"/>
      <c r="Q34" s="3242">
        <v>17</v>
      </c>
      <c r="R34" s="3242">
        <v>3</v>
      </c>
      <c r="S34" s="3242">
        <v>1</v>
      </c>
      <c r="T34" s="3240" t="s">
        <v>3621</v>
      </c>
      <c r="U34" s="3240" t="s">
        <v>3622</v>
      </c>
      <c r="V34" s="3242" t="s">
        <v>3618</v>
      </c>
      <c r="W34" s="3242" t="s">
        <v>3618</v>
      </c>
      <c r="X34" s="3242" t="s">
        <v>3618</v>
      </c>
      <c r="Y34" s="3242" t="s">
        <v>3618</v>
      </c>
      <c r="Z34" s="3242" t="s">
        <v>3618</v>
      </c>
      <c r="AA34" s="3242" t="s">
        <v>3618</v>
      </c>
      <c r="AB34" s="3242">
        <v>2005</v>
      </c>
      <c r="AC34" s="3242" t="s">
        <v>3618</v>
      </c>
      <c r="AD34" s="3242" t="s">
        <v>3618</v>
      </c>
      <c r="AE34" s="3242" t="s">
        <v>3618</v>
      </c>
      <c r="AF34" s="3244">
        <v>56047</v>
      </c>
      <c r="AG34" s="3242" t="s">
        <v>3618</v>
      </c>
      <c r="AH34" s="3242" t="s">
        <v>3618</v>
      </c>
      <c r="AI34" s="3242" t="s">
        <v>3618</v>
      </c>
      <c r="AJ34" s="3261" t="s">
        <v>3618</v>
      </c>
      <c r="AK34" s="3245" t="s">
        <v>3641</v>
      </c>
      <c r="AL34" s="3245" t="s">
        <v>3618</v>
      </c>
      <c r="AM34" s="3240" t="s">
        <v>3642</v>
      </c>
      <c r="AN34" s="3240"/>
      <c r="AO34" s="3245" t="s">
        <v>3618</v>
      </c>
      <c r="AP34" s="3245" t="s">
        <v>3618</v>
      </c>
      <c r="AQ34" s="3245">
        <v>574.37</v>
      </c>
      <c r="AR34" s="3246" t="s">
        <v>3618</v>
      </c>
      <c r="AS34" s="3245" t="s">
        <v>3618</v>
      </c>
      <c r="AT34" s="3247" t="e">
        <f t="shared" si="1"/>
        <v>#VALUE!</v>
      </c>
      <c r="AU34" s="3262" t="s">
        <v>3618</v>
      </c>
      <c r="AV34" s="3240" t="s">
        <v>3643</v>
      </c>
      <c r="AW34" s="3248" t="s">
        <v>3644</v>
      </c>
      <c r="AX34" s="3245">
        <v>10.34</v>
      </c>
      <c r="AY34" s="3249">
        <f t="shared" si="2"/>
        <v>9.85</v>
      </c>
      <c r="AZ34" s="3250">
        <v>0.05</v>
      </c>
      <c r="BA34" s="3245">
        <v>0</v>
      </c>
      <c r="BB34" s="3245">
        <v>0</v>
      </c>
      <c r="BC34" s="3246" t="s">
        <v>3618</v>
      </c>
      <c r="BD34" s="3251">
        <v>43831</v>
      </c>
      <c r="BE34" s="3251">
        <v>45291</v>
      </c>
      <c r="BF34" s="3245">
        <v>4</v>
      </c>
      <c r="BG34" s="3245" t="s">
        <v>3618</v>
      </c>
      <c r="BH34" s="3245" t="s">
        <v>3645</v>
      </c>
      <c r="BI34" s="3252">
        <v>3.2000000000000001E-2</v>
      </c>
      <c r="BJ34" s="3245" t="s">
        <v>3618</v>
      </c>
      <c r="BK34" s="3240" t="s">
        <v>3628</v>
      </c>
      <c r="BL34" s="3251">
        <v>43810</v>
      </c>
      <c r="BM34" s="3240" t="s">
        <v>3629</v>
      </c>
      <c r="BN34" s="3263" t="s">
        <v>3618</v>
      </c>
      <c r="BO34" s="3253">
        <v>11.9</v>
      </c>
      <c r="BP34" s="3254">
        <v>0.05</v>
      </c>
      <c r="BQ34" s="3255">
        <v>0</v>
      </c>
      <c r="BR34" s="3255">
        <v>0</v>
      </c>
      <c r="BS34" s="3264" t="s">
        <v>3618</v>
      </c>
      <c r="BT34" s="3256" t="s">
        <v>3618</v>
      </c>
      <c r="BU34" s="3256"/>
      <c r="BV34" s="3257"/>
      <c r="BW34" s="3256"/>
      <c r="BX34" s="3265"/>
    </row>
    <row r="35" spans="1:77" s="3260" customFormat="1" ht="12.75" thickBot="1">
      <c r="A35" s="3233" t="s">
        <v>3646</v>
      </c>
      <c r="B35" s="3234" t="s">
        <v>3647</v>
      </c>
      <c r="C35" s="3235" t="s">
        <v>3618</v>
      </c>
      <c r="D35" s="3235" t="s">
        <v>3648</v>
      </c>
      <c r="E35" s="3235" t="s">
        <v>3612</v>
      </c>
      <c r="F35" s="3235" t="s">
        <v>3612</v>
      </c>
      <c r="G35" s="3235" t="s">
        <v>3613</v>
      </c>
      <c r="H35" s="3236" t="s">
        <v>3649</v>
      </c>
      <c r="I35" s="3237" t="s">
        <v>3637</v>
      </c>
      <c r="J35" s="3238" t="s">
        <v>3650</v>
      </c>
      <c r="K35" s="3239" t="s">
        <v>3618</v>
      </c>
      <c r="L35" s="3240" t="s">
        <v>673</v>
      </c>
      <c r="M35" s="3241" t="s">
        <v>3639</v>
      </c>
      <c r="N35" s="3240" t="s">
        <v>3617</v>
      </c>
      <c r="O35" s="3240" t="s">
        <v>3651</v>
      </c>
      <c r="P35" s="3240"/>
      <c r="Q35" s="3242" t="s">
        <v>3618</v>
      </c>
      <c r="R35" s="3242" t="s">
        <v>3618</v>
      </c>
      <c r="S35" s="3242" t="s">
        <v>3652</v>
      </c>
      <c r="T35" s="3240" t="s">
        <v>3621</v>
      </c>
      <c r="U35" s="3240" t="s">
        <v>3622</v>
      </c>
      <c r="V35" s="3242" t="s">
        <v>3618</v>
      </c>
      <c r="W35" s="3242" t="s">
        <v>3618</v>
      </c>
      <c r="X35" s="3242" t="s">
        <v>3618</v>
      </c>
      <c r="Y35" s="3242" t="s">
        <v>3618</v>
      </c>
      <c r="Z35" s="3242" t="s">
        <v>3618</v>
      </c>
      <c r="AA35" s="3242" t="s">
        <v>3618</v>
      </c>
      <c r="AB35" s="3242">
        <v>2006</v>
      </c>
      <c r="AC35" s="3242" t="s">
        <v>3618</v>
      </c>
      <c r="AD35" s="3242" t="s">
        <v>3618</v>
      </c>
      <c r="AE35" s="3242" t="s">
        <v>3618</v>
      </c>
      <c r="AF35" s="3244" t="s">
        <v>3618</v>
      </c>
      <c r="AG35" s="3242" t="s">
        <v>3618</v>
      </c>
      <c r="AH35" s="3242" t="s">
        <v>3618</v>
      </c>
      <c r="AI35" s="3242" t="s">
        <v>3618</v>
      </c>
      <c r="AJ35" s="3261" t="s">
        <v>3618</v>
      </c>
      <c r="AK35" s="3245" t="s">
        <v>3618</v>
      </c>
      <c r="AL35" s="3245" t="s">
        <v>3618</v>
      </c>
      <c r="AM35" s="3240"/>
      <c r="AN35" s="3240"/>
      <c r="AO35" s="3245" t="s">
        <v>3618</v>
      </c>
      <c r="AP35" s="3245" t="s">
        <v>3618</v>
      </c>
      <c r="AQ35" s="3245">
        <v>180</v>
      </c>
      <c r="AR35" s="3246" t="s">
        <v>3618</v>
      </c>
      <c r="AS35" s="3245">
        <v>180</v>
      </c>
      <c r="AT35" s="3247" t="e">
        <f t="shared" si="1"/>
        <v>#VALUE!</v>
      </c>
      <c r="AU35" s="3262" t="s">
        <v>3618</v>
      </c>
      <c r="AV35" s="3240"/>
      <c r="AW35" s="3248"/>
      <c r="AX35" s="3245">
        <v>13.57</v>
      </c>
      <c r="AY35" s="3249">
        <f t="shared" si="2"/>
        <v>12.92</v>
      </c>
      <c r="AZ35" s="3250">
        <v>0.05</v>
      </c>
      <c r="BA35" s="3245">
        <v>0</v>
      </c>
      <c r="BB35" s="3245">
        <v>0</v>
      </c>
      <c r="BC35" s="3246" t="s">
        <v>3618</v>
      </c>
      <c r="BD35" s="3251" t="s">
        <v>3618</v>
      </c>
      <c r="BE35" s="3251" t="s">
        <v>3618</v>
      </c>
      <c r="BF35" s="3245" t="s">
        <v>3618</v>
      </c>
      <c r="BG35" s="3245" t="s">
        <v>3618</v>
      </c>
      <c r="BH35" s="3245" t="s">
        <v>3618</v>
      </c>
      <c r="BI35" s="3252" t="s">
        <v>3618</v>
      </c>
      <c r="BJ35" s="3245" t="s">
        <v>3618</v>
      </c>
      <c r="BK35" s="3240"/>
      <c r="BL35" s="3251" t="s">
        <v>3618</v>
      </c>
      <c r="BM35" s="3240"/>
      <c r="BN35" s="3263" t="s">
        <v>3618</v>
      </c>
      <c r="BO35" s="3253" t="s">
        <v>3618</v>
      </c>
      <c r="BP35" s="3254"/>
      <c r="BQ35" s="3255" t="s">
        <v>3618</v>
      </c>
      <c r="BR35" s="3255" t="s">
        <v>3618</v>
      </c>
      <c r="BS35" s="3264" t="s">
        <v>3618</v>
      </c>
      <c r="BT35" s="3256" t="s">
        <v>3618</v>
      </c>
      <c r="BU35" s="3256"/>
      <c r="BV35" s="3257"/>
      <c r="BW35" s="3256"/>
      <c r="BX35" s="3265"/>
    </row>
    <row r="36" spans="1:77" s="3267" customFormat="1" ht="14.25" thickBot="1">
      <c r="A36" s="3233" t="s">
        <v>3653</v>
      </c>
      <c r="B36" s="3234" t="s">
        <v>3654</v>
      </c>
      <c r="C36" s="3235" t="s">
        <v>3655</v>
      </c>
      <c r="D36" s="3235" t="s">
        <v>3655</v>
      </c>
      <c r="E36" s="3235" t="s">
        <v>3612</v>
      </c>
      <c r="F36" s="3235" t="s">
        <v>3612</v>
      </c>
      <c r="G36" s="3235" t="s">
        <v>3656</v>
      </c>
      <c r="H36" s="3236" t="s">
        <v>3657</v>
      </c>
      <c r="I36" s="3237" t="s">
        <v>3637</v>
      </c>
      <c r="J36" s="3238" t="s">
        <v>3616</v>
      </c>
      <c r="K36" s="3239" t="s">
        <v>3658</v>
      </c>
      <c r="L36" s="3240" t="s">
        <v>673</v>
      </c>
      <c r="M36" s="3241" t="s">
        <v>3639</v>
      </c>
      <c r="N36" s="3240" t="s">
        <v>3617</v>
      </c>
      <c r="O36" s="3240" t="s">
        <v>3651</v>
      </c>
      <c r="P36" s="3240" t="s">
        <v>3618</v>
      </c>
      <c r="Q36" s="3242">
        <v>2</v>
      </c>
      <c r="R36" s="3242">
        <v>1</v>
      </c>
      <c r="S36" s="3242">
        <v>1</v>
      </c>
      <c r="T36" s="3240" t="s">
        <v>3618</v>
      </c>
      <c r="U36" s="3240" t="s">
        <v>3622</v>
      </c>
      <c r="V36" s="3242">
        <v>20</v>
      </c>
      <c r="W36" s="3242">
        <v>20</v>
      </c>
      <c r="X36" s="3242" t="s">
        <v>3618</v>
      </c>
      <c r="Y36" s="3242" t="s">
        <v>3618</v>
      </c>
      <c r="Z36" s="3242">
        <v>3</v>
      </c>
      <c r="AA36" s="3242" t="s">
        <v>3618</v>
      </c>
      <c r="AB36" s="3242">
        <v>2006</v>
      </c>
      <c r="AC36" s="3242" t="s">
        <v>3618</v>
      </c>
      <c r="AD36" s="3242" t="s">
        <v>3618</v>
      </c>
      <c r="AE36" s="3242" t="s">
        <v>3618</v>
      </c>
      <c r="AF36" s="3244" t="s">
        <v>3618</v>
      </c>
      <c r="AG36" s="3242" t="s">
        <v>3618</v>
      </c>
      <c r="AH36" s="3242" t="s">
        <v>3618</v>
      </c>
      <c r="AI36" s="3242" t="s">
        <v>3618</v>
      </c>
      <c r="AJ36" s="3266" t="s">
        <v>3618</v>
      </c>
      <c r="AK36" s="3245" t="s">
        <v>3659</v>
      </c>
      <c r="AL36" s="3245" t="s">
        <v>3660</v>
      </c>
      <c r="AM36" s="3240" t="s">
        <v>3642</v>
      </c>
      <c r="AN36" s="3240" t="s">
        <v>3618</v>
      </c>
      <c r="AO36" s="3245" t="s">
        <v>3618</v>
      </c>
      <c r="AP36" s="3245" t="s">
        <v>3618</v>
      </c>
      <c r="AQ36" s="3245">
        <v>420</v>
      </c>
      <c r="AR36" s="3246">
        <v>400</v>
      </c>
      <c r="AS36" s="3245">
        <v>420</v>
      </c>
      <c r="AT36" s="3247">
        <f t="shared" si="1"/>
        <v>0.95238095238095233</v>
      </c>
      <c r="AU36" s="3262">
        <v>0.95</v>
      </c>
      <c r="AV36" s="3240" t="s">
        <v>3661</v>
      </c>
      <c r="AW36" s="3248" t="s">
        <v>3644</v>
      </c>
      <c r="AX36" s="3245">
        <v>14</v>
      </c>
      <c r="AY36" s="3249">
        <f t="shared" si="2"/>
        <v>13.23</v>
      </c>
      <c r="AZ36" s="3250">
        <v>0.05</v>
      </c>
      <c r="BA36" s="3245">
        <v>3.2</v>
      </c>
      <c r="BB36" s="3245">
        <v>0</v>
      </c>
      <c r="BC36" s="3246" t="s">
        <v>3618</v>
      </c>
      <c r="BD36" s="3251">
        <v>43279</v>
      </c>
      <c r="BE36" s="3251">
        <v>45470</v>
      </c>
      <c r="BF36" s="3245">
        <v>6</v>
      </c>
      <c r="BG36" s="3245">
        <v>2</v>
      </c>
      <c r="BH36" s="3245" t="s">
        <v>3662</v>
      </c>
      <c r="BI36" s="3252">
        <v>0.01</v>
      </c>
      <c r="BJ36" s="3245" t="s">
        <v>3618</v>
      </c>
      <c r="BK36" s="3240" t="s">
        <v>3628</v>
      </c>
      <c r="BL36" s="3251">
        <v>43279</v>
      </c>
      <c r="BM36" s="3240" t="s">
        <v>3629</v>
      </c>
      <c r="BN36" s="3263" t="s">
        <v>3618</v>
      </c>
      <c r="BO36" s="3253" t="s">
        <v>3618</v>
      </c>
      <c r="BP36" s="3254" t="s">
        <v>3618</v>
      </c>
      <c r="BQ36" s="3255" t="s">
        <v>3618</v>
      </c>
      <c r="BR36" s="3255" t="s">
        <v>3618</v>
      </c>
      <c r="BS36" s="3264" t="s">
        <v>3618</v>
      </c>
      <c r="BT36" s="3256" t="s">
        <v>3618</v>
      </c>
      <c r="BU36" s="3256" t="s">
        <v>3632</v>
      </c>
      <c r="BV36" s="3257">
        <v>45030</v>
      </c>
      <c r="BW36" s="3256" t="s">
        <v>3663</v>
      </c>
      <c r="BX36" s="3257">
        <v>45034</v>
      </c>
    </row>
    <row r="37" spans="1:77" s="3267" customFormat="1" ht="14.25" thickBot="1">
      <c r="A37" s="3233" t="s">
        <v>3653</v>
      </c>
      <c r="B37" s="3234" t="s">
        <v>3654</v>
      </c>
      <c r="C37" s="3235" t="s">
        <v>3664</v>
      </c>
      <c r="D37" s="3235" t="s">
        <v>3664</v>
      </c>
      <c r="E37" s="3235" t="s">
        <v>3612</v>
      </c>
      <c r="F37" s="3235" t="s">
        <v>3612</v>
      </c>
      <c r="G37" s="3235" t="s">
        <v>3656</v>
      </c>
      <c r="H37" s="3236" t="s">
        <v>3657</v>
      </c>
      <c r="I37" s="3237" t="s">
        <v>3637</v>
      </c>
      <c r="J37" s="3238" t="s">
        <v>3650</v>
      </c>
      <c r="K37" s="3239" t="s">
        <v>673</v>
      </c>
      <c r="L37" s="3240" t="s">
        <v>673</v>
      </c>
      <c r="M37" s="3241" t="s">
        <v>3639</v>
      </c>
      <c r="N37" s="3240" t="s">
        <v>3618</v>
      </c>
      <c r="O37" s="3240" t="s">
        <v>3651</v>
      </c>
      <c r="P37" s="3240" t="s">
        <v>3618</v>
      </c>
      <c r="Q37" s="3242" t="s">
        <v>3618</v>
      </c>
      <c r="R37" s="3242" t="s">
        <v>3618</v>
      </c>
      <c r="S37" s="3242">
        <v>1</v>
      </c>
      <c r="T37" s="3240" t="s">
        <v>3618</v>
      </c>
      <c r="U37" s="3240" t="s">
        <v>3622</v>
      </c>
      <c r="V37" s="3242" t="s">
        <v>3618</v>
      </c>
      <c r="W37" s="3242" t="s">
        <v>3618</v>
      </c>
      <c r="X37" s="3242" t="s">
        <v>3618</v>
      </c>
      <c r="Y37" s="3242" t="s">
        <v>3618</v>
      </c>
      <c r="Z37" s="3242">
        <v>3</v>
      </c>
      <c r="AA37" s="3242" t="s">
        <v>3618</v>
      </c>
      <c r="AB37" s="3242" t="s">
        <v>3618</v>
      </c>
      <c r="AC37" s="3242">
        <v>2006</v>
      </c>
      <c r="AD37" s="3242" t="s">
        <v>3618</v>
      </c>
      <c r="AE37" s="3242" t="s">
        <v>3618</v>
      </c>
      <c r="AF37" s="3244" t="s">
        <v>3618</v>
      </c>
      <c r="AG37" s="3242" t="s">
        <v>3618</v>
      </c>
      <c r="AH37" s="3242" t="s">
        <v>3618</v>
      </c>
      <c r="AI37" s="3242" t="s">
        <v>3618</v>
      </c>
      <c r="AJ37" s="3266" t="s">
        <v>3618</v>
      </c>
      <c r="AK37" s="3245" t="s">
        <v>3618</v>
      </c>
      <c r="AL37" s="3245" t="s">
        <v>3618</v>
      </c>
      <c r="AM37" s="3240" t="s">
        <v>3618</v>
      </c>
      <c r="AN37" s="3240" t="s">
        <v>3618</v>
      </c>
      <c r="AO37" s="3245" t="s">
        <v>3618</v>
      </c>
      <c r="AP37" s="3245" t="s">
        <v>3618</v>
      </c>
      <c r="AQ37" s="3245">
        <v>300</v>
      </c>
      <c r="AR37" s="3246">
        <v>220</v>
      </c>
      <c r="AS37" s="3245">
        <v>300</v>
      </c>
      <c r="AT37" s="3247">
        <f t="shared" si="1"/>
        <v>0.73333333333333328</v>
      </c>
      <c r="AU37" s="3262">
        <v>0.75</v>
      </c>
      <c r="AV37" s="3240" t="s">
        <v>3626</v>
      </c>
      <c r="AW37" s="3248" t="s">
        <v>3665</v>
      </c>
      <c r="AX37" s="3245">
        <v>10</v>
      </c>
      <c r="AY37" s="3249">
        <f t="shared" si="2"/>
        <v>9.42</v>
      </c>
      <c r="AZ37" s="3250">
        <v>0.05</v>
      </c>
      <c r="BA37" s="3245">
        <v>3.2</v>
      </c>
      <c r="BB37" s="3245">
        <v>0</v>
      </c>
      <c r="BC37" s="3246" t="s">
        <v>3618</v>
      </c>
      <c r="BD37" s="3251" t="s">
        <v>3618</v>
      </c>
      <c r="BE37" s="3251" t="s">
        <v>3618</v>
      </c>
      <c r="BF37" s="3245" t="s">
        <v>3618</v>
      </c>
      <c r="BG37" s="3245" t="s">
        <v>3618</v>
      </c>
      <c r="BH37" s="3245" t="s">
        <v>3618</v>
      </c>
      <c r="BI37" s="3252" t="s">
        <v>3618</v>
      </c>
      <c r="BJ37" s="3245" t="s">
        <v>3618</v>
      </c>
      <c r="BK37" s="3240" t="s">
        <v>3666</v>
      </c>
      <c r="BL37" s="3251" t="s">
        <v>3618</v>
      </c>
      <c r="BM37" s="3240" t="s">
        <v>3629</v>
      </c>
      <c r="BN37" s="3263" t="s">
        <v>3618</v>
      </c>
      <c r="BO37" s="3253" t="s">
        <v>3618</v>
      </c>
      <c r="BP37" s="3240" t="s">
        <v>3618</v>
      </c>
      <c r="BQ37" s="3255" t="s">
        <v>3618</v>
      </c>
      <c r="BR37" s="3255" t="s">
        <v>3618</v>
      </c>
      <c r="BS37" s="3264" t="s">
        <v>3618</v>
      </c>
      <c r="BT37" s="3256" t="s">
        <v>3667</v>
      </c>
      <c r="BU37" s="3256" t="s">
        <v>3632</v>
      </c>
      <c r="BV37" s="3257">
        <v>45030</v>
      </c>
      <c r="BW37" s="3256" t="s">
        <v>3663</v>
      </c>
      <c r="BX37" s="3257">
        <v>45034</v>
      </c>
    </row>
    <row r="38" spans="1:77" s="3267" customFormat="1" ht="14.25" thickBot="1">
      <c r="A38" s="3268" t="s">
        <v>3668</v>
      </c>
      <c r="B38" s="3234" t="s">
        <v>3669</v>
      </c>
      <c r="C38" s="3235" t="s">
        <v>3618</v>
      </c>
      <c r="D38" s="3235" t="s">
        <v>3670</v>
      </c>
      <c r="E38" s="3235" t="s">
        <v>3671</v>
      </c>
      <c r="F38" s="3235" t="s">
        <v>3612</v>
      </c>
      <c r="G38" s="3235" t="s">
        <v>3672</v>
      </c>
      <c r="H38" s="3236" t="s">
        <v>3673</v>
      </c>
      <c r="I38" s="3237" t="s">
        <v>3615</v>
      </c>
      <c r="J38" s="3238" t="s">
        <v>3650</v>
      </c>
      <c r="K38" s="3239" t="s">
        <v>673</v>
      </c>
      <c r="L38" s="3240" t="s">
        <v>673</v>
      </c>
      <c r="M38" s="3241" t="s">
        <v>3617</v>
      </c>
      <c r="N38" s="3240"/>
      <c r="O38" s="3240" t="s">
        <v>3640</v>
      </c>
      <c r="P38" s="3240"/>
      <c r="Q38" s="3242">
        <v>1</v>
      </c>
      <c r="R38" s="3242" t="s">
        <v>3618</v>
      </c>
      <c r="S38" s="3242">
        <v>1</v>
      </c>
      <c r="T38" s="3240"/>
      <c r="U38" s="3240" t="s">
        <v>3622</v>
      </c>
      <c r="V38" s="3242" t="s">
        <v>3618</v>
      </c>
      <c r="W38" s="3242" t="s">
        <v>3618</v>
      </c>
      <c r="X38" s="3242" t="s">
        <v>3618</v>
      </c>
      <c r="Y38" s="3242" t="s">
        <v>3618</v>
      </c>
      <c r="Z38" s="3242">
        <v>3</v>
      </c>
      <c r="AA38" s="3242" t="s">
        <v>3618</v>
      </c>
      <c r="AB38" s="3242" t="s">
        <v>3618</v>
      </c>
      <c r="AC38" s="3242" t="s">
        <v>3618</v>
      </c>
      <c r="AD38" s="3242" t="s">
        <v>3618</v>
      </c>
      <c r="AE38" s="3242" t="s">
        <v>3618</v>
      </c>
      <c r="AF38" s="3244" t="s">
        <v>3618</v>
      </c>
      <c r="AG38" s="3242" t="s">
        <v>3618</v>
      </c>
      <c r="AH38" s="3242" t="s">
        <v>3618</v>
      </c>
      <c r="AI38" s="3242" t="s">
        <v>3618</v>
      </c>
      <c r="AJ38" s="3266" t="s">
        <v>3618</v>
      </c>
      <c r="AK38" s="3245" t="s">
        <v>3618</v>
      </c>
      <c r="AL38" s="3245" t="s">
        <v>3618</v>
      </c>
      <c r="AM38" s="3240" t="s">
        <v>3674</v>
      </c>
      <c r="AN38" s="3240"/>
      <c r="AO38" s="3245" t="s">
        <v>3618</v>
      </c>
      <c r="AP38" s="3245" t="s">
        <v>3618</v>
      </c>
      <c r="AQ38" s="3245">
        <v>430</v>
      </c>
      <c r="AR38" s="3246"/>
      <c r="AS38" s="3245">
        <v>430</v>
      </c>
      <c r="AT38" s="3247" t="str">
        <f t="shared" si="1"/>
        <v>/</v>
      </c>
      <c r="AU38" s="3246"/>
      <c r="AV38" s="3240" t="s">
        <v>3643</v>
      </c>
      <c r="AW38" s="3248" t="s">
        <v>3644</v>
      </c>
      <c r="AX38" s="3245">
        <v>11</v>
      </c>
      <c r="AY38" s="3249">
        <f t="shared" si="2"/>
        <v>10.48</v>
      </c>
      <c r="AZ38" s="3250">
        <v>0.05</v>
      </c>
      <c r="BA38" s="3245"/>
      <c r="BB38" s="3245"/>
      <c r="BC38" s="3246"/>
      <c r="BD38" s="3251" t="s">
        <v>3618</v>
      </c>
      <c r="BE38" s="3251" t="s">
        <v>3618</v>
      </c>
      <c r="BF38" s="3245" t="s">
        <v>3618</v>
      </c>
      <c r="BG38" s="3245"/>
      <c r="BH38" s="3245" t="s">
        <v>3618</v>
      </c>
      <c r="BI38" s="3252" t="s">
        <v>3618</v>
      </c>
      <c r="BJ38" s="3245"/>
      <c r="BK38" s="3240" t="s">
        <v>3666</v>
      </c>
      <c r="BL38" s="3251">
        <v>45167</v>
      </c>
      <c r="BM38" s="3240" t="s">
        <v>3629</v>
      </c>
      <c r="BN38" s="3263"/>
      <c r="BO38" s="3253"/>
      <c r="BP38" s="3254"/>
      <c r="BQ38" s="3255"/>
      <c r="BR38" s="3255"/>
      <c r="BS38" s="3264"/>
      <c r="BT38" s="3256"/>
      <c r="BU38" s="3256" t="s">
        <v>3675</v>
      </c>
      <c r="BV38" s="3257">
        <v>45167</v>
      </c>
      <c r="BW38" s="3256"/>
      <c r="BX38" s="3265"/>
    </row>
    <row r="39" spans="1:77" s="3267" customFormat="1" ht="14.25" thickBot="1">
      <c r="A39" s="3268" t="s">
        <v>3668</v>
      </c>
      <c r="B39" s="3234" t="s">
        <v>3676</v>
      </c>
      <c r="C39" s="3235" t="s">
        <v>3618</v>
      </c>
      <c r="D39" s="3235" t="s">
        <v>3677</v>
      </c>
      <c r="E39" s="3235" t="s">
        <v>3671</v>
      </c>
      <c r="F39" s="3235" t="s">
        <v>3612</v>
      </c>
      <c r="G39" s="3235" t="s">
        <v>3672</v>
      </c>
      <c r="H39" s="3236" t="s">
        <v>3678</v>
      </c>
      <c r="I39" s="3237" t="s">
        <v>3637</v>
      </c>
      <c r="J39" s="3238" t="s">
        <v>3650</v>
      </c>
      <c r="K39" s="3239" t="s">
        <v>673</v>
      </c>
      <c r="L39" s="3240" t="s">
        <v>673</v>
      </c>
      <c r="M39" s="3241" t="s">
        <v>3617</v>
      </c>
      <c r="N39" s="3240"/>
      <c r="O39" s="3240" t="s">
        <v>3651</v>
      </c>
      <c r="P39" s="3240"/>
      <c r="Q39" s="3242">
        <v>1</v>
      </c>
      <c r="R39" s="3242" t="s">
        <v>3618</v>
      </c>
      <c r="S39" s="3242">
        <v>1</v>
      </c>
      <c r="T39" s="3240"/>
      <c r="U39" s="3240" t="s">
        <v>3622</v>
      </c>
      <c r="V39" s="3242" t="s">
        <v>3618</v>
      </c>
      <c r="W39" s="3242" t="s">
        <v>3618</v>
      </c>
      <c r="X39" s="3242" t="s">
        <v>3618</v>
      </c>
      <c r="Y39" s="3242" t="s">
        <v>3618</v>
      </c>
      <c r="Z39" s="3242">
        <v>3</v>
      </c>
      <c r="AA39" s="3242" t="s">
        <v>3618</v>
      </c>
      <c r="AB39" s="3242" t="s">
        <v>3618</v>
      </c>
      <c r="AC39" s="3242" t="s">
        <v>3618</v>
      </c>
      <c r="AD39" s="3242" t="s">
        <v>3618</v>
      </c>
      <c r="AE39" s="3242" t="s">
        <v>3618</v>
      </c>
      <c r="AF39" s="3244" t="s">
        <v>3618</v>
      </c>
      <c r="AG39" s="3242" t="s">
        <v>3618</v>
      </c>
      <c r="AH39" s="3242" t="s">
        <v>3618</v>
      </c>
      <c r="AI39" s="3242" t="s">
        <v>3618</v>
      </c>
      <c r="AJ39" s="3266" t="s">
        <v>3618</v>
      </c>
      <c r="AK39" s="3245" t="s">
        <v>3618</v>
      </c>
      <c r="AL39" s="3245" t="s">
        <v>3618</v>
      </c>
      <c r="AM39" s="3240" t="s">
        <v>3679</v>
      </c>
      <c r="AN39" s="3240"/>
      <c r="AO39" s="3245" t="s">
        <v>3618</v>
      </c>
      <c r="AP39" s="3245" t="s">
        <v>3618</v>
      </c>
      <c r="AQ39" s="3245">
        <v>312.10000000000002</v>
      </c>
      <c r="AR39" s="3246"/>
      <c r="AS39" s="3245">
        <v>312.10000000000002</v>
      </c>
      <c r="AT39" s="3247" t="str">
        <f t="shared" si="1"/>
        <v>/</v>
      </c>
      <c r="AU39" s="3246"/>
      <c r="AV39" s="3240" t="s">
        <v>3643</v>
      </c>
      <c r="AW39" s="3248" t="s">
        <v>3644</v>
      </c>
      <c r="AX39" s="3245">
        <v>10</v>
      </c>
      <c r="AY39" s="3249">
        <f t="shared" si="2"/>
        <v>9.52</v>
      </c>
      <c r="AZ39" s="3250">
        <v>0.05</v>
      </c>
      <c r="BA39" s="3245"/>
      <c r="BB39" s="3245"/>
      <c r="BC39" s="3246"/>
      <c r="BD39" s="3251" t="s">
        <v>3618</v>
      </c>
      <c r="BE39" s="3251" t="s">
        <v>3618</v>
      </c>
      <c r="BF39" s="3245" t="s">
        <v>3618</v>
      </c>
      <c r="BG39" s="3245"/>
      <c r="BH39" s="3245" t="s">
        <v>3618</v>
      </c>
      <c r="BI39" s="3252" t="s">
        <v>3618</v>
      </c>
      <c r="BJ39" s="3245"/>
      <c r="BK39" s="3240" t="s">
        <v>3666</v>
      </c>
      <c r="BL39" s="3251">
        <v>45167</v>
      </c>
      <c r="BM39" s="3240" t="s">
        <v>3629</v>
      </c>
      <c r="BN39" s="3263"/>
      <c r="BO39" s="3253"/>
      <c r="BP39" s="3254"/>
      <c r="BQ39" s="3255"/>
      <c r="BR39" s="3255"/>
      <c r="BS39" s="3264"/>
      <c r="BT39" s="3256"/>
      <c r="BU39" s="3256" t="s">
        <v>3675</v>
      </c>
      <c r="BV39" s="3257">
        <v>45167</v>
      </c>
      <c r="BW39" s="3256"/>
      <c r="BX39" s="3265"/>
      <c r="BY39" s="3265"/>
    </row>
    <row r="40" spans="1:77" s="3260" customFormat="1" ht="12.75" thickBot="1">
      <c r="A40" s="3233" t="s">
        <v>3680</v>
      </c>
      <c r="B40" s="3234" t="s">
        <v>3681</v>
      </c>
      <c r="C40" s="3235" t="s">
        <v>3682</v>
      </c>
      <c r="D40" s="3235" t="str">
        <f t="shared" ref="D40:D43" si="3">C40</f>
        <v>西城区太平桥大街8号院3号楼1至2层10</v>
      </c>
      <c r="E40" s="3235" t="s">
        <v>3612</v>
      </c>
      <c r="F40" s="3235" t="s">
        <v>3612</v>
      </c>
      <c r="G40" s="3235" t="s">
        <v>3683</v>
      </c>
      <c r="H40" s="3236" t="s">
        <v>3684</v>
      </c>
      <c r="I40" s="3237" t="s">
        <v>3685</v>
      </c>
      <c r="J40" s="3238" t="s">
        <v>3650</v>
      </c>
      <c r="K40" s="3239" t="s">
        <v>673</v>
      </c>
      <c r="L40" s="3240" t="s">
        <v>673</v>
      </c>
      <c r="M40" s="3241" t="s">
        <v>3617</v>
      </c>
      <c r="N40" s="3240" t="s">
        <v>3617</v>
      </c>
      <c r="O40" s="3240" t="s">
        <v>3651</v>
      </c>
      <c r="P40" s="3240" t="s">
        <v>3618</v>
      </c>
      <c r="Q40" s="3242">
        <v>8</v>
      </c>
      <c r="R40" s="3242">
        <v>0</v>
      </c>
      <c r="S40" s="3269" t="s">
        <v>3652</v>
      </c>
      <c r="T40" s="3240" t="s">
        <v>3621</v>
      </c>
      <c r="U40" s="3240" t="s">
        <v>3622</v>
      </c>
      <c r="V40" s="3242">
        <v>8</v>
      </c>
      <c r="W40" s="3242">
        <v>20</v>
      </c>
      <c r="X40" s="3242" t="s">
        <v>3618</v>
      </c>
      <c r="Y40" s="3242" t="s">
        <v>3618</v>
      </c>
      <c r="Z40" s="3242">
        <v>3</v>
      </c>
      <c r="AA40" s="3242" t="s">
        <v>3618</v>
      </c>
      <c r="AB40" s="3242">
        <v>2008</v>
      </c>
      <c r="AC40" s="3242" t="s">
        <v>3618</v>
      </c>
      <c r="AD40" s="3242" t="s">
        <v>3618</v>
      </c>
      <c r="AE40" s="3242" t="s">
        <v>3618</v>
      </c>
      <c r="AF40" s="3242" t="s">
        <v>3618</v>
      </c>
      <c r="AG40" s="3242" t="s">
        <v>3618</v>
      </c>
      <c r="AH40" s="3242" t="s">
        <v>3618</v>
      </c>
      <c r="AI40" s="3242" t="s">
        <v>3618</v>
      </c>
      <c r="AJ40" s="3242" t="s">
        <v>3618</v>
      </c>
      <c r="AK40" s="3242" t="s">
        <v>3618</v>
      </c>
      <c r="AL40" s="3242" t="s">
        <v>3618</v>
      </c>
      <c r="AM40" s="3240" t="s">
        <v>3686</v>
      </c>
      <c r="AN40" s="3240" t="s">
        <v>3618</v>
      </c>
      <c r="AO40" s="3242" t="s">
        <v>3618</v>
      </c>
      <c r="AP40" s="3242" t="s">
        <v>3618</v>
      </c>
      <c r="AQ40" s="3245">
        <v>400</v>
      </c>
      <c r="AR40" s="3246">
        <f t="shared" ref="AR40:AS42" si="4">AQ40</f>
        <v>400</v>
      </c>
      <c r="AS40" s="3245">
        <f t="shared" si="4"/>
        <v>400</v>
      </c>
      <c r="AT40" s="3247">
        <f t="shared" si="1"/>
        <v>1</v>
      </c>
      <c r="AU40" s="3242" t="s">
        <v>3618</v>
      </c>
      <c r="AV40" s="3240" t="s">
        <v>3661</v>
      </c>
      <c r="AW40" s="3248" t="s">
        <v>3618</v>
      </c>
      <c r="AX40" s="3245">
        <v>6.67</v>
      </c>
      <c r="AY40" s="3249">
        <f t="shared" si="2"/>
        <v>6.67</v>
      </c>
      <c r="AZ40" s="3250">
        <v>0</v>
      </c>
      <c r="BA40" s="3245">
        <v>0</v>
      </c>
      <c r="BB40" s="3245">
        <v>0</v>
      </c>
      <c r="BC40" s="3242" t="s">
        <v>3618</v>
      </c>
      <c r="BD40" s="3242" t="s">
        <v>3618</v>
      </c>
      <c r="BE40" s="3242" t="s">
        <v>3618</v>
      </c>
      <c r="BF40" s="3242" t="s">
        <v>3618</v>
      </c>
      <c r="BG40" s="3242" t="s">
        <v>3618</v>
      </c>
      <c r="BH40" s="3242" t="s">
        <v>3618</v>
      </c>
      <c r="BI40" s="3242" t="s">
        <v>3618</v>
      </c>
      <c r="BJ40" s="3242" t="s">
        <v>3687</v>
      </c>
      <c r="BK40" s="3240" t="s">
        <v>3666</v>
      </c>
      <c r="BL40" s="3242" t="s">
        <v>3618</v>
      </c>
      <c r="BM40" s="3240" t="s">
        <v>3629</v>
      </c>
      <c r="BN40" s="3242" t="s">
        <v>3618</v>
      </c>
      <c r="BO40" s="3255" t="s">
        <v>3618</v>
      </c>
      <c r="BP40" s="3254" t="s">
        <v>3618</v>
      </c>
      <c r="BQ40" s="3255" t="s">
        <v>3618</v>
      </c>
      <c r="BR40" s="3255" t="s">
        <v>3618</v>
      </c>
      <c r="BS40" s="3255" t="s">
        <v>3618</v>
      </c>
      <c r="BT40" s="3256" t="s">
        <v>3688</v>
      </c>
      <c r="BU40" s="3256" t="s">
        <v>3631</v>
      </c>
      <c r="BV40" s="3257">
        <v>45089</v>
      </c>
      <c r="BW40" s="3256" t="s">
        <v>3632</v>
      </c>
      <c r="BX40" s="3265">
        <v>45089</v>
      </c>
    </row>
    <row r="41" spans="1:77" s="3260" customFormat="1" ht="12.75" thickBot="1">
      <c r="A41" s="3233" t="s">
        <v>3680</v>
      </c>
      <c r="B41" s="3234" t="s">
        <v>3681</v>
      </c>
      <c r="C41" s="3235" t="s">
        <v>3682</v>
      </c>
      <c r="D41" s="3235" t="str">
        <f t="shared" si="3"/>
        <v>西城区太平桥大街8号院3号楼1至2层10</v>
      </c>
      <c r="E41" s="3235" t="s">
        <v>3612</v>
      </c>
      <c r="F41" s="3235" t="s">
        <v>3612</v>
      </c>
      <c r="G41" s="3235" t="s">
        <v>3683</v>
      </c>
      <c r="H41" s="3236" t="s">
        <v>3684</v>
      </c>
      <c r="I41" s="3237" t="s">
        <v>3685</v>
      </c>
      <c r="J41" s="3238" t="s">
        <v>3650</v>
      </c>
      <c r="K41" s="3239" t="s">
        <v>673</v>
      </c>
      <c r="L41" s="3240" t="s">
        <v>673</v>
      </c>
      <c r="M41" s="3241" t="s">
        <v>3617</v>
      </c>
      <c r="N41" s="3240" t="s">
        <v>3617</v>
      </c>
      <c r="O41" s="3240" t="s">
        <v>3651</v>
      </c>
      <c r="P41" s="3240" t="s">
        <v>3618</v>
      </c>
      <c r="Q41" s="3242">
        <v>8</v>
      </c>
      <c r="R41" s="3242">
        <v>0</v>
      </c>
      <c r="S41" s="3269" t="s">
        <v>3652</v>
      </c>
      <c r="T41" s="3240" t="s">
        <v>3621</v>
      </c>
      <c r="U41" s="3240" t="s">
        <v>3622</v>
      </c>
      <c r="V41" s="3242">
        <v>8</v>
      </c>
      <c r="W41" s="3242">
        <v>20</v>
      </c>
      <c r="X41" s="3242" t="s">
        <v>3618</v>
      </c>
      <c r="Y41" s="3242" t="s">
        <v>3618</v>
      </c>
      <c r="Z41" s="3242">
        <v>3</v>
      </c>
      <c r="AA41" s="3242" t="s">
        <v>3618</v>
      </c>
      <c r="AB41" s="3242">
        <v>2008</v>
      </c>
      <c r="AC41" s="3242" t="s">
        <v>3618</v>
      </c>
      <c r="AD41" s="3242" t="s">
        <v>3618</v>
      </c>
      <c r="AE41" s="3242" t="s">
        <v>3618</v>
      </c>
      <c r="AF41" s="3242" t="s">
        <v>3618</v>
      </c>
      <c r="AG41" s="3242" t="s">
        <v>3618</v>
      </c>
      <c r="AH41" s="3242" t="s">
        <v>3618</v>
      </c>
      <c r="AI41" s="3242" t="s">
        <v>3618</v>
      </c>
      <c r="AJ41" s="3242" t="s">
        <v>3618</v>
      </c>
      <c r="AK41" s="3242" t="s">
        <v>3618</v>
      </c>
      <c r="AL41" s="3242" t="s">
        <v>3618</v>
      </c>
      <c r="AM41" s="3240" t="s">
        <v>3686</v>
      </c>
      <c r="AN41" s="3240" t="s">
        <v>3618</v>
      </c>
      <c r="AO41" s="3242" t="s">
        <v>3618</v>
      </c>
      <c r="AP41" s="3242" t="s">
        <v>3618</v>
      </c>
      <c r="AQ41" s="3245">
        <v>400</v>
      </c>
      <c r="AR41" s="3246">
        <f t="shared" si="4"/>
        <v>400</v>
      </c>
      <c r="AS41" s="3245">
        <f t="shared" si="4"/>
        <v>400</v>
      </c>
      <c r="AT41" s="3247">
        <f t="shared" si="1"/>
        <v>1</v>
      </c>
      <c r="AU41" s="3242" t="s">
        <v>3618</v>
      </c>
      <c r="AV41" s="3240" t="s">
        <v>3661</v>
      </c>
      <c r="AW41" s="3248" t="s">
        <v>3618</v>
      </c>
      <c r="AX41" s="3245">
        <v>8.33</v>
      </c>
      <c r="AY41" s="3249">
        <f t="shared" si="2"/>
        <v>8.33</v>
      </c>
      <c r="AZ41" s="3250">
        <v>0</v>
      </c>
      <c r="BA41" s="3245">
        <v>0</v>
      </c>
      <c r="BB41" s="3245">
        <v>0</v>
      </c>
      <c r="BC41" s="3242" t="s">
        <v>3618</v>
      </c>
      <c r="BD41" s="3242" t="s">
        <v>3618</v>
      </c>
      <c r="BE41" s="3242" t="s">
        <v>3618</v>
      </c>
      <c r="BF41" s="3242" t="s">
        <v>3618</v>
      </c>
      <c r="BG41" s="3242" t="s">
        <v>3618</v>
      </c>
      <c r="BH41" s="3242" t="s">
        <v>3618</v>
      </c>
      <c r="BI41" s="3242" t="s">
        <v>3618</v>
      </c>
      <c r="BJ41" s="3242" t="s">
        <v>3687</v>
      </c>
      <c r="BK41" s="3240" t="s">
        <v>3666</v>
      </c>
      <c r="BL41" s="3242" t="s">
        <v>3618</v>
      </c>
      <c r="BM41" s="3240" t="s">
        <v>3629</v>
      </c>
      <c r="BN41" s="3242" t="s">
        <v>3618</v>
      </c>
      <c r="BO41" s="3255" t="s">
        <v>3618</v>
      </c>
      <c r="BP41" s="3254" t="s">
        <v>3618</v>
      </c>
      <c r="BQ41" s="3255" t="s">
        <v>3618</v>
      </c>
      <c r="BR41" s="3255" t="s">
        <v>3618</v>
      </c>
      <c r="BS41" s="3255" t="s">
        <v>3618</v>
      </c>
      <c r="BT41" s="3256" t="s">
        <v>3688</v>
      </c>
      <c r="BU41" s="3256" t="s">
        <v>3631</v>
      </c>
      <c r="BV41" s="3257">
        <v>45089</v>
      </c>
      <c r="BW41" s="3256" t="s">
        <v>3632</v>
      </c>
      <c r="BX41" s="3265">
        <v>45089</v>
      </c>
    </row>
    <row r="42" spans="1:77" s="3260" customFormat="1" ht="12.75" thickBot="1">
      <c r="A42" s="3233" t="s">
        <v>3680</v>
      </c>
      <c r="B42" s="3234" t="s">
        <v>3681</v>
      </c>
      <c r="C42" s="3235" t="s">
        <v>3689</v>
      </c>
      <c r="D42" s="3235" t="str">
        <f t="shared" si="3"/>
        <v>西城区太平桥大街8号院</v>
      </c>
      <c r="E42" s="3235" t="s">
        <v>3612</v>
      </c>
      <c r="F42" s="3235" t="s">
        <v>3612</v>
      </c>
      <c r="G42" s="3235" t="s">
        <v>3683</v>
      </c>
      <c r="H42" s="3236" t="s">
        <v>3684</v>
      </c>
      <c r="I42" s="3237" t="s">
        <v>3685</v>
      </c>
      <c r="J42" s="3238" t="s">
        <v>3650</v>
      </c>
      <c r="K42" s="3239" t="s">
        <v>673</v>
      </c>
      <c r="L42" s="3240" t="s">
        <v>673</v>
      </c>
      <c r="M42" s="3241" t="s">
        <v>3617</v>
      </c>
      <c r="N42" s="3240" t="s">
        <v>3617</v>
      </c>
      <c r="O42" s="3240" t="s">
        <v>3651</v>
      </c>
      <c r="P42" s="3240" t="s">
        <v>3618</v>
      </c>
      <c r="Q42" s="3242">
        <v>8</v>
      </c>
      <c r="R42" s="3242">
        <v>1</v>
      </c>
      <c r="S42" s="3269" t="s">
        <v>3690</v>
      </c>
      <c r="T42" s="3240" t="s">
        <v>3621</v>
      </c>
      <c r="U42" s="3240" t="s">
        <v>3622</v>
      </c>
      <c r="V42" s="3242">
        <v>5</v>
      </c>
      <c r="W42" s="3242">
        <v>20</v>
      </c>
      <c r="X42" s="3242" t="s">
        <v>3618</v>
      </c>
      <c r="Y42" s="3242" t="s">
        <v>3618</v>
      </c>
      <c r="Z42" s="3242">
        <v>3</v>
      </c>
      <c r="AA42" s="3242" t="s">
        <v>3618</v>
      </c>
      <c r="AB42" s="3242">
        <v>2008</v>
      </c>
      <c r="AC42" s="3242" t="s">
        <v>3618</v>
      </c>
      <c r="AD42" s="3242" t="s">
        <v>3618</v>
      </c>
      <c r="AE42" s="3242" t="s">
        <v>3618</v>
      </c>
      <c r="AF42" s="3242" t="s">
        <v>3618</v>
      </c>
      <c r="AG42" s="3242" t="s">
        <v>3618</v>
      </c>
      <c r="AH42" s="3242" t="s">
        <v>3618</v>
      </c>
      <c r="AI42" s="3242" t="s">
        <v>3618</v>
      </c>
      <c r="AJ42" s="3242" t="s">
        <v>3618</v>
      </c>
      <c r="AK42" s="3242" t="s">
        <v>3618</v>
      </c>
      <c r="AL42" s="3242" t="s">
        <v>3618</v>
      </c>
      <c r="AM42" s="3240" t="s">
        <v>3691</v>
      </c>
      <c r="AN42" s="3270" t="s">
        <v>3692</v>
      </c>
      <c r="AO42" s="3242" t="s">
        <v>3618</v>
      </c>
      <c r="AP42" s="3242" t="s">
        <v>3618</v>
      </c>
      <c r="AQ42" s="3245">
        <v>260</v>
      </c>
      <c r="AR42" s="3246">
        <f t="shared" si="4"/>
        <v>260</v>
      </c>
      <c r="AS42" s="3245">
        <f t="shared" si="4"/>
        <v>260</v>
      </c>
      <c r="AT42" s="3247">
        <f t="shared" si="1"/>
        <v>1</v>
      </c>
      <c r="AU42" s="3242" t="s">
        <v>3618</v>
      </c>
      <c r="AV42" s="3240" t="s">
        <v>3661</v>
      </c>
      <c r="AW42" s="3248" t="s">
        <v>3618</v>
      </c>
      <c r="AX42" s="3245">
        <v>12.65</v>
      </c>
      <c r="AY42" s="3249">
        <f t="shared" si="2"/>
        <v>12.65</v>
      </c>
      <c r="AZ42" s="3250">
        <v>0</v>
      </c>
      <c r="BA42" s="3245">
        <v>0</v>
      </c>
      <c r="BB42" s="3245">
        <v>0</v>
      </c>
      <c r="BC42" s="3242" t="s">
        <v>3618</v>
      </c>
      <c r="BD42" s="3242" t="s">
        <v>3618</v>
      </c>
      <c r="BE42" s="3242" t="s">
        <v>3618</v>
      </c>
      <c r="BF42" s="3242" t="s">
        <v>3618</v>
      </c>
      <c r="BG42" s="3242" t="s">
        <v>3618</v>
      </c>
      <c r="BH42" s="3242" t="s">
        <v>3618</v>
      </c>
      <c r="BI42" s="3242" t="s">
        <v>3618</v>
      </c>
      <c r="BJ42" s="3242" t="s">
        <v>3618</v>
      </c>
      <c r="BK42" s="3240" t="s">
        <v>3666</v>
      </c>
      <c r="BL42" s="3242" t="s">
        <v>3618</v>
      </c>
      <c r="BM42" s="3240" t="s">
        <v>3629</v>
      </c>
      <c r="BN42" s="3242" t="s">
        <v>3618</v>
      </c>
      <c r="BO42" s="3255" t="s">
        <v>3618</v>
      </c>
      <c r="BP42" s="3254" t="s">
        <v>3618</v>
      </c>
      <c r="BQ42" s="3255" t="s">
        <v>3618</v>
      </c>
      <c r="BR42" s="3255" t="s">
        <v>3618</v>
      </c>
      <c r="BS42" s="3255" t="s">
        <v>3618</v>
      </c>
      <c r="BT42" s="3256" t="s">
        <v>3693</v>
      </c>
      <c r="BU42" s="3256" t="s">
        <v>3631</v>
      </c>
      <c r="BV42" s="3257">
        <v>45089</v>
      </c>
      <c r="BW42" s="3256" t="s">
        <v>3632</v>
      </c>
      <c r="BX42" s="3265">
        <v>45089</v>
      </c>
    </row>
    <row r="43" spans="1:77" s="3260" customFormat="1" ht="12.75" thickBot="1">
      <c r="A43" s="3233" t="s">
        <v>3694</v>
      </c>
      <c r="B43" s="3234" t="s">
        <v>3695</v>
      </c>
      <c r="C43" s="3235" t="s">
        <v>3696</v>
      </c>
      <c r="D43" s="3235" t="str">
        <f t="shared" si="3"/>
        <v>西城区西绒线胡同26号院1-13号1层10、13号,2层11、12号商业用房；西城区油坊胡同2号楼1层101、2层210商业及办公用房</v>
      </c>
      <c r="E43" s="3235" t="s">
        <v>3612</v>
      </c>
      <c r="F43" s="3235" t="s">
        <v>3612</v>
      </c>
      <c r="G43" s="3235" t="s">
        <v>3683</v>
      </c>
      <c r="H43" s="3236" t="s">
        <v>3684</v>
      </c>
      <c r="I43" s="3237" t="s">
        <v>3685</v>
      </c>
      <c r="J43" s="3238" t="s">
        <v>3616</v>
      </c>
      <c r="K43" s="3239" t="s">
        <v>3697</v>
      </c>
      <c r="L43" s="3240" t="s">
        <v>21</v>
      </c>
      <c r="M43" s="3241" t="s">
        <v>3639</v>
      </c>
      <c r="N43" s="3240" t="s">
        <v>3617</v>
      </c>
      <c r="O43" s="3240" t="s">
        <v>3651</v>
      </c>
      <c r="P43" s="3240" t="s">
        <v>3618</v>
      </c>
      <c r="Q43" s="3242">
        <v>16</v>
      </c>
      <c r="R43" s="3242">
        <v>0</v>
      </c>
      <c r="S43" s="3242" t="s">
        <v>3652</v>
      </c>
      <c r="T43" s="3240" t="s">
        <v>3621</v>
      </c>
      <c r="U43" s="3240" t="s">
        <v>3622</v>
      </c>
      <c r="V43" s="3242">
        <v>20</v>
      </c>
      <c r="W43" s="3242">
        <v>35</v>
      </c>
      <c r="X43" s="3242" t="s">
        <v>3618</v>
      </c>
      <c r="Y43" s="3242" t="s">
        <v>3618</v>
      </c>
      <c r="Z43" s="3242">
        <v>3</v>
      </c>
      <c r="AA43" s="3242" t="s">
        <v>3618</v>
      </c>
      <c r="AB43" s="3242">
        <v>2008</v>
      </c>
      <c r="AC43" s="3242" t="s">
        <v>3618</v>
      </c>
      <c r="AD43" s="3242" t="s">
        <v>3618</v>
      </c>
      <c r="AE43" s="3242" t="s">
        <v>3618</v>
      </c>
      <c r="AF43" s="3242" t="s">
        <v>3618</v>
      </c>
      <c r="AG43" s="3242" t="s">
        <v>3618</v>
      </c>
      <c r="AH43" s="3242" t="s">
        <v>3618</v>
      </c>
      <c r="AI43" s="3242" t="s">
        <v>3618</v>
      </c>
      <c r="AJ43" s="3242" t="s">
        <v>3618</v>
      </c>
      <c r="AK43" s="3245" t="s">
        <v>3698</v>
      </c>
      <c r="AL43" s="3242" t="s">
        <v>3618</v>
      </c>
      <c r="AM43" s="3240" t="s">
        <v>3699</v>
      </c>
      <c r="AN43" s="3240" t="s">
        <v>3618</v>
      </c>
      <c r="AO43" s="3242" t="s">
        <v>3618</v>
      </c>
      <c r="AP43" s="3242" t="s">
        <v>3618</v>
      </c>
      <c r="AQ43" s="3245">
        <v>1677.41</v>
      </c>
      <c r="AR43" s="3246">
        <f>AQ43</f>
        <v>1677.41</v>
      </c>
      <c r="AS43" s="3245">
        <f>AR43</f>
        <v>1677.41</v>
      </c>
      <c r="AT43" s="3247">
        <f t="shared" si="1"/>
        <v>1</v>
      </c>
      <c r="AU43" s="3242" t="s">
        <v>3618</v>
      </c>
      <c r="AV43" s="3240" t="s">
        <v>3626</v>
      </c>
      <c r="AW43" s="3248" t="s">
        <v>3665</v>
      </c>
      <c r="AX43" s="3245">
        <v>7</v>
      </c>
      <c r="AY43" s="3249">
        <f t="shared" si="2"/>
        <v>7</v>
      </c>
      <c r="AZ43" s="3250">
        <v>0</v>
      </c>
      <c r="BA43" s="3245">
        <v>0</v>
      </c>
      <c r="BB43" s="3245">
        <v>0</v>
      </c>
      <c r="BC43" s="3242" t="s">
        <v>3618</v>
      </c>
      <c r="BD43" s="3251">
        <v>44866</v>
      </c>
      <c r="BE43" s="3251">
        <v>48518</v>
      </c>
      <c r="BF43" s="3245">
        <v>10</v>
      </c>
      <c r="BG43" s="3245">
        <v>6</v>
      </c>
      <c r="BH43" s="3245" t="s">
        <v>3700</v>
      </c>
      <c r="BI43" s="3252">
        <v>1.77E-2</v>
      </c>
      <c r="BJ43" s="3242" t="s">
        <v>3687</v>
      </c>
      <c r="BK43" s="3240" t="s">
        <v>3628</v>
      </c>
      <c r="BL43" s="3251">
        <v>44866</v>
      </c>
      <c r="BM43" s="3240" t="s">
        <v>3629</v>
      </c>
      <c r="BN43" s="3242" t="s">
        <v>3618</v>
      </c>
      <c r="BO43" s="3255" t="s">
        <v>3618</v>
      </c>
      <c r="BP43" s="3254" t="s">
        <v>3618</v>
      </c>
      <c r="BQ43" s="3255" t="s">
        <v>3618</v>
      </c>
      <c r="BR43" s="3255" t="s">
        <v>3618</v>
      </c>
      <c r="BS43" s="3255" t="s">
        <v>3618</v>
      </c>
      <c r="BT43" s="3255" t="s">
        <v>3618</v>
      </c>
      <c r="BU43" s="3256" t="s">
        <v>3631</v>
      </c>
      <c r="BV43" s="3257">
        <v>45105</v>
      </c>
      <c r="BW43" s="3258"/>
      <c r="BX43" s="3259"/>
    </row>
    <row r="47" spans="1:77" ht="12.75" thickBot="1"/>
    <row r="48" spans="1:77" s="3271" customFormat="1" ht="12" customHeight="1">
      <c r="A48" s="3627" t="s">
        <v>3519</v>
      </c>
      <c r="B48" s="3629" t="s">
        <v>3520</v>
      </c>
      <c r="C48" s="3631" t="s">
        <v>3521</v>
      </c>
      <c r="D48" s="3631"/>
      <c r="E48" s="3631" t="s">
        <v>3522</v>
      </c>
      <c r="F48" s="3631" t="s">
        <v>3523</v>
      </c>
      <c r="G48" s="3633" t="s">
        <v>3524</v>
      </c>
      <c r="H48" s="3633" t="s">
        <v>3525</v>
      </c>
      <c r="I48" s="3622" t="s">
        <v>3526</v>
      </c>
      <c r="J48" s="3624" t="s">
        <v>3527</v>
      </c>
      <c r="K48" s="3626" t="s">
        <v>672</v>
      </c>
      <c r="L48" s="3621"/>
      <c r="M48" s="3621" t="s">
        <v>3528</v>
      </c>
      <c r="N48" s="3621"/>
      <c r="O48" s="3621" t="s">
        <v>3529</v>
      </c>
      <c r="P48" s="3621"/>
      <c r="Q48" s="3621" t="s">
        <v>3530</v>
      </c>
      <c r="R48" s="3621"/>
      <c r="S48" s="3621"/>
      <c r="T48" s="3621"/>
      <c r="U48" s="3621" t="s">
        <v>3531</v>
      </c>
      <c r="V48" s="3621"/>
      <c r="W48" s="3621"/>
      <c r="X48" s="3621"/>
      <c r="Y48" s="3621"/>
      <c r="Z48" s="3621" t="s">
        <v>3532</v>
      </c>
      <c r="AA48" s="3621"/>
      <c r="AB48" s="3621" t="s">
        <v>3533</v>
      </c>
      <c r="AC48" s="3621"/>
      <c r="AD48" s="3621" t="s">
        <v>3534</v>
      </c>
      <c r="AE48" s="3621"/>
      <c r="AF48" s="3621" t="s">
        <v>3535</v>
      </c>
      <c r="AG48" s="3621"/>
      <c r="AH48" s="3621" t="s">
        <v>3536</v>
      </c>
      <c r="AI48" s="3621"/>
      <c r="AJ48" s="3616" t="s">
        <v>3537</v>
      </c>
      <c r="AK48" s="3618" t="s">
        <v>3538</v>
      </c>
      <c r="AL48" s="3608"/>
      <c r="AM48" s="3608" t="s">
        <v>3539</v>
      </c>
      <c r="AN48" s="3608"/>
      <c r="AO48" s="3608" t="s">
        <v>3540</v>
      </c>
      <c r="AP48" s="3608"/>
      <c r="AQ48" s="3608" t="s">
        <v>3541</v>
      </c>
      <c r="AR48" s="3608"/>
      <c r="AS48" s="3608"/>
      <c r="AT48" s="3608"/>
      <c r="AU48" s="3608"/>
      <c r="AV48" s="3619" t="s">
        <v>3542</v>
      </c>
      <c r="AW48" s="3619" t="s">
        <v>3543</v>
      </c>
      <c r="AX48" s="3608" t="s">
        <v>3544</v>
      </c>
      <c r="AY48" s="3608"/>
      <c r="AZ48" s="3608"/>
      <c r="BA48" s="3608"/>
      <c r="BB48" s="3608"/>
      <c r="BC48" s="3217" t="s">
        <v>3545</v>
      </c>
      <c r="BD48" s="3608" t="s">
        <v>3546</v>
      </c>
      <c r="BE48" s="3608"/>
      <c r="BF48" s="3608"/>
      <c r="BG48" s="3608" t="s">
        <v>3547</v>
      </c>
      <c r="BH48" s="3608" t="s">
        <v>3548</v>
      </c>
      <c r="BI48" s="3608"/>
      <c r="BJ48" s="3608" t="s">
        <v>3549</v>
      </c>
      <c r="BK48" s="3608" t="s">
        <v>3550</v>
      </c>
      <c r="BL48" s="3608"/>
      <c r="BM48" s="3608" t="s">
        <v>3551</v>
      </c>
      <c r="BN48" s="3609"/>
      <c r="BO48" s="3610" t="s">
        <v>3552</v>
      </c>
      <c r="BP48" s="3611"/>
      <c r="BQ48" s="3611"/>
      <c r="BR48" s="3611"/>
      <c r="BS48" s="3612"/>
      <c r="BT48" s="3613" t="s">
        <v>3553</v>
      </c>
      <c r="BU48" s="3606" t="s">
        <v>3554</v>
      </c>
      <c r="BV48" s="3606" t="s">
        <v>3555</v>
      </c>
      <c r="BW48" s="3606" t="s">
        <v>3556</v>
      </c>
      <c r="BX48" s="3606" t="s">
        <v>3557</v>
      </c>
    </row>
    <row r="49" spans="1:76" s="3271" customFormat="1" ht="31.5">
      <c r="A49" s="3628"/>
      <c r="B49" s="3630"/>
      <c r="C49" s="3219" t="s">
        <v>3558</v>
      </c>
      <c r="D49" s="3220" t="s">
        <v>3559</v>
      </c>
      <c r="E49" s="3632"/>
      <c r="F49" s="3632"/>
      <c r="G49" s="3634"/>
      <c r="H49" s="3634"/>
      <c r="I49" s="3623"/>
      <c r="J49" s="3625"/>
      <c r="K49" s="3221" t="s">
        <v>3560</v>
      </c>
      <c r="L49" s="3222" t="s">
        <v>3561</v>
      </c>
      <c r="M49" s="3223" t="s">
        <v>3562</v>
      </c>
      <c r="N49" s="3223" t="s">
        <v>3511</v>
      </c>
      <c r="O49" s="3222" t="s">
        <v>3563</v>
      </c>
      <c r="P49" s="3222" t="s">
        <v>3564</v>
      </c>
      <c r="Q49" s="3223" t="s">
        <v>3565</v>
      </c>
      <c r="R49" s="3223" t="s">
        <v>3566</v>
      </c>
      <c r="S49" s="3222" t="s">
        <v>3567</v>
      </c>
      <c r="T49" s="3222" t="s">
        <v>3568</v>
      </c>
      <c r="U49" s="3222" t="s">
        <v>3569</v>
      </c>
      <c r="V49" s="3222" t="s">
        <v>3570</v>
      </c>
      <c r="W49" s="3222" t="s">
        <v>3571</v>
      </c>
      <c r="X49" s="3222" t="s">
        <v>3572</v>
      </c>
      <c r="Y49" s="3222" t="s">
        <v>3431</v>
      </c>
      <c r="Z49" s="3222" t="s">
        <v>3573</v>
      </c>
      <c r="AA49" s="3222" t="s">
        <v>3574</v>
      </c>
      <c r="AB49" s="3223" t="s">
        <v>3575</v>
      </c>
      <c r="AC49" s="3222" t="s">
        <v>3576</v>
      </c>
      <c r="AD49" s="3223" t="s">
        <v>3577</v>
      </c>
      <c r="AE49" s="3223" t="s">
        <v>3578</v>
      </c>
      <c r="AF49" s="3223" t="s">
        <v>3575</v>
      </c>
      <c r="AG49" s="3223" t="s">
        <v>3576</v>
      </c>
      <c r="AH49" s="3223" t="s">
        <v>3579</v>
      </c>
      <c r="AI49" s="3223" t="s">
        <v>3580</v>
      </c>
      <c r="AJ49" s="3617"/>
      <c r="AK49" s="3224" t="s">
        <v>3581</v>
      </c>
      <c r="AL49" s="3225" t="s">
        <v>3582</v>
      </c>
      <c r="AM49" s="3225" t="s">
        <v>3583</v>
      </c>
      <c r="AN49" s="3225" t="s">
        <v>3584</v>
      </c>
      <c r="AO49" s="3225" t="s">
        <v>3585</v>
      </c>
      <c r="AP49" s="3226" t="s">
        <v>3576</v>
      </c>
      <c r="AQ49" s="3226" t="s">
        <v>3586</v>
      </c>
      <c r="AR49" s="3225" t="s">
        <v>3587</v>
      </c>
      <c r="AS49" s="3225" t="s">
        <v>3588</v>
      </c>
      <c r="AT49" s="3225" t="s">
        <v>3589</v>
      </c>
      <c r="AU49" s="3226" t="s">
        <v>3590</v>
      </c>
      <c r="AV49" s="3620"/>
      <c r="AW49" s="3620"/>
      <c r="AX49" s="3227" t="s">
        <v>3591</v>
      </c>
      <c r="AY49" s="3227" t="s">
        <v>3592</v>
      </c>
      <c r="AZ49" s="3228" t="s">
        <v>3593</v>
      </c>
      <c r="BA49" s="3228" t="s">
        <v>3594</v>
      </c>
      <c r="BB49" s="3228" t="s">
        <v>3595</v>
      </c>
      <c r="BC49" s="3227"/>
      <c r="BD49" s="3225" t="s">
        <v>3596</v>
      </c>
      <c r="BE49" s="3225" t="s">
        <v>3597</v>
      </c>
      <c r="BF49" s="3225" t="s">
        <v>3598</v>
      </c>
      <c r="BG49" s="3615"/>
      <c r="BH49" s="3225" t="s">
        <v>3599</v>
      </c>
      <c r="BI49" s="3225" t="s">
        <v>3600</v>
      </c>
      <c r="BJ49" s="3615"/>
      <c r="BK49" s="3226" t="s">
        <v>3601</v>
      </c>
      <c r="BL49" s="3225" t="s">
        <v>3602</v>
      </c>
      <c r="BM49" s="3225" t="s">
        <v>3603</v>
      </c>
      <c r="BN49" s="3229" t="s">
        <v>3604</v>
      </c>
      <c r="BO49" s="3230" t="s">
        <v>3605</v>
      </c>
      <c r="BP49" s="3231" t="s">
        <v>3593</v>
      </c>
      <c r="BQ49" s="3230" t="s">
        <v>3606</v>
      </c>
      <c r="BR49" s="3230" t="s">
        <v>3607</v>
      </c>
      <c r="BS49" s="3232" t="s">
        <v>3608</v>
      </c>
      <c r="BT49" s="3614"/>
      <c r="BU49" s="3607"/>
      <c r="BV49" s="3607"/>
      <c r="BW49" s="3607"/>
      <c r="BX49" s="3607"/>
    </row>
    <row r="50" spans="1:76" s="3271" customFormat="1">
      <c r="A50" s="3272" t="s">
        <v>3701</v>
      </c>
      <c r="B50" s="3273" t="s">
        <v>3702</v>
      </c>
      <c r="C50" s="3273" t="s">
        <v>3786</v>
      </c>
      <c r="D50" s="3273" t="s">
        <v>3703</v>
      </c>
      <c r="E50" s="3273" t="s">
        <v>3612</v>
      </c>
      <c r="F50" s="3273" t="s">
        <v>3612</v>
      </c>
      <c r="G50" s="3273" t="s">
        <v>3672</v>
      </c>
      <c r="H50" s="3273" t="s">
        <v>3704</v>
      </c>
      <c r="I50" s="3274" t="s">
        <v>3615</v>
      </c>
      <c r="J50" s="3275" t="s">
        <v>3616</v>
      </c>
      <c r="K50" s="3276" t="s">
        <v>673</v>
      </c>
      <c r="L50" s="3277" t="s">
        <v>673</v>
      </c>
      <c r="M50" s="3277" t="s">
        <v>3639</v>
      </c>
      <c r="N50" s="3277" t="s">
        <v>3618</v>
      </c>
      <c r="O50" s="3277" t="s">
        <v>3705</v>
      </c>
      <c r="P50" s="3278" t="s">
        <v>3618</v>
      </c>
      <c r="Q50" s="3277">
        <v>24</v>
      </c>
      <c r="R50" s="3277">
        <v>4</v>
      </c>
      <c r="S50" s="3277" t="s">
        <v>3706</v>
      </c>
      <c r="T50" s="3278" t="s">
        <v>3621</v>
      </c>
      <c r="U50" s="3277" t="s">
        <v>3622</v>
      </c>
      <c r="V50" s="3276" t="s">
        <v>3618</v>
      </c>
      <c r="W50" s="3276" t="s">
        <v>3618</v>
      </c>
      <c r="X50" s="3276" t="s">
        <v>3618</v>
      </c>
      <c r="Y50" s="3276" t="s">
        <v>3618</v>
      </c>
      <c r="Z50" s="3276">
        <v>4</v>
      </c>
      <c r="AA50" s="3276" t="s">
        <v>3618</v>
      </c>
      <c r="AB50" s="3276" t="s">
        <v>3618</v>
      </c>
      <c r="AC50" s="3276">
        <v>2014</v>
      </c>
      <c r="AD50" s="3276" t="s">
        <v>3618</v>
      </c>
      <c r="AE50" s="3276" t="s">
        <v>3618</v>
      </c>
      <c r="AF50" s="3279" t="s">
        <v>3618</v>
      </c>
      <c r="AG50" s="3276">
        <v>2054</v>
      </c>
      <c r="AH50" s="3276" t="s">
        <v>3618</v>
      </c>
      <c r="AI50" s="3276" t="s">
        <v>3618</v>
      </c>
      <c r="AJ50" s="3276" t="s">
        <v>3618</v>
      </c>
      <c r="AK50" s="3280" t="s">
        <v>3707</v>
      </c>
      <c r="AL50" s="3280" t="s">
        <v>3708</v>
      </c>
      <c r="AM50" s="3281" t="s">
        <v>3642</v>
      </c>
      <c r="AN50" s="3282" t="s">
        <v>3618</v>
      </c>
      <c r="AO50" s="3281" t="s">
        <v>21</v>
      </c>
      <c r="AP50" s="3281" t="s">
        <v>3618</v>
      </c>
      <c r="AQ50" s="3281">
        <v>886.86</v>
      </c>
      <c r="AR50" s="3281" t="s">
        <v>3618</v>
      </c>
      <c r="AS50" s="3281">
        <v>886.86</v>
      </c>
      <c r="AT50" s="3283" t="e">
        <v>#VALUE!</v>
      </c>
      <c r="AU50" s="3281" t="s">
        <v>3618</v>
      </c>
      <c r="AV50" s="3281" t="s">
        <v>3626</v>
      </c>
      <c r="AW50" s="3281" t="s">
        <v>3709</v>
      </c>
      <c r="AX50" s="3281">
        <v>25.09</v>
      </c>
      <c r="AY50" s="3284">
        <v>23.9</v>
      </c>
      <c r="AZ50" s="3282">
        <v>0.05</v>
      </c>
      <c r="BA50" s="3280">
        <v>0</v>
      </c>
      <c r="BB50" s="3280">
        <v>0</v>
      </c>
      <c r="BC50" s="3280" t="s">
        <v>3618</v>
      </c>
      <c r="BD50" s="3285">
        <v>43617</v>
      </c>
      <c r="BE50" s="3285">
        <v>47269</v>
      </c>
      <c r="BF50" s="3280">
        <v>10</v>
      </c>
      <c r="BG50" s="3280">
        <v>2</v>
      </c>
      <c r="BH50" s="3280" t="s">
        <v>3710</v>
      </c>
      <c r="BI50" s="3286">
        <v>4.36E-2</v>
      </c>
      <c r="BJ50" s="3280" t="s">
        <v>3618</v>
      </c>
      <c r="BK50" s="3281" t="s">
        <v>3628</v>
      </c>
      <c r="BL50" s="3287">
        <v>43616</v>
      </c>
      <c r="BM50" s="3281" t="s">
        <v>3629</v>
      </c>
      <c r="BN50" s="3281" t="s">
        <v>3618</v>
      </c>
      <c r="BO50" s="3288" t="s">
        <v>3618</v>
      </c>
      <c r="BP50" s="3289" t="s">
        <v>3618</v>
      </c>
      <c r="BQ50" s="3288" t="s">
        <v>3618</v>
      </c>
      <c r="BR50" s="3288" t="s">
        <v>3618</v>
      </c>
      <c r="BS50" s="3288" t="s">
        <v>3618</v>
      </c>
      <c r="BT50" s="3288"/>
      <c r="BU50" s="3288" t="s">
        <v>3711</v>
      </c>
      <c r="BV50" s="3290">
        <v>45398</v>
      </c>
      <c r="BW50" s="3288"/>
      <c r="BX50" s="3290"/>
    </row>
    <row r="51" spans="1:76" s="3271" customFormat="1">
      <c r="A51" s="3272" t="s">
        <v>3712</v>
      </c>
      <c r="B51" s="3273" t="s">
        <v>3713</v>
      </c>
      <c r="C51" s="3273" t="s">
        <v>3714</v>
      </c>
      <c r="D51" s="3273" t="s">
        <v>3714</v>
      </c>
      <c r="E51" s="3273" t="s">
        <v>3612</v>
      </c>
      <c r="F51" s="3273" t="s">
        <v>3612</v>
      </c>
      <c r="G51" s="3273" t="s">
        <v>3672</v>
      </c>
      <c r="H51" s="3273" t="s">
        <v>3715</v>
      </c>
      <c r="I51" s="3274" t="s">
        <v>3615</v>
      </c>
      <c r="J51" s="3275" t="s">
        <v>3616</v>
      </c>
      <c r="K51" s="3276" t="s">
        <v>3716</v>
      </c>
      <c r="L51" s="3277" t="s">
        <v>673</v>
      </c>
      <c r="M51" s="3277" t="s">
        <v>3617</v>
      </c>
      <c r="N51" s="3277" t="s">
        <v>3618</v>
      </c>
      <c r="O51" s="3277" t="s">
        <v>3705</v>
      </c>
      <c r="P51" s="3278" t="s">
        <v>3618</v>
      </c>
      <c r="Q51" s="3277">
        <v>3</v>
      </c>
      <c r="R51" s="3277">
        <v>3</v>
      </c>
      <c r="S51" s="3277" t="s">
        <v>3620</v>
      </c>
      <c r="T51" s="3278" t="s">
        <v>3621</v>
      </c>
      <c r="U51" s="3277" t="s">
        <v>3622</v>
      </c>
      <c r="V51" s="3276" t="s">
        <v>3618</v>
      </c>
      <c r="W51" s="3276" t="s">
        <v>3618</v>
      </c>
      <c r="X51" s="3276" t="s">
        <v>3618</v>
      </c>
      <c r="Y51" s="3276" t="s">
        <v>3618</v>
      </c>
      <c r="Z51" s="3276">
        <v>4.5</v>
      </c>
      <c r="AA51" s="3276" t="s">
        <v>3618</v>
      </c>
      <c r="AB51" s="3276" t="s">
        <v>3618</v>
      </c>
      <c r="AC51" s="3276">
        <v>2008</v>
      </c>
      <c r="AD51" s="3276" t="s">
        <v>3618</v>
      </c>
      <c r="AE51" s="3276" t="s">
        <v>3618</v>
      </c>
      <c r="AF51" s="3279" t="s">
        <v>3618</v>
      </c>
      <c r="AG51" s="3276">
        <v>2048</v>
      </c>
      <c r="AH51" s="3276" t="s">
        <v>3618</v>
      </c>
      <c r="AI51" s="3276" t="s">
        <v>3618</v>
      </c>
      <c r="AJ51" s="3276" t="s">
        <v>3618</v>
      </c>
      <c r="AK51" s="3280" t="s">
        <v>3717</v>
      </c>
      <c r="AL51" s="3280" t="s">
        <v>3718</v>
      </c>
      <c r="AM51" s="3281" t="s">
        <v>3719</v>
      </c>
      <c r="AN51" s="3282" t="s">
        <v>3618</v>
      </c>
      <c r="AO51" s="3281" t="s">
        <v>3720</v>
      </c>
      <c r="AP51" s="3281" t="s">
        <v>3618</v>
      </c>
      <c r="AQ51" s="3281">
        <v>20</v>
      </c>
      <c r="AR51" s="3281" t="s">
        <v>3618</v>
      </c>
      <c r="AS51" s="3281">
        <v>20</v>
      </c>
      <c r="AT51" s="3283" t="e">
        <v>#VALUE!</v>
      </c>
      <c r="AU51" s="3281" t="s">
        <v>3618</v>
      </c>
      <c r="AV51" s="3281" t="s">
        <v>3661</v>
      </c>
      <c r="AW51" s="3281" t="s">
        <v>3431</v>
      </c>
      <c r="AX51" s="3281">
        <v>41.67</v>
      </c>
      <c r="AY51" s="3284">
        <v>39.69</v>
      </c>
      <c r="AZ51" s="3282">
        <v>0.05</v>
      </c>
      <c r="BA51" s="3280">
        <v>0</v>
      </c>
      <c r="BB51" s="3280">
        <v>0</v>
      </c>
      <c r="BC51" s="3280" t="s">
        <v>3618</v>
      </c>
      <c r="BD51" s="3285">
        <v>44078</v>
      </c>
      <c r="BE51" s="3285">
        <v>44442</v>
      </c>
      <c r="BF51" s="3280">
        <v>1</v>
      </c>
      <c r="BG51" s="3280" t="s">
        <v>3618</v>
      </c>
      <c r="BH51" s="3280" t="s">
        <v>3618</v>
      </c>
      <c r="BI51" s="3286" t="s">
        <v>3618</v>
      </c>
      <c r="BJ51" s="3280" t="s">
        <v>3618</v>
      </c>
      <c r="BK51" s="3281" t="s">
        <v>3628</v>
      </c>
      <c r="BL51" s="3287">
        <v>44084</v>
      </c>
      <c r="BM51" s="3281" t="s">
        <v>3629</v>
      </c>
      <c r="BN51" s="3281" t="s">
        <v>3618</v>
      </c>
      <c r="BO51" s="3288" t="s">
        <v>3618</v>
      </c>
      <c r="BP51" s="3289" t="s">
        <v>3618</v>
      </c>
      <c r="BQ51" s="3288" t="s">
        <v>3618</v>
      </c>
      <c r="BR51" s="3288" t="s">
        <v>3618</v>
      </c>
      <c r="BS51" s="3288" t="s">
        <v>3618</v>
      </c>
      <c r="BT51" s="3288"/>
      <c r="BU51" s="3288" t="s">
        <v>3711</v>
      </c>
      <c r="BV51" s="3290">
        <v>45399</v>
      </c>
      <c r="BW51" s="3288"/>
      <c r="BX51" s="3290"/>
    </row>
    <row r="52" spans="1:76" s="3271" customFormat="1">
      <c r="A52" s="3288" t="s">
        <v>3721</v>
      </c>
      <c r="B52" s="3288" t="s">
        <v>3722</v>
      </c>
      <c r="C52" s="3288" t="s">
        <v>3723</v>
      </c>
      <c r="D52" s="3288" t="s">
        <v>3723</v>
      </c>
      <c r="E52" s="3288" t="s">
        <v>3612</v>
      </c>
      <c r="F52" s="3288" t="s">
        <v>3612</v>
      </c>
      <c r="G52" s="3288" t="s">
        <v>3672</v>
      </c>
      <c r="H52" s="3288" t="s">
        <v>3724</v>
      </c>
      <c r="I52" s="3288" t="s">
        <v>3615</v>
      </c>
      <c r="J52" s="3288" t="s">
        <v>3616</v>
      </c>
      <c r="K52" s="3288" t="s">
        <v>673</v>
      </c>
      <c r="L52" s="3288" t="s">
        <v>673</v>
      </c>
      <c r="M52" s="3288" t="s">
        <v>3639</v>
      </c>
      <c r="N52" s="3288" t="s">
        <v>3618</v>
      </c>
      <c r="O52" s="3288" t="s">
        <v>3619</v>
      </c>
      <c r="P52" s="3289" t="s">
        <v>3618</v>
      </c>
      <c r="Q52" s="3288">
        <v>23</v>
      </c>
      <c r="R52" s="3288">
        <v>3</v>
      </c>
      <c r="S52" s="3288" t="s">
        <v>3725</v>
      </c>
      <c r="T52" s="3289" t="s">
        <v>3621</v>
      </c>
      <c r="U52" s="3288" t="s">
        <v>3622</v>
      </c>
      <c r="V52" s="3288" t="s">
        <v>3618</v>
      </c>
      <c r="W52" s="3288" t="s">
        <v>3618</v>
      </c>
      <c r="X52" s="3288" t="s">
        <v>3618</v>
      </c>
      <c r="Y52" s="3288" t="s">
        <v>3618</v>
      </c>
      <c r="Z52" s="3288" t="s">
        <v>3726</v>
      </c>
      <c r="AA52" s="3288" t="s">
        <v>3618</v>
      </c>
      <c r="AB52" s="3288" t="s">
        <v>3618</v>
      </c>
      <c r="AC52" s="3288" t="s">
        <v>3618</v>
      </c>
      <c r="AD52" s="3288" t="s">
        <v>3618</v>
      </c>
      <c r="AE52" s="3288" t="s">
        <v>3618</v>
      </c>
      <c r="AF52" s="3290" t="s">
        <v>3618</v>
      </c>
      <c r="AG52" s="3288" t="s">
        <v>3618</v>
      </c>
      <c r="AH52" s="3288" t="s">
        <v>3618</v>
      </c>
      <c r="AI52" s="3288" t="s">
        <v>3618</v>
      </c>
      <c r="AJ52" s="3288" t="s">
        <v>3618</v>
      </c>
      <c r="AK52" s="3288" t="s">
        <v>3727</v>
      </c>
      <c r="AL52" s="3288" t="s">
        <v>3728</v>
      </c>
      <c r="AM52" s="3288" t="s">
        <v>3642</v>
      </c>
      <c r="AN52" s="3289" t="s">
        <v>3618</v>
      </c>
      <c r="AO52" s="3288" t="s">
        <v>3729</v>
      </c>
      <c r="AP52" s="3288" t="s">
        <v>3618</v>
      </c>
      <c r="AQ52" s="3288">
        <v>1618.75</v>
      </c>
      <c r="AR52" s="3288">
        <v>0</v>
      </c>
      <c r="AS52" s="3288">
        <v>1618.75</v>
      </c>
      <c r="AT52" s="3318" t="s">
        <v>3618</v>
      </c>
      <c r="AU52" s="3288" t="s">
        <v>3618</v>
      </c>
      <c r="AV52" s="3288" t="s">
        <v>3626</v>
      </c>
      <c r="AW52" s="3288" t="s">
        <v>3431</v>
      </c>
      <c r="AX52" s="3288">
        <v>14.55</v>
      </c>
      <c r="AY52" s="3319">
        <v>13.86</v>
      </c>
      <c r="AZ52" s="3289">
        <v>0.05</v>
      </c>
      <c r="BA52" s="3288">
        <v>0</v>
      </c>
      <c r="BB52" s="3288">
        <v>0</v>
      </c>
      <c r="BC52" s="3288" t="s">
        <v>3618</v>
      </c>
      <c r="BD52" s="3290">
        <v>43678</v>
      </c>
      <c r="BE52" s="3290">
        <v>45869</v>
      </c>
      <c r="BF52" s="3288">
        <v>6</v>
      </c>
      <c r="BG52" s="3288" t="s">
        <v>3618</v>
      </c>
      <c r="BH52" s="3288" t="s">
        <v>3730</v>
      </c>
      <c r="BI52" s="3320">
        <v>6.0000000000000001E-3</v>
      </c>
      <c r="BJ52" s="3288" t="s">
        <v>3618</v>
      </c>
      <c r="BK52" s="3288" t="s">
        <v>3628</v>
      </c>
      <c r="BL52" s="3290">
        <v>43649</v>
      </c>
      <c r="BM52" s="3288" t="s">
        <v>3629</v>
      </c>
      <c r="BN52" s="3288" t="s">
        <v>3618</v>
      </c>
      <c r="BO52" s="3288" t="s">
        <v>3618</v>
      </c>
      <c r="BP52" s="3289">
        <v>0.05</v>
      </c>
      <c r="BQ52" s="3288" t="s">
        <v>3618</v>
      </c>
      <c r="BR52" s="3288" t="s">
        <v>3618</v>
      </c>
      <c r="BS52" s="3288" t="s">
        <v>3618</v>
      </c>
      <c r="BT52" s="3288" t="s">
        <v>3618</v>
      </c>
      <c r="BU52" s="3288" t="s">
        <v>3711</v>
      </c>
      <c r="BV52" s="3290">
        <v>45401</v>
      </c>
      <c r="BW52" s="3288"/>
      <c r="BX52" s="3290"/>
    </row>
    <row r="53" spans="1:76" s="3297" customFormat="1">
      <c r="A53" s="3291" t="s">
        <v>3731</v>
      </c>
      <c r="B53" s="3291" t="s">
        <v>3732</v>
      </c>
      <c r="C53" s="3291" t="s">
        <v>3733</v>
      </c>
      <c r="D53" s="3291" t="s">
        <v>3734</v>
      </c>
      <c r="E53" s="3291" t="s">
        <v>3612</v>
      </c>
      <c r="F53" s="3291" t="s">
        <v>3612</v>
      </c>
      <c r="G53" s="3291" t="s">
        <v>3672</v>
      </c>
      <c r="H53" s="3291" t="s">
        <v>3735</v>
      </c>
      <c r="I53" s="3291" t="s">
        <v>3736</v>
      </c>
      <c r="J53" s="3291" t="s">
        <v>3616</v>
      </c>
      <c r="K53" s="3291" t="s">
        <v>673</v>
      </c>
      <c r="L53" s="3291" t="s">
        <v>673</v>
      </c>
      <c r="M53" s="3291" t="s">
        <v>3639</v>
      </c>
      <c r="N53" s="3291" t="s">
        <v>3618</v>
      </c>
      <c r="O53" s="3291" t="s">
        <v>3618</v>
      </c>
      <c r="P53" s="3292" t="s">
        <v>3737</v>
      </c>
      <c r="Q53" s="3291">
        <v>17</v>
      </c>
      <c r="R53" s="3291">
        <v>4</v>
      </c>
      <c r="S53" s="3291">
        <v>1</v>
      </c>
      <c r="T53" s="3292" t="s">
        <v>3621</v>
      </c>
      <c r="U53" s="3291" t="s">
        <v>3618</v>
      </c>
      <c r="V53" s="3291" t="s">
        <v>3618</v>
      </c>
      <c r="W53" s="3291" t="s">
        <v>3618</v>
      </c>
      <c r="X53" s="3291" t="s">
        <v>3618</v>
      </c>
      <c r="Y53" s="3291" t="s">
        <v>3618</v>
      </c>
      <c r="Z53" s="3291">
        <v>3</v>
      </c>
      <c r="AA53" s="3291" t="s">
        <v>3618</v>
      </c>
      <c r="AB53" s="3291" t="s">
        <v>3618</v>
      </c>
      <c r="AC53" s="3291">
        <v>2023</v>
      </c>
      <c r="AD53" s="3291" t="s">
        <v>3618</v>
      </c>
      <c r="AE53" s="3291" t="s">
        <v>3618</v>
      </c>
      <c r="AF53" s="3293" t="s">
        <v>3618</v>
      </c>
      <c r="AG53" s="3291">
        <v>2063</v>
      </c>
      <c r="AH53" s="3291" t="s">
        <v>3618</v>
      </c>
      <c r="AI53" s="3291" t="s">
        <v>3618</v>
      </c>
      <c r="AJ53" s="3291" t="s">
        <v>3618</v>
      </c>
      <c r="AK53" s="3291" t="s">
        <v>3738</v>
      </c>
      <c r="AL53" s="3291" t="s">
        <v>3739</v>
      </c>
      <c r="AM53" s="3291" t="s">
        <v>3642</v>
      </c>
      <c r="AN53" s="3292" t="s">
        <v>3618</v>
      </c>
      <c r="AO53" s="3291" t="s">
        <v>3618</v>
      </c>
      <c r="AP53" s="3291" t="s">
        <v>3618</v>
      </c>
      <c r="AQ53" s="3291">
        <v>616.13</v>
      </c>
      <c r="AR53" s="3291" t="s">
        <v>3618</v>
      </c>
      <c r="AS53" s="3291">
        <v>616.13</v>
      </c>
      <c r="AT53" s="3294" t="e">
        <v>#VALUE!</v>
      </c>
      <c r="AU53" s="3291" t="s">
        <v>3618</v>
      </c>
      <c r="AV53" s="3291" t="s">
        <v>3431</v>
      </c>
      <c r="AW53" s="3291" t="s">
        <v>3431</v>
      </c>
      <c r="AX53" s="3291">
        <v>13.6</v>
      </c>
      <c r="AY53" s="3295">
        <v>12.95</v>
      </c>
      <c r="AZ53" s="3292">
        <v>0.05</v>
      </c>
      <c r="BA53" s="3291">
        <v>0</v>
      </c>
      <c r="BB53" s="3291">
        <v>0</v>
      </c>
      <c r="BC53" s="3291" t="s">
        <v>3618</v>
      </c>
      <c r="BD53" s="3293">
        <v>45142</v>
      </c>
      <c r="BE53" s="3293">
        <v>48063</v>
      </c>
      <c r="BF53" s="3291">
        <v>8</v>
      </c>
      <c r="BG53" s="3291" t="s">
        <v>3618</v>
      </c>
      <c r="BH53" s="3291" t="s">
        <v>3740</v>
      </c>
      <c r="BI53" s="3296">
        <v>1.72E-2</v>
      </c>
      <c r="BJ53" s="3291" t="s">
        <v>3618</v>
      </c>
      <c r="BK53" s="3291" t="s">
        <v>3741</v>
      </c>
      <c r="BL53" s="3293" t="s">
        <v>3618</v>
      </c>
      <c r="BM53" s="3291" t="s">
        <v>3629</v>
      </c>
      <c r="BN53" s="3291" t="s">
        <v>3618</v>
      </c>
      <c r="BO53" s="3291" t="s">
        <v>3618</v>
      </c>
      <c r="BP53" s="3292">
        <v>0.05</v>
      </c>
      <c r="BQ53" s="3291" t="s">
        <v>3618</v>
      </c>
      <c r="BR53" s="3291" t="s">
        <v>3618</v>
      </c>
      <c r="BS53" s="3291" t="s">
        <v>3618</v>
      </c>
      <c r="BT53" s="3291" t="s">
        <v>3618</v>
      </c>
      <c r="BU53" s="3291" t="s">
        <v>3711</v>
      </c>
      <c r="BV53" s="3293">
        <v>45401</v>
      </c>
      <c r="BW53" s="3291"/>
      <c r="BX53" s="3293"/>
    </row>
    <row r="57" spans="1:76">
      <c r="B57" s="3183" t="s">
        <v>3732</v>
      </c>
      <c r="C57" s="3183" t="s">
        <v>3734</v>
      </c>
      <c r="D57" s="3183" t="s">
        <v>3784</v>
      </c>
      <c r="E57" s="3183" t="s">
        <v>3783</v>
      </c>
      <c r="F57" s="3183">
        <v>616.13</v>
      </c>
      <c r="G57" s="3183">
        <v>13.6</v>
      </c>
      <c r="H57" s="3183" t="s">
        <v>3785</v>
      </c>
    </row>
    <row r="58" spans="1:76">
      <c r="B58" s="3183" t="s">
        <v>3788</v>
      </c>
      <c r="C58" s="3321" t="s">
        <v>3800</v>
      </c>
      <c r="D58" s="3183" t="s">
        <v>3789</v>
      </c>
      <c r="E58" s="3183" t="s">
        <v>3783</v>
      </c>
      <c r="F58" s="3183">
        <v>285.33</v>
      </c>
      <c r="G58" s="3183">
        <v>12</v>
      </c>
      <c r="H58" s="3183" t="s">
        <v>3790</v>
      </c>
    </row>
    <row r="59" spans="1:76">
      <c r="D59" s="3183" t="s">
        <v>3789</v>
      </c>
      <c r="E59" s="3183" t="s">
        <v>3783</v>
      </c>
      <c r="F59" s="3183">
        <v>135.06</v>
      </c>
      <c r="G59" s="3183">
        <v>15.02</v>
      </c>
      <c r="H59" s="3183" t="s">
        <v>3791</v>
      </c>
    </row>
    <row r="60" spans="1:76">
      <c r="D60" s="3183" t="s">
        <v>3814</v>
      </c>
      <c r="E60" s="3183" t="s">
        <v>3783</v>
      </c>
      <c r="F60" s="3183">
        <v>498.6</v>
      </c>
      <c r="G60" s="3183">
        <v>17.5</v>
      </c>
      <c r="H60" s="3183" t="s">
        <v>3815</v>
      </c>
    </row>
    <row r="61" spans="1:76">
      <c r="B61" s="3193"/>
      <c r="C61" s="3193"/>
      <c r="D61" s="3193" t="s">
        <v>3819</v>
      </c>
      <c r="E61" s="3193" t="s">
        <v>3783</v>
      </c>
      <c r="F61" s="3193">
        <v>492.44</v>
      </c>
      <c r="G61" s="3193">
        <v>16.600000000000001</v>
      </c>
      <c r="H61" s="3193"/>
      <c r="I61" s="3193"/>
    </row>
    <row r="62" spans="1:76">
      <c r="B62" s="3193" t="s">
        <v>3787</v>
      </c>
      <c r="C62" s="3193" t="s">
        <v>3786</v>
      </c>
      <c r="D62" s="3193" t="s">
        <v>3792</v>
      </c>
      <c r="E62" s="3193" t="s">
        <v>3783</v>
      </c>
      <c r="F62" s="3193">
        <v>1486.32</v>
      </c>
      <c r="G62" s="3193">
        <v>21.39</v>
      </c>
      <c r="H62" s="3193" t="s">
        <v>3793</v>
      </c>
      <c r="I62" s="3193"/>
    </row>
    <row r="63" spans="1:76">
      <c r="D63" s="3183" t="s">
        <v>3794</v>
      </c>
      <c r="E63" s="3183" t="s">
        <v>3783</v>
      </c>
      <c r="F63" s="3183">
        <v>442.01</v>
      </c>
      <c r="G63" s="3183">
        <v>23.53</v>
      </c>
      <c r="H63" s="3183" t="s">
        <v>3795</v>
      </c>
    </row>
    <row r="64" spans="1:76">
      <c r="D64" s="3183" t="s">
        <v>3796</v>
      </c>
      <c r="E64" s="3183" t="s">
        <v>3783</v>
      </c>
      <c r="F64" s="3183">
        <v>109.2</v>
      </c>
      <c r="G64" s="3183">
        <v>14.98</v>
      </c>
      <c r="H64" s="3183" t="s">
        <v>3797</v>
      </c>
    </row>
    <row r="65" spans="2:8">
      <c r="D65" s="3183" t="s">
        <v>3798</v>
      </c>
      <c r="E65" s="3183" t="s">
        <v>3783</v>
      </c>
      <c r="F65" s="3183">
        <v>442.02</v>
      </c>
      <c r="G65" s="3183">
        <v>30.36</v>
      </c>
      <c r="H65" s="3183" t="s">
        <v>3799</v>
      </c>
    </row>
    <row r="66" spans="2:8">
      <c r="B66" s="3183" t="s">
        <v>3816</v>
      </c>
      <c r="D66" s="3183" t="s">
        <v>3817</v>
      </c>
      <c r="E66" s="3183" t="s">
        <v>3818</v>
      </c>
      <c r="F66" s="3183">
        <v>480</v>
      </c>
      <c r="G66" s="3183">
        <v>15</v>
      </c>
      <c r="H66" s="3183">
        <f>G66/0.9</f>
        <v>16.666666666666668</v>
      </c>
    </row>
  </sheetData>
  <mergeCells count="90">
    <mergeCell ref="O1:O2"/>
    <mergeCell ref="B1:C1"/>
    <mergeCell ref="D1:D2"/>
    <mergeCell ref="I1:J1"/>
    <mergeCell ref="K1:L1"/>
    <mergeCell ref="M1:M2"/>
    <mergeCell ref="G31:G32"/>
    <mergeCell ref="B3:B4"/>
    <mergeCell ref="B5:B6"/>
    <mergeCell ref="B7:B9"/>
    <mergeCell ref="B14:B15"/>
    <mergeCell ref="B16:B24"/>
    <mergeCell ref="B25:B26"/>
    <mergeCell ref="A31:A32"/>
    <mergeCell ref="B31:B32"/>
    <mergeCell ref="C31:D31"/>
    <mergeCell ref="E31:E32"/>
    <mergeCell ref="F31:F32"/>
    <mergeCell ref="AF31:AG31"/>
    <mergeCell ref="H31:H32"/>
    <mergeCell ref="I31:I32"/>
    <mergeCell ref="J31:J32"/>
    <mergeCell ref="K31:L31"/>
    <mergeCell ref="M31:N31"/>
    <mergeCell ref="O31:P31"/>
    <mergeCell ref="Q31:T31"/>
    <mergeCell ref="U31:Y31"/>
    <mergeCell ref="Z31:AA31"/>
    <mergeCell ref="AB31:AC31"/>
    <mergeCell ref="AD31:AE31"/>
    <mergeCell ref="BH31:BI31"/>
    <mergeCell ref="AH31:AI31"/>
    <mergeCell ref="AJ31:AJ32"/>
    <mergeCell ref="AK31:AL31"/>
    <mergeCell ref="AM31:AN31"/>
    <mergeCell ref="AO31:AP31"/>
    <mergeCell ref="AQ31:AU31"/>
    <mergeCell ref="AV31:AV32"/>
    <mergeCell ref="AW31:AW32"/>
    <mergeCell ref="AX31:BB31"/>
    <mergeCell ref="BD31:BF31"/>
    <mergeCell ref="BG31:BG32"/>
    <mergeCell ref="BV31:BV32"/>
    <mergeCell ref="BW31:BW32"/>
    <mergeCell ref="BX31:BX32"/>
    <mergeCell ref="A48:A49"/>
    <mergeCell ref="B48:B49"/>
    <mergeCell ref="C48:D48"/>
    <mergeCell ref="E48:E49"/>
    <mergeCell ref="F48:F49"/>
    <mergeCell ref="G48:G49"/>
    <mergeCell ref="H48:H49"/>
    <mergeCell ref="BJ31:BJ32"/>
    <mergeCell ref="BK31:BL31"/>
    <mergeCell ref="BM31:BN31"/>
    <mergeCell ref="BO31:BS31"/>
    <mergeCell ref="BT31:BT32"/>
    <mergeCell ref="BU31:BU32"/>
    <mergeCell ref="AH48:AI48"/>
    <mergeCell ref="I48:I49"/>
    <mergeCell ref="J48:J49"/>
    <mergeCell ref="K48:L48"/>
    <mergeCell ref="M48:N48"/>
    <mergeCell ref="O48:P48"/>
    <mergeCell ref="Q48:T48"/>
    <mergeCell ref="U48:Y48"/>
    <mergeCell ref="Z48:AA48"/>
    <mergeCell ref="AB48:AC48"/>
    <mergeCell ref="AD48:AE48"/>
    <mergeCell ref="AF48:AG48"/>
    <mergeCell ref="BJ48:BJ49"/>
    <mergeCell ref="AJ48:AJ49"/>
    <mergeCell ref="AK48:AL48"/>
    <mergeCell ref="AM48:AN48"/>
    <mergeCell ref="AO48:AP48"/>
    <mergeCell ref="AQ48:AU48"/>
    <mergeCell ref="AV48:AV49"/>
    <mergeCell ref="AW48:AW49"/>
    <mergeCell ref="AX48:BB48"/>
    <mergeCell ref="BD48:BF48"/>
    <mergeCell ref="BG48:BG49"/>
    <mergeCell ref="BH48:BI48"/>
    <mergeCell ref="BW48:BW49"/>
    <mergeCell ref="BX48:BX49"/>
    <mergeCell ref="BK48:BL48"/>
    <mergeCell ref="BM48:BN48"/>
    <mergeCell ref="BO48:BS48"/>
    <mergeCell ref="BT48:BT49"/>
    <mergeCell ref="BU48:BU49"/>
    <mergeCell ref="BV48:BV49"/>
  </mergeCells>
  <phoneticPr fontId="134" type="noConversion"/>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2CCD-A6E0-42BA-9824-01C4B64D563D}">
  <dimension ref="L2:O27"/>
  <sheetViews>
    <sheetView workbookViewId="0">
      <selection activeCell="L5" sqref="L5"/>
    </sheetView>
  </sheetViews>
  <sheetFormatPr defaultRowHeight="13.5"/>
  <cols>
    <col min="12" max="12" width="17.25" bestFit="1" customWidth="1"/>
  </cols>
  <sheetData>
    <row r="2" spans="12:15">
      <c r="L2" s="3330" t="s">
        <v>3804</v>
      </c>
      <c r="M2">
        <v>2279.42</v>
      </c>
      <c r="N2">
        <v>6</v>
      </c>
      <c r="O2">
        <v>2005</v>
      </c>
    </row>
    <row r="3" spans="12:15">
      <c r="M3" s="3159">
        <v>2279.42</v>
      </c>
      <c r="N3" s="3159">
        <v>7</v>
      </c>
      <c r="O3" s="3159">
        <v>2005</v>
      </c>
    </row>
    <row r="4" spans="12:15">
      <c r="L4" s="1405" t="s">
        <v>3830</v>
      </c>
      <c r="M4">
        <v>3303.3</v>
      </c>
      <c r="N4">
        <v>6</v>
      </c>
      <c r="O4">
        <v>2000</v>
      </c>
    </row>
    <row r="5" spans="12:15">
      <c r="L5" s="3330" t="s">
        <v>3831</v>
      </c>
      <c r="M5" s="3159">
        <v>2100</v>
      </c>
      <c r="N5" s="3159">
        <v>6.65</v>
      </c>
      <c r="O5" s="3159">
        <v>2014</v>
      </c>
    </row>
    <row r="6" spans="12:15">
      <c r="L6" s="3330" t="s">
        <v>3803</v>
      </c>
      <c r="M6" s="3159">
        <v>2037</v>
      </c>
      <c r="N6" s="3159">
        <v>7</v>
      </c>
      <c r="O6" s="3159">
        <v>2007</v>
      </c>
    </row>
    <row r="24" spans="12:14">
      <c r="L24" s="1405" t="s">
        <v>3801</v>
      </c>
      <c r="M24">
        <v>3911.5</v>
      </c>
      <c r="N24">
        <v>8</v>
      </c>
    </row>
    <row r="25" spans="12:14">
      <c r="L25" s="1405" t="s">
        <v>3802</v>
      </c>
      <c r="M25">
        <v>2059</v>
      </c>
      <c r="N25">
        <v>7.5</v>
      </c>
    </row>
    <row r="26" spans="12:14">
      <c r="L26" s="1405" t="s">
        <v>3803</v>
      </c>
      <c r="M26">
        <v>2055.67</v>
      </c>
      <c r="N26">
        <v>7.5</v>
      </c>
    </row>
    <row r="27" spans="12:14">
      <c r="L27" s="1405" t="s">
        <v>3804</v>
      </c>
      <c r="M27">
        <v>2279.42</v>
      </c>
      <c r="N27">
        <v>7</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1C9B-5E6E-48D5-AE04-BAD220EF3921}">
  <dimension ref="A1:R27"/>
  <sheetViews>
    <sheetView workbookViewId="0">
      <selection activeCell="B53" sqref="B53"/>
    </sheetView>
  </sheetViews>
  <sheetFormatPr defaultColWidth="8.875" defaultRowHeight="13.5"/>
  <cols>
    <col min="1" max="1" width="4.625" style="3298" customWidth="1"/>
    <col min="2" max="2" width="13.75" style="3298" customWidth="1"/>
    <col min="3" max="3" width="18.75" style="3298" customWidth="1"/>
    <col min="4" max="4" width="7.75" style="3298" customWidth="1"/>
    <col min="5" max="5" width="9.375" style="3298" customWidth="1"/>
    <col min="6" max="6" width="8.625" style="3298" customWidth="1"/>
    <col min="7" max="7" width="11.375" style="3298" customWidth="1"/>
    <col min="8" max="8" width="11" style="3298" customWidth="1"/>
    <col min="9" max="9" width="12.25" style="3298" customWidth="1"/>
    <col min="10" max="10" width="12.75" style="3298" customWidth="1"/>
    <col min="11" max="11" width="8.375" style="3298" customWidth="1"/>
    <col min="12" max="12" width="11.625" style="3298" customWidth="1"/>
    <col min="13" max="13" width="6.625" style="3298" customWidth="1"/>
    <col min="14" max="14" width="10.375" style="3298" customWidth="1"/>
    <col min="15" max="17" width="8.875" style="3298"/>
    <col min="18" max="18" width="12.75" style="3298" customWidth="1"/>
    <col min="19" max="16384" width="8.875" style="3298"/>
  </cols>
  <sheetData>
    <row r="1" spans="1:18" ht="24">
      <c r="A1" s="3298" t="s">
        <v>3421</v>
      </c>
      <c r="B1" s="3299" t="s">
        <v>3742</v>
      </c>
      <c r="C1" s="3299" t="s">
        <v>3521</v>
      </c>
      <c r="D1" s="3299" t="s">
        <v>3526</v>
      </c>
      <c r="E1" s="3299" t="s">
        <v>3744</v>
      </c>
      <c r="F1" s="3299" t="s">
        <v>3424</v>
      </c>
      <c r="G1" s="3299" t="s">
        <v>3743</v>
      </c>
      <c r="H1" s="3299" t="s">
        <v>3539</v>
      </c>
      <c r="I1" s="3299" t="s">
        <v>3745</v>
      </c>
      <c r="J1" s="3299" t="s">
        <v>3436</v>
      </c>
      <c r="K1" s="3299" t="s">
        <v>3746</v>
      </c>
      <c r="L1" s="3299" t="s">
        <v>3747</v>
      </c>
      <c r="M1" s="3299" t="s">
        <v>3748</v>
      </c>
      <c r="N1" s="3299" t="s">
        <v>3749</v>
      </c>
      <c r="O1" s="3299" t="s">
        <v>3538</v>
      </c>
      <c r="P1" s="3298" t="s">
        <v>3550</v>
      </c>
    </row>
    <row r="2" spans="1:18" s="3305" customFormat="1" ht="19.149999999999999" customHeight="1">
      <c r="A2" s="3300">
        <v>1</v>
      </c>
      <c r="B2" s="3301" t="s">
        <v>3750</v>
      </c>
      <c r="C2" s="3300" t="s">
        <v>3751</v>
      </c>
      <c r="D2" s="3300" t="s">
        <v>3615</v>
      </c>
      <c r="E2" s="3300" t="s">
        <v>673</v>
      </c>
      <c r="F2" s="3300">
        <v>1261</v>
      </c>
      <c r="G2" s="3301" t="s">
        <v>3652</v>
      </c>
      <c r="H2" s="3300" t="s">
        <v>3752</v>
      </c>
      <c r="I2" s="3302">
        <v>41938</v>
      </c>
      <c r="J2" s="3302">
        <v>45590</v>
      </c>
      <c r="K2" s="3300">
        <v>11.8</v>
      </c>
      <c r="L2" s="3303" t="s">
        <v>3753</v>
      </c>
      <c r="M2" s="3303">
        <f>5%/3</f>
        <v>1.6666666666666666E-2</v>
      </c>
      <c r="N2" s="3304">
        <f>I14</f>
        <v>15.18</v>
      </c>
      <c r="O2" s="3300" t="s">
        <v>3660</v>
      </c>
      <c r="P2" s="3300" t="s">
        <v>3628</v>
      </c>
      <c r="Q2" s="3305">
        <v>9</v>
      </c>
    </row>
    <row r="3" spans="1:18" s="3305" customFormat="1" ht="19.149999999999999" customHeight="1">
      <c r="A3" s="3300">
        <v>2</v>
      </c>
      <c r="B3" s="3301" t="s">
        <v>3750</v>
      </c>
      <c r="C3" s="3300" t="s">
        <v>3751</v>
      </c>
      <c r="D3" s="3300" t="s">
        <v>3615</v>
      </c>
      <c r="E3" s="3300" t="s">
        <v>673</v>
      </c>
      <c r="F3" s="3300">
        <v>718</v>
      </c>
      <c r="G3" s="3301" t="s">
        <v>3754</v>
      </c>
      <c r="H3" s="3300" t="s">
        <v>3752</v>
      </c>
      <c r="I3" s="3302">
        <v>44013</v>
      </c>
      <c r="J3" s="3302">
        <v>45838</v>
      </c>
      <c r="K3" s="3300">
        <v>15.225</v>
      </c>
      <c r="L3" s="3303" t="s">
        <v>3755</v>
      </c>
      <c r="M3" s="3303">
        <f>10%/3</f>
        <v>3.3333333333333333E-2</v>
      </c>
      <c r="N3" s="3304">
        <v>16.75</v>
      </c>
      <c r="O3" s="3300" t="s">
        <v>3756</v>
      </c>
      <c r="P3" s="3300" t="s">
        <v>3628</v>
      </c>
    </row>
    <row r="4" spans="1:18" ht="30" customHeight="1">
      <c r="A4" s="3298">
        <v>3</v>
      </c>
      <c r="B4" s="3298" t="str">
        <f>商业租金!B53</f>
        <v>丽金智地中心</v>
      </c>
      <c r="C4" s="3298" t="s">
        <v>3757</v>
      </c>
      <c r="D4" s="3298" t="str">
        <f>商业租金!I53</f>
        <v>2-3环</v>
      </c>
      <c r="E4" s="3298" t="str">
        <f>商业租金!K53</f>
        <v>商业</v>
      </c>
      <c r="F4" s="3298">
        <f>商业租金!AQ53</f>
        <v>616.13</v>
      </c>
      <c r="G4" s="3306" t="s">
        <v>3754</v>
      </c>
      <c r="H4" s="3298" t="s">
        <v>3752</v>
      </c>
      <c r="I4" s="3307">
        <f>商业租金!BD53</f>
        <v>45142</v>
      </c>
      <c r="J4" s="3307">
        <f>商业租金!BE53</f>
        <v>48063</v>
      </c>
      <c r="K4" s="3308">
        <f>商业租金!AX53</f>
        <v>13.6</v>
      </c>
      <c r="L4" s="3309" t="s">
        <v>3758</v>
      </c>
      <c r="M4" s="3309">
        <f>7%/3</f>
        <v>2.3333333333333334E-2</v>
      </c>
      <c r="N4" s="3310">
        <f>K4*(1+M4)^2</f>
        <v>14.242071111111114</v>
      </c>
      <c r="O4" s="3298" t="s">
        <v>3759</v>
      </c>
      <c r="P4" s="3298" t="s">
        <v>3741</v>
      </c>
    </row>
    <row r="5" spans="1:18" ht="19.149999999999999" customHeight="1">
      <c r="A5" s="3298">
        <v>4</v>
      </c>
      <c r="B5" s="3298" t="s">
        <v>3722</v>
      </c>
      <c r="C5" s="3298" t="s">
        <v>3760</v>
      </c>
      <c r="D5" s="3298" t="s">
        <v>3761</v>
      </c>
      <c r="E5" s="3298" t="s">
        <v>673</v>
      </c>
      <c r="F5" s="3298">
        <f>商业租金!AS52</f>
        <v>1618.75</v>
      </c>
      <c r="G5" s="3306" t="s">
        <v>3762</v>
      </c>
      <c r="H5" s="3298" t="s">
        <v>3763</v>
      </c>
      <c r="I5" s="3307">
        <f>商业租金!BD52</f>
        <v>43678</v>
      </c>
      <c r="J5" s="3307">
        <f>商业租金!BE52</f>
        <v>45869</v>
      </c>
      <c r="K5" s="3298">
        <f>商业租金!AX52</f>
        <v>14.55</v>
      </c>
      <c r="L5" s="3298" t="str">
        <f>商业租金!BH52</f>
        <v>第四年涨3%</v>
      </c>
      <c r="M5" s="3309">
        <f>3%/4</f>
        <v>7.4999999999999997E-3</v>
      </c>
      <c r="N5" s="3310">
        <f>K5*(1+M5)^6</f>
        <v>15.217150020755909</v>
      </c>
      <c r="O5" s="3298" t="s">
        <v>3764</v>
      </c>
      <c r="P5" s="3298" t="s">
        <v>3628</v>
      </c>
    </row>
    <row r="6" spans="1:18" ht="28.15" customHeight="1">
      <c r="A6" s="3298">
        <v>6</v>
      </c>
      <c r="B6" s="3298" t="s">
        <v>3765</v>
      </c>
      <c r="C6" s="3298" t="s">
        <v>3766</v>
      </c>
      <c r="D6" s="3298" t="s">
        <v>3761</v>
      </c>
      <c r="E6" s="3298" t="s">
        <v>673</v>
      </c>
      <c r="F6" s="3298">
        <f>商业租金!F26</f>
        <v>188</v>
      </c>
      <c r="G6" s="3298" t="s">
        <v>3754</v>
      </c>
      <c r="H6" s="3298" t="s">
        <v>3752</v>
      </c>
      <c r="I6" s="3307" t="s">
        <v>3453</v>
      </c>
      <c r="J6" s="3307" t="s">
        <v>3454</v>
      </c>
      <c r="K6" s="3298">
        <f>商业租金!J26</f>
        <v>13.125</v>
      </c>
      <c r="L6" s="3298" t="s">
        <v>3767</v>
      </c>
      <c r="M6" s="3309" t="s">
        <v>3767</v>
      </c>
      <c r="N6" s="3310">
        <f>K6</f>
        <v>13.125</v>
      </c>
      <c r="O6" s="3298" t="s">
        <v>3768</v>
      </c>
      <c r="P6" s="3298" t="s">
        <v>3741</v>
      </c>
      <c r="Q6" s="3311"/>
      <c r="R6" s="3298">
        <f>K10/K6</f>
        <v>0.65333333333333332</v>
      </c>
    </row>
    <row r="7" spans="1:18" ht="54">
      <c r="A7" s="3298">
        <v>7</v>
      </c>
      <c r="B7" s="3298" t="s">
        <v>3769</v>
      </c>
      <c r="C7" s="3298" t="s">
        <v>3770</v>
      </c>
      <c r="D7" s="3298" t="s">
        <v>3761</v>
      </c>
      <c r="E7" s="3298" t="s">
        <v>673</v>
      </c>
      <c r="F7" s="3298">
        <v>900</v>
      </c>
      <c r="G7" s="3298" t="s">
        <v>3754</v>
      </c>
      <c r="H7" s="3298" t="s">
        <v>3752</v>
      </c>
      <c r="J7" s="3307">
        <v>45870</v>
      </c>
      <c r="N7" s="3298">
        <v>14.5</v>
      </c>
      <c r="P7" s="3298" t="s">
        <v>3771</v>
      </c>
    </row>
    <row r="9" spans="1:18" ht="27.6" customHeight="1">
      <c r="A9" s="3298">
        <v>5</v>
      </c>
      <c r="B9" s="3298" t="s">
        <v>3702</v>
      </c>
      <c r="C9" s="3298" t="s">
        <v>3772</v>
      </c>
      <c r="D9" s="3298" t="s">
        <v>3761</v>
      </c>
      <c r="E9" s="3298" t="s">
        <v>673</v>
      </c>
      <c r="F9" s="3298">
        <f>商业租金!AS50</f>
        <v>886.86</v>
      </c>
      <c r="G9" s="3298" t="s">
        <v>3754</v>
      </c>
      <c r="H9" s="3298" t="s">
        <v>3752</v>
      </c>
      <c r="I9" s="3307">
        <f>商业租金!BD50</f>
        <v>43617</v>
      </c>
      <c r="J9" s="3307">
        <f>商业租金!BE50</f>
        <v>47269</v>
      </c>
      <c r="K9" s="3298">
        <f>商业租金!AX50</f>
        <v>25.09</v>
      </c>
      <c r="L9" s="3298" t="str">
        <f>商业租金!BH50</f>
        <v>每两年涨10%</v>
      </c>
      <c r="M9" s="3309">
        <f>10%/2</f>
        <v>0.05</v>
      </c>
      <c r="N9" s="3310">
        <f>K9*(1+M9)^6</f>
        <v>33.622999623281252</v>
      </c>
      <c r="O9" s="3298" t="s">
        <v>3708</v>
      </c>
      <c r="P9" s="3298" t="s">
        <v>3628</v>
      </c>
    </row>
    <row r="10" spans="1:18" ht="27">
      <c r="B10" s="3298" t="s">
        <v>3765</v>
      </c>
      <c r="C10" s="3298" t="s">
        <v>3766</v>
      </c>
      <c r="D10" s="3298" t="s">
        <v>3761</v>
      </c>
      <c r="E10" s="3298" t="s">
        <v>673</v>
      </c>
      <c r="F10" s="3298">
        <f>商业租金!F25</f>
        <v>689</v>
      </c>
      <c r="G10" s="3298" t="s">
        <v>3773</v>
      </c>
      <c r="H10" s="3298" t="s">
        <v>3752</v>
      </c>
      <c r="I10" s="3307" t="s">
        <v>3453</v>
      </c>
      <c r="J10" s="3307" t="s">
        <v>3454</v>
      </c>
      <c r="K10" s="3298">
        <f>商业租金!J25</f>
        <v>8.5749999999999993</v>
      </c>
      <c r="L10" s="3298" t="s">
        <v>3767</v>
      </c>
      <c r="M10" s="3309" t="s">
        <v>3767</v>
      </c>
      <c r="N10" s="3310">
        <f>K10</f>
        <v>8.5749999999999993</v>
      </c>
      <c r="O10" s="3298" t="s">
        <v>3768</v>
      </c>
      <c r="P10" s="3298" t="s">
        <v>3741</v>
      </c>
    </row>
    <row r="13" spans="1:18">
      <c r="G13" s="3298">
        <f>F2</f>
        <v>1261</v>
      </c>
      <c r="H13" s="3298">
        <v>1</v>
      </c>
      <c r="I13" s="3298">
        <v>13.66</v>
      </c>
    </row>
    <row r="14" spans="1:18" ht="27">
      <c r="D14" s="3298" t="s">
        <v>3774</v>
      </c>
      <c r="E14" s="3298" t="s">
        <v>3754</v>
      </c>
      <c r="F14" s="3298">
        <v>101</v>
      </c>
      <c r="G14" s="3298">
        <f>G13*0.5</f>
        <v>630.5</v>
      </c>
      <c r="H14" s="3298">
        <v>1</v>
      </c>
      <c r="I14" s="3298">
        <f>ROUND((G13*I13)/(G14*H14+G15*H15),2)</f>
        <v>15.18</v>
      </c>
    </row>
    <row r="15" spans="1:18">
      <c r="E15" s="3298" t="s">
        <v>3773</v>
      </c>
      <c r="F15" s="3298">
        <v>201</v>
      </c>
      <c r="G15" s="3298">
        <f>G14</f>
        <v>630.5</v>
      </c>
      <c r="H15" s="3298">
        <f>ROUND(H18/H17,1)</f>
        <v>0.8</v>
      </c>
      <c r="I15" s="3298">
        <f>ROUND(I14*H15,2)</f>
        <v>12.14</v>
      </c>
    </row>
    <row r="16" spans="1:18">
      <c r="I16" s="3298">
        <f>(I14*G14+G15*I15)/G13</f>
        <v>13.660000000000002</v>
      </c>
    </row>
    <row r="17" spans="2:11">
      <c r="H17" s="3298">
        <f>[3]基准地价修正!S2</f>
        <v>1.5019</v>
      </c>
    </row>
    <row r="18" spans="2:11">
      <c r="H18" s="3298">
        <f>[3]基准地价修正!S3</f>
        <v>1.1838</v>
      </c>
    </row>
    <row r="21" spans="2:11" ht="36">
      <c r="B21" s="3312" t="s">
        <v>3742</v>
      </c>
      <c r="C21" s="3312" t="s">
        <v>3775</v>
      </c>
      <c r="D21" s="3312" t="s">
        <v>3526</v>
      </c>
      <c r="E21" s="3312" t="s">
        <v>3744</v>
      </c>
      <c r="F21" s="3312" t="s">
        <v>3776</v>
      </c>
      <c r="G21" s="3312" t="s">
        <v>3743</v>
      </c>
      <c r="H21" s="3312" t="s">
        <v>3539</v>
      </c>
      <c r="I21" s="3312" t="s">
        <v>3777</v>
      </c>
      <c r="J21" s="3312" t="s">
        <v>3749</v>
      </c>
      <c r="K21" s="3298" t="s">
        <v>3778</v>
      </c>
    </row>
    <row r="22" spans="2:11" ht="27">
      <c r="B22" s="3313" t="s">
        <v>3750</v>
      </c>
      <c r="C22" s="3314" t="s">
        <v>3751</v>
      </c>
      <c r="D22" s="3314" t="s">
        <v>3615</v>
      </c>
      <c r="E22" s="3314" t="s">
        <v>673</v>
      </c>
      <c r="F22" s="3314">
        <f>1261/2</f>
        <v>630.5</v>
      </c>
      <c r="G22" s="3313" t="s">
        <v>3754</v>
      </c>
      <c r="H22" s="3314" t="s">
        <v>3752</v>
      </c>
      <c r="I22" s="3315">
        <v>45590</v>
      </c>
      <c r="J22" s="3316">
        <v>15.18</v>
      </c>
      <c r="K22" s="3298" t="s">
        <v>3779</v>
      </c>
    </row>
    <row r="23" spans="2:11" ht="27">
      <c r="B23" s="3313" t="s">
        <v>3750</v>
      </c>
      <c r="C23" s="3314" t="s">
        <v>3751</v>
      </c>
      <c r="D23" s="3314" t="s">
        <v>3615</v>
      </c>
      <c r="E23" s="3314" t="s">
        <v>673</v>
      </c>
      <c r="F23" s="3314">
        <v>718</v>
      </c>
      <c r="G23" s="3313" t="s">
        <v>3754</v>
      </c>
      <c r="H23" s="3314" t="s">
        <v>3752</v>
      </c>
      <c r="I23" s="3315">
        <v>45838</v>
      </c>
      <c r="J23" s="3316">
        <v>16.75</v>
      </c>
      <c r="K23" s="3298" t="s">
        <v>3779</v>
      </c>
    </row>
    <row r="24" spans="2:11" ht="27">
      <c r="B24" s="3314" t="s">
        <v>3780</v>
      </c>
      <c r="C24" s="3314" t="s">
        <v>3757</v>
      </c>
      <c r="D24" s="3314" t="s">
        <v>3736</v>
      </c>
      <c r="E24" s="3314" t="s">
        <v>673</v>
      </c>
      <c r="F24" s="3314">
        <v>616.13</v>
      </c>
      <c r="G24" s="3313" t="s">
        <v>3754</v>
      </c>
      <c r="H24" s="3314" t="s">
        <v>3752</v>
      </c>
      <c r="I24" s="3317">
        <v>45870</v>
      </c>
      <c r="J24" s="3316">
        <v>14.24</v>
      </c>
      <c r="K24" s="3298" t="s">
        <v>3779</v>
      </c>
    </row>
    <row r="25" spans="2:11" ht="27">
      <c r="B25" s="3314" t="s">
        <v>3722</v>
      </c>
      <c r="C25" s="3314" t="s">
        <v>3760</v>
      </c>
      <c r="D25" s="3314" t="s">
        <v>3615</v>
      </c>
      <c r="E25" s="3314" t="s">
        <v>673</v>
      </c>
      <c r="F25" s="3314">
        <v>1618.75</v>
      </c>
      <c r="G25" s="3313" t="s">
        <v>3652</v>
      </c>
      <c r="H25" s="3314" t="s">
        <v>3763</v>
      </c>
      <c r="I25" s="3317">
        <v>45870</v>
      </c>
      <c r="J25" s="3316">
        <v>15.22</v>
      </c>
      <c r="K25" s="3298" t="s">
        <v>3779</v>
      </c>
    </row>
    <row r="26" spans="2:11" ht="27">
      <c r="B26" s="3314" t="s">
        <v>3765</v>
      </c>
      <c r="C26" s="3314" t="s">
        <v>3766</v>
      </c>
      <c r="D26" s="3314" t="s">
        <v>3615</v>
      </c>
      <c r="E26" s="3314" t="s">
        <v>673</v>
      </c>
      <c r="F26" s="3314">
        <v>188</v>
      </c>
      <c r="G26" s="3314" t="s">
        <v>3754</v>
      </c>
      <c r="H26" s="3314" t="s">
        <v>3752</v>
      </c>
      <c r="I26" s="3317" t="s">
        <v>3454</v>
      </c>
      <c r="J26" s="3316">
        <v>13.13</v>
      </c>
      <c r="K26" s="3298" t="s">
        <v>3779</v>
      </c>
    </row>
    <row r="27" spans="2:11" ht="27">
      <c r="B27" s="3314" t="s">
        <v>3769</v>
      </c>
      <c r="C27" s="3314" t="s">
        <v>3781</v>
      </c>
      <c r="D27" s="3314" t="s">
        <v>3615</v>
      </c>
      <c r="E27" s="3314" t="s">
        <v>673</v>
      </c>
      <c r="F27" s="3314">
        <v>900</v>
      </c>
      <c r="G27" s="3314" t="s">
        <v>3754</v>
      </c>
      <c r="H27" s="3314" t="s">
        <v>3752</v>
      </c>
      <c r="I27" s="3317">
        <v>45870</v>
      </c>
      <c r="J27" s="3314">
        <v>14.5</v>
      </c>
      <c r="K27" s="3298" t="s">
        <v>3771</v>
      </c>
    </row>
  </sheetData>
  <phoneticPr fontId="134"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2877.6400000000003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860"/>
      <c r="M4" s="861"/>
      <c r="N4" s="861"/>
      <c r="O4" s="861"/>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860"/>
      <c r="M5" s="861"/>
      <c r="N5" s="861"/>
      <c r="O5" s="861"/>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860"/>
      <c r="M6" s="861"/>
      <c r="N6" s="861"/>
      <c r="O6" s="861"/>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SUMIF(52:52,YEAR(E7)&amp;"-"&amp;MONTH(E7),53:53)</f>
        <v>0</v>
      </c>
      <c r="G7" s="356"/>
      <c r="H7" s="355">
        <f>SUMIF(52:52,YEAR(G7)&amp;"-"&amp;MONTH(G7),53:53)</f>
        <v>0</v>
      </c>
      <c r="I7" s="356"/>
      <c r="J7" s="355">
        <f>SUMIF(52:52,YEAR(I7)&amp;"-"&amp;MONTH(I7),53:53)</f>
        <v>0</v>
      </c>
      <c r="K7" s="38"/>
      <c r="L7" s="862"/>
      <c r="M7" s="863"/>
      <c r="N7" s="863"/>
      <c r="O7" s="863"/>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83" t="s">
        <v>1683</v>
      </c>
      <c r="Q8" s="3584"/>
      <c r="R8" s="664" t="s">
        <v>14</v>
      </c>
      <c r="S8" s="665">
        <f t="shared" si="0"/>
        <v>100</v>
      </c>
      <c r="T8" s="664" t="s">
        <v>14</v>
      </c>
      <c r="U8" s="665">
        <f t="shared" si="1"/>
        <v>100</v>
      </c>
      <c r="V8" s="664" t="s">
        <v>14</v>
      </c>
      <c r="W8" s="665">
        <f t="shared" si="2"/>
        <v>100</v>
      </c>
      <c r="X8" s="666"/>
      <c r="Y8" s="3583" t="s">
        <v>1683</v>
      </c>
      <c r="Z8" s="35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8"/>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51"/>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51"/>
      <c r="Q18" s="1263"/>
      <c r="R18" s="667"/>
      <c r="S18" s="668"/>
      <c r="T18" s="667"/>
      <c r="U18" s="668"/>
      <c r="V18" s="667"/>
      <c r="W18" s="668"/>
      <c r="X18" s="1265"/>
      <c r="Y18" s="355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51"/>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51"/>
      <c r="Q20" s="1263"/>
      <c r="R20" s="667"/>
      <c r="S20" s="668"/>
      <c r="T20" s="667"/>
      <c r="U20" s="668"/>
      <c r="V20" s="667"/>
      <c r="W20" s="668"/>
      <c r="X20" s="1265"/>
      <c r="Y20" s="355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51"/>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51"/>
      <c r="Q22" s="1263"/>
      <c r="R22" s="667"/>
      <c r="S22" s="668"/>
      <c r="T22" s="667"/>
      <c r="U22" s="668"/>
      <c r="V22" s="667"/>
      <c r="W22" s="668"/>
      <c r="X22" s="1265"/>
      <c r="Y22" s="355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51"/>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51"/>
      <c r="Q24" s="1263"/>
      <c r="R24" s="667"/>
      <c r="S24" s="668"/>
      <c r="T24" s="667"/>
      <c r="U24" s="668"/>
      <c r="V24" s="667"/>
      <c r="W24" s="668"/>
      <c r="X24" s="1265"/>
      <c r="Y24" s="35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51"/>
      <c r="Q25" s="1263">
        <f>B25</f>
        <v>111</v>
      </c>
      <c r="R25" s="667" t="s">
        <v>14</v>
      </c>
      <c r="S25" s="668">
        <f>F25</f>
        <v>100</v>
      </c>
      <c r="T25" s="667" t="s">
        <v>14</v>
      </c>
      <c r="U25" s="668">
        <f>H25</f>
        <v>100</v>
      </c>
      <c r="V25" s="667" t="s">
        <v>14</v>
      </c>
      <c r="W25" s="668">
        <f>J25</f>
        <v>100</v>
      </c>
      <c r="X25" s="1265"/>
      <c r="Y25" s="35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51"/>
      <c r="Q26" s="1263">
        <f t="shared" ref="Q26:Q40" si="11">B26</f>
        <v>111</v>
      </c>
      <c r="R26" s="667" t="s">
        <v>14</v>
      </c>
      <c r="S26" s="668">
        <f>F26</f>
        <v>100</v>
      </c>
      <c r="T26" s="667" t="s">
        <v>14</v>
      </c>
      <c r="U26" s="668">
        <f>H26</f>
        <v>100</v>
      </c>
      <c r="V26" s="667" t="s">
        <v>14</v>
      </c>
      <c r="W26" s="668">
        <f>J26</f>
        <v>100</v>
      </c>
      <c r="X26" s="1265"/>
      <c r="Y26" s="35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51"/>
      <c r="Q27" s="530">
        <f t="shared" si="11"/>
        <v>111</v>
      </c>
      <c r="R27" s="664" t="s">
        <v>14</v>
      </c>
      <c r="S27" s="665">
        <f>F27</f>
        <v>100</v>
      </c>
      <c r="T27" s="664" t="s">
        <v>14</v>
      </c>
      <c r="U27" s="665">
        <f>H27</f>
        <v>100</v>
      </c>
      <c r="V27" s="664" t="s">
        <v>14</v>
      </c>
      <c r="W27" s="665">
        <f>J27</f>
        <v>100</v>
      </c>
      <c r="X27" s="666"/>
      <c r="Y27" s="355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51"/>
      <c r="Q28" s="1263">
        <f t="shared" si="11"/>
        <v>111</v>
      </c>
      <c r="R28" s="667" t="s">
        <v>14</v>
      </c>
      <c r="S28" s="668">
        <f t="shared" ref="S28:S40" si="12">F28</f>
        <v>100</v>
      </c>
      <c r="T28" s="667" t="s">
        <v>14</v>
      </c>
      <c r="U28" s="668">
        <f t="shared" ref="U28:U40" si="13">H28</f>
        <v>100</v>
      </c>
      <c r="V28" s="667" t="s">
        <v>14</v>
      </c>
      <c r="W28" s="668">
        <f t="shared" ref="W28:W40" si="14">J28</f>
        <v>100</v>
      </c>
      <c r="X28" s="1265"/>
      <c r="Y28" s="355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45" t="s">
        <v>1696</v>
      </c>
      <c r="Q29" s="1263" t="str">
        <f t="shared" si="11"/>
        <v>建筑类型</v>
      </c>
      <c r="R29" s="667" t="s">
        <v>14</v>
      </c>
      <c r="S29" s="668">
        <f t="shared" si="12"/>
        <v>100</v>
      </c>
      <c r="T29" s="667" t="s">
        <v>14</v>
      </c>
      <c r="U29" s="668">
        <f t="shared" si="13"/>
        <v>100</v>
      </c>
      <c r="V29" s="667" t="s">
        <v>14</v>
      </c>
      <c r="W29" s="668">
        <f t="shared" si="14"/>
        <v>100</v>
      </c>
      <c r="X29" s="1265"/>
      <c r="Y29" s="35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55"/>
      <c r="Q30" s="531" t="str">
        <f t="shared" si="11"/>
        <v>项目建筑规模</v>
      </c>
      <c r="R30" s="669" t="s">
        <v>14</v>
      </c>
      <c r="S30" s="670" t="e">
        <f t="shared" si="12"/>
        <v>#N/A</v>
      </c>
      <c r="T30" s="669" t="s">
        <v>14</v>
      </c>
      <c r="U30" s="670" t="e">
        <f t="shared" si="13"/>
        <v>#N/A</v>
      </c>
      <c r="V30" s="669" t="s">
        <v>14</v>
      </c>
      <c r="W30" s="670" t="e">
        <f t="shared" si="14"/>
        <v>#N/A</v>
      </c>
      <c r="X30" s="671"/>
      <c r="Y30" s="35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55"/>
      <c r="Q31" s="1263" t="str">
        <f t="shared" si="11"/>
        <v>建筑结构</v>
      </c>
      <c r="R31" s="667" t="s">
        <v>14</v>
      </c>
      <c r="S31" s="668">
        <f t="shared" si="12"/>
        <v>100</v>
      </c>
      <c r="T31" s="667" t="s">
        <v>14</v>
      </c>
      <c r="U31" s="668">
        <f t="shared" si="13"/>
        <v>100</v>
      </c>
      <c r="V31" s="667" t="s">
        <v>14</v>
      </c>
      <c r="W31" s="668">
        <f t="shared" si="14"/>
        <v>100</v>
      </c>
      <c r="X31" s="1265"/>
      <c r="Y31" s="35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55"/>
      <c r="Q32" s="1263" t="str">
        <f t="shared" si="11"/>
        <v>公共部分装修</v>
      </c>
      <c r="R32" s="667" t="s">
        <v>14</v>
      </c>
      <c r="S32" s="668">
        <f t="shared" si="12"/>
        <v>100</v>
      </c>
      <c r="T32" s="667" t="s">
        <v>14</v>
      </c>
      <c r="U32" s="668">
        <f t="shared" si="13"/>
        <v>100</v>
      </c>
      <c r="V32" s="667" t="s">
        <v>14</v>
      </c>
      <c r="W32" s="668">
        <f t="shared" si="14"/>
        <v>100</v>
      </c>
      <c r="X32" s="1265"/>
      <c r="Y32" s="35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55"/>
      <c r="Q33" s="1263" t="str">
        <f t="shared" si="11"/>
        <v>成新度</v>
      </c>
      <c r="R33" s="667" t="s">
        <v>14</v>
      </c>
      <c r="S33" s="668" t="e">
        <f t="shared" si="12"/>
        <v>#N/A</v>
      </c>
      <c r="T33" s="667" t="s">
        <v>14</v>
      </c>
      <c r="U33" s="668" t="e">
        <f t="shared" si="13"/>
        <v>#N/A</v>
      </c>
      <c r="V33" s="667" t="s">
        <v>14</v>
      </c>
      <c r="W33" s="668" t="e">
        <f t="shared" si="14"/>
        <v>#N/A</v>
      </c>
      <c r="X33" s="1265"/>
      <c r="Y33" s="35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55"/>
      <c r="Q34" s="530" t="str">
        <f t="shared" si="11"/>
        <v>物业管理</v>
      </c>
      <c r="R34" s="664" t="s">
        <v>14</v>
      </c>
      <c r="S34" s="665">
        <f t="shared" si="12"/>
        <v>100</v>
      </c>
      <c r="T34" s="664" t="s">
        <v>14</v>
      </c>
      <c r="U34" s="665">
        <f t="shared" si="13"/>
        <v>100</v>
      </c>
      <c r="V34" s="664" t="s">
        <v>14</v>
      </c>
      <c r="W34" s="665">
        <f t="shared" si="14"/>
        <v>100</v>
      </c>
      <c r="X34" s="666"/>
      <c r="Y34" s="35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55" t="s">
        <v>1696</v>
      </c>
      <c r="Q35" s="1263" t="str">
        <f t="shared" si="11"/>
        <v>市政基础设施</v>
      </c>
      <c r="R35" s="667" t="s">
        <v>14</v>
      </c>
      <c r="S35" s="668">
        <f t="shared" si="12"/>
        <v>100</v>
      </c>
      <c r="T35" s="667" t="s">
        <v>14</v>
      </c>
      <c r="U35" s="668">
        <f t="shared" si="13"/>
        <v>100</v>
      </c>
      <c r="V35" s="667" t="s">
        <v>14</v>
      </c>
      <c r="W35" s="668">
        <f t="shared" si="14"/>
        <v>100</v>
      </c>
      <c r="X35" s="1265"/>
      <c r="Y35" s="35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55"/>
      <c r="Q36" s="1263" t="str">
        <f t="shared" si="11"/>
        <v>内部装修</v>
      </c>
      <c r="R36" s="667" t="s">
        <v>14</v>
      </c>
      <c r="S36" s="668">
        <f t="shared" si="12"/>
        <v>100</v>
      </c>
      <c r="T36" s="667" t="s">
        <v>14</v>
      </c>
      <c r="U36" s="668">
        <f t="shared" si="13"/>
        <v>100</v>
      </c>
      <c r="V36" s="667" t="s">
        <v>14</v>
      </c>
      <c r="W36" s="668">
        <f t="shared" si="14"/>
        <v>100</v>
      </c>
      <c r="X36" s="1265"/>
      <c r="Y36" s="35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55"/>
      <c r="Q37" s="1263" t="str">
        <f t="shared" si="11"/>
        <v>内部装修状况</v>
      </c>
      <c r="R37" s="667" t="s">
        <v>14</v>
      </c>
      <c r="S37" s="668">
        <f t="shared" si="12"/>
        <v>100</v>
      </c>
      <c r="T37" s="667" t="s">
        <v>14</v>
      </c>
      <c r="U37" s="668">
        <f t="shared" si="13"/>
        <v>100</v>
      </c>
      <c r="V37" s="667" t="s">
        <v>14</v>
      </c>
      <c r="W37" s="668">
        <f t="shared" si="14"/>
        <v>100</v>
      </c>
      <c r="X37" s="1265"/>
      <c r="Y37" s="35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55"/>
      <c r="Q38" s="531">
        <f t="shared" si="11"/>
        <v>111</v>
      </c>
      <c r="R38" s="669" t="s">
        <v>14</v>
      </c>
      <c r="S38" s="670">
        <f t="shared" si="12"/>
        <v>100</v>
      </c>
      <c r="T38" s="669" t="s">
        <v>14</v>
      </c>
      <c r="U38" s="670">
        <f t="shared" si="13"/>
        <v>100</v>
      </c>
      <c r="V38" s="669" t="s">
        <v>14</v>
      </c>
      <c r="W38" s="670">
        <f t="shared" si="14"/>
        <v>100</v>
      </c>
      <c r="X38" s="671"/>
      <c r="Y38" s="35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55"/>
      <c r="Q39" s="1263">
        <f t="shared" si="11"/>
        <v>111</v>
      </c>
      <c r="R39" s="667" t="s">
        <v>14</v>
      </c>
      <c r="S39" s="668">
        <f t="shared" si="12"/>
        <v>100</v>
      </c>
      <c r="T39" s="667" t="s">
        <v>14</v>
      </c>
      <c r="U39" s="668">
        <f t="shared" si="13"/>
        <v>100</v>
      </c>
      <c r="V39" s="667" t="s">
        <v>14</v>
      </c>
      <c r="W39" s="668">
        <f t="shared" si="14"/>
        <v>100</v>
      </c>
      <c r="X39" s="1265"/>
      <c r="Y39" s="355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56"/>
      <c r="Q40" s="1263">
        <f t="shared" si="11"/>
        <v>111</v>
      </c>
      <c r="R40" s="667" t="s">
        <v>14</v>
      </c>
      <c r="S40" s="668">
        <f t="shared" si="12"/>
        <v>100</v>
      </c>
      <c r="T40" s="667" t="s">
        <v>14</v>
      </c>
      <c r="U40" s="668">
        <f t="shared" si="13"/>
        <v>100</v>
      </c>
      <c r="V40" s="667" t="s">
        <v>14</v>
      </c>
      <c r="W40" s="668">
        <f t="shared" si="14"/>
        <v>100</v>
      </c>
      <c r="X40" s="1265"/>
      <c r="Y40" s="355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8" t="str">
        <f>A41</f>
        <v>成交单价（元/平方米）</v>
      </c>
      <c r="Q41" s="3548"/>
      <c r="R41" s="3549">
        <f>E41</f>
        <v>0</v>
      </c>
      <c r="S41" s="3549"/>
      <c r="T41" s="3549">
        <f>G41</f>
        <v>0</v>
      </c>
      <c r="U41" s="3549"/>
      <c r="V41" s="3549">
        <f>I41</f>
        <v>0</v>
      </c>
      <c r="W41" s="354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8" t="str">
        <f>A42</f>
        <v>比较价值（元/平方米）</v>
      </c>
      <c r="Q42" s="3548"/>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51"/>
      <c r="Q15" s="1263"/>
      <c r="R15" s="667"/>
      <c r="S15" s="668"/>
      <c r="T15" s="667"/>
      <c r="U15" s="668"/>
      <c r="V15" s="667"/>
      <c r="W15" s="668"/>
      <c r="X15" s="1265"/>
      <c r="Y15" s="355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51"/>
      <c r="Q17" s="1263"/>
      <c r="R17" s="667"/>
      <c r="S17" s="668"/>
      <c r="T17" s="667"/>
      <c r="U17" s="668"/>
      <c r="V17" s="667"/>
      <c r="W17" s="668"/>
      <c r="X17" s="1265"/>
      <c r="Y17" s="355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51"/>
      <c r="Q19" s="1263"/>
      <c r="R19" s="667"/>
      <c r="S19" s="668"/>
      <c r="T19" s="667"/>
      <c r="U19" s="668"/>
      <c r="V19" s="667"/>
      <c r="W19" s="668"/>
      <c r="X19" s="1265"/>
      <c r="Y19" s="355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51"/>
      <c r="Q21" s="1263"/>
      <c r="R21" s="667"/>
      <c r="S21" s="668"/>
      <c r="T21" s="667"/>
      <c r="U21" s="668"/>
      <c r="V21" s="667"/>
      <c r="W21" s="668"/>
      <c r="X21" s="1265"/>
      <c r="Y21" s="35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51"/>
      <c r="Q24" s="1263">
        <f t="shared" ref="Q24:Q36"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55"/>
      <c r="Q27" s="531" t="str">
        <f t="shared" si="11"/>
        <v>项目停车位配比</v>
      </c>
      <c r="R27" s="669" t="s">
        <v>14</v>
      </c>
      <c r="S27" s="670">
        <f t="shared" si="12"/>
        <v>100</v>
      </c>
      <c r="T27" s="669" t="s">
        <v>14</v>
      </c>
      <c r="U27" s="670">
        <f t="shared" si="13"/>
        <v>100</v>
      </c>
      <c r="V27" s="669" t="s">
        <v>14</v>
      </c>
      <c r="W27" s="670">
        <f t="shared" si="14"/>
        <v>100</v>
      </c>
      <c r="X27" s="671"/>
      <c r="Y27" s="35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55"/>
      <c r="Q28" s="1263" t="str">
        <f t="shared" si="11"/>
        <v>公共部分装修</v>
      </c>
      <c r="R28" s="667" t="s">
        <v>14</v>
      </c>
      <c r="S28" s="668">
        <f t="shared" si="12"/>
        <v>100</v>
      </c>
      <c r="T28" s="667" t="s">
        <v>14</v>
      </c>
      <c r="U28" s="668">
        <f t="shared" si="13"/>
        <v>100</v>
      </c>
      <c r="V28" s="667" t="s">
        <v>14</v>
      </c>
      <c r="W28" s="668">
        <f t="shared" si="14"/>
        <v>100</v>
      </c>
      <c r="X28" s="1265"/>
      <c r="Y28" s="35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55"/>
      <c r="Q29" s="1263" t="str">
        <f t="shared" si="11"/>
        <v>成新率</v>
      </c>
      <c r="R29" s="667" t="s">
        <v>14</v>
      </c>
      <c r="S29" s="668" t="e">
        <f t="shared" si="12"/>
        <v>#N/A</v>
      </c>
      <c r="T29" s="667" t="s">
        <v>14</v>
      </c>
      <c r="U29" s="668" t="e">
        <f t="shared" si="13"/>
        <v>#N/A</v>
      </c>
      <c r="V29" s="667" t="s">
        <v>14</v>
      </c>
      <c r="W29" s="668" t="e">
        <f t="shared" si="14"/>
        <v>#N/A</v>
      </c>
      <c r="X29" s="1265"/>
      <c r="Y29" s="35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55"/>
      <c r="Q30" s="1263" t="str">
        <f t="shared" si="11"/>
        <v>物业等级</v>
      </c>
      <c r="R30" s="667" t="s">
        <v>14</v>
      </c>
      <c r="S30" s="668">
        <f t="shared" si="12"/>
        <v>100</v>
      </c>
      <c r="T30" s="667" t="s">
        <v>14</v>
      </c>
      <c r="U30" s="668">
        <f t="shared" si="13"/>
        <v>100</v>
      </c>
      <c r="V30" s="667" t="s">
        <v>14</v>
      </c>
      <c r="W30" s="668">
        <f t="shared" si="14"/>
        <v>100</v>
      </c>
      <c r="X30" s="1265"/>
      <c r="Y30" s="35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55"/>
      <c r="Q31" s="530" t="str">
        <f t="shared" si="11"/>
        <v>停车位面积</v>
      </c>
      <c r="R31" s="664" t="s">
        <v>14</v>
      </c>
      <c r="S31" s="665" t="e">
        <f t="shared" si="12"/>
        <v>#N/A</v>
      </c>
      <c r="T31" s="664" t="s">
        <v>14</v>
      </c>
      <c r="U31" s="665" t="e">
        <f t="shared" si="13"/>
        <v>#N/A</v>
      </c>
      <c r="V31" s="664" t="s">
        <v>14</v>
      </c>
      <c r="W31" s="665" t="e">
        <f t="shared" si="14"/>
        <v>#N/A</v>
      </c>
      <c r="X31" s="666"/>
      <c r="Y31" s="35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55" t="s">
        <v>1696</v>
      </c>
      <c r="Q32" s="1263" t="str">
        <f t="shared" si="11"/>
        <v>车位类型</v>
      </c>
      <c r="R32" s="667" t="s">
        <v>14</v>
      </c>
      <c r="S32" s="668">
        <f t="shared" si="12"/>
        <v>100</v>
      </c>
      <c r="T32" s="667" t="s">
        <v>14</v>
      </c>
      <c r="U32" s="668">
        <f t="shared" si="13"/>
        <v>100</v>
      </c>
      <c r="V32" s="667" t="s">
        <v>14</v>
      </c>
      <c r="W32" s="668">
        <f t="shared" si="14"/>
        <v>100</v>
      </c>
      <c r="X32" s="1265"/>
      <c r="Y32" s="35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55"/>
      <c r="Q33" s="1263" t="str">
        <f t="shared" si="11"/>
        <v>是否直接入户</v>
      </c>
      <c r="R33" s="667" t="s">
        <v>14</v>
      </c>
      <c r="S33" s="668">
        <f t="shared" si="12"/>
        <v>100</v>
      </c>
      <c r="T33" s="667" t="s">
        <v>14</v>
      </c>
      <c r="U33" s="668">
        <f t="shared" si="13"/>
        <v>100</v>
      </c>
      <c r="V33" s="667" t="s">
        <v>14</v>
      </c>
      <c r="W33" s="668">
        <f t="shared" si="14"/>
        <v>100</v>
      </c>
      <c r="X33" s="1265"/>
      <c r="Y33" s="35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55"/>
      <c r="Q35" s="531">
        <f t="shared" si="11"/>
        <v>111</v>
      </c>
      <c r="R35" s="669" t="s">
        <v>14</v>
      </c>
      <c r="S35" s="670">
        <f t="shared" si="12"/>
        <v>100</v>
      </c>
      <c r="T35" s="669" t="s">
        <v>14</v>
      </c>
      <c r="U35" s="670">
        <f t="shared" si="13"/>
        <v>100</v>
      </c>
      <c r="V35" s="669" t="s">
        <v>14</v>
      </c>
      <c r="W35" s="670">
        <f t="shared" si="14"/>
        <v>100</v>
      </c>
      <c r="X35" s="671"/>
      <c r="Y35" s="355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55"/>
      <c r="Q36" s="1263">
        <f t="shared" si="11"/>
        <v>111</v>
      </c>
      <c r="R36" s="667" t="s">
        <v>14</v>
      </c>
      <c r="S36" s="668">
        <f t="shared" si="12"/>
        <v>100</v>
      </c>
      <c r="T36" s="667" t="s">
        <v>14</v>
      </c>
      <c r="U36" s="668">
        <f t="shared" si="13"/>
        <v>100</v>
      </c>
      <c r="V36" s="667" t="s">
        <v>14</v>
      </c>
      <c r="W36" s="668">
        <f t="shared" si="14"/>
        <v>100</v>
      </c>
      <c r="X36" s="1265"/>
      <c r="Y36" s="355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48" t="str">
        <f>A37</f>
        <v>成交单价</v>
      </c>
      <c r="Q37" s="3548"/>
      <c r="R37" s="3549">
        <f>E37</f>
        <v>0</v>
      </c>
      <c r="S37" s="3549"/>
      <c r="T37" s="3549">
        <f>G37</f>
        <v>0</v>
      </c>
      <c r="U37" s="3549"/>
      <c r="V37" s="3549">
        <f>I37</f>
        <v>0</v>
      </c>
      <c r="W37" s="354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48" t="str">
        <f>A38</f>
        <v>比较价值（元/平方米）</v>
      </c>
      <c r="Q38" s="3548"/>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45" t="str">
        <f>A39</f>
        <v>估价对象XX用房的比较价值（楼面单价，元/平方米）</v>
      </c>
      <c r="Q39" s="3546"/>
      <c r="R39" s="3646" t="e">
        <f>IF(F1="售价",ROUND(IF(D38="简单平均",AVERAGE(R38:W38),R38*F38+T38*H38+V38*J38),0),ROUND(IF(D38="简单平均",AVERAGE(R38:V38),R38*F38+T38*H38+V38*J38),1))</f>
        <v>#DIV/0!</v>
      </c>
      <c r="S39" s="3646"/>
      <c r="T39" s="3646"/>
      <c r="U39" s="3646"/>
      <c r="V39" s="3646"/>
      <c r="W39" s="36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51"/>
      <c r="Q15" s="1263"/>
      <c r="R15" s="667"/>
      <c r="S15" s="668"/>
      <c r="T15" s="667"/>
      <c r="U15" s="668"/>
      <c r="V15" s="667"/>
      <c r="W15" s="668"/>
      <c r="X15" s="1265"/>
      <c r="Y15" s="355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51"/>
      <c r="Q17" s="1263"/>
      <c r="R17" s="667"/>
      <c r="S17" s="668"/>
      <c r="T17" s="667"/>
      <c r="U17" s="668"/>
      <c r="V17" s="667"/>
      <c r="W17" s="668"/>
      <c r="X17" s="1265"/>
      <c r="Y17" s="355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51"/>
      <c r="Q19" s="1263"/>
      <c r="R19" s="667"/>
      <c r="S19" s="668"/>
      <c r="T19" s="667"/>
      <c r="U19" s="668"/>
      <c r="V19" s="667"/>
      <c r="W19" s="668"/>
      <c r="X19" s="1265"/>
      <c r="Y19" s="355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51"/>
      <c r="Q21" s="1263"/>
      <c r="R21" s="667"/>
      <c r="S21" s="668"/>
      <c r="T21" s="667"/>
      <c r="U21" s="668"/>
      <c r="V21" s="667"/>
      <c r="W21" s="668"/>
      <c r="X21" s="1265"/>
      <c r="Y21" s="35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51"/>
      <c r="Q24" s="1263">
        <f t="shared" ref="Q24:Q34"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55"/>
      <c r="Q27" s="531" t="str">
        <f t="shared" si="11"/>
        <v>成新率</v>
      </c>
      <c r="R27" s="669" t="s">
        <v>14</v>
      </c>
      <c r="S27" s="670" t="e">
        <f t="shared" si="12"/>
        <v>#N/A</v>
      </c>
      <c r="T27" s="669" t="s">
        <v>14</v>
      </c>
      <c r="U27" s="670" t="e">
        <f t="shared" si="13"/>
        <v>#N/A</v>
      </c>
      <c r="V27" s="669" t="s">
        <v>14</v>
      </c>
      <c r="W27" s="670" t="e">
        <f t="shared" si="14"/>
        <v>#N/A</v>
      </c>
      <c r="X27" s="671"/>
      <c r="Y27" s="35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55"/>
      <c r="Q28" s="1263" t="str">
        <f t="shared" si="11"/>
        <v>物业等级</v>
      </c>
      <c r="R28" s="667" t="s">
        <v>14</v>
      </c>
      <c r="S28" s="668">
        <f t="shared" si="12"/>
        <v>100</v>
      </c>
      <c r="T28" s="667" t="s">
        <v>14</v>
      </c>
      <c r="U28" s="668">
        <f t="shared" si="13"/>
        <v>100</v>
      </c>
      <c r="V28" s="667" t="s">
        <v>14</v>
      </c>
      <c r="W28" s="668">
        <f t="shared" si="14"/>
        <v>100</v>
      </c>
      <c r="X28" s="1265"/>
      <c r="Y28" s="35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55"/>
      <c r="Q29" s="1263" t="str">
        <f t="shared" si="11"/>
        <v>有无电梯</v>
      </c>
      <c r="R29" s="667" t="s">
        <v>14</v>
      </c>
      <c r="S29" s="668">
        <f t="shared" si="12"/>
        <v>100</v>
      </c>
      <c r="T29" s="667" t="s">
        <v>14</v>
      </c>
      <c r="U29" s="668">
        <f t="shared" si="13"/>
        <v>100</v>
      </c>
      <c r="V29" s="667" t="s">
        <v>14</v>
      </c>
      <c r="W29" s="668">
        <f t="shared" si="14"/>
        <v>100</v>
      </c>
      <c r="X29" s="1265"/>
      <c r="Y29" s="35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55"/>
      <c r="Q30" s="1263" t="str">
        <f t="shared" si="11"/>
        <v>建筑面积</v>
      </c>
      <c r="R30" s="667" t="s">
        <v>14</v>
      </c>
      <c r="S30" s="668" t="e">
        <f t="shared" si="12"/>
        <v>#N/A</v>
      </c>
      <c r="T30" s="667" t="s">
        <v>14</v>
      </c>
      <c r="U30" s="668" t="e">
        <f t="shared" si="13"/>
        <v>#N/A</v>
      </c>
      <c r="V30" s="667" t="s">
        <v>14</v>
      </c>
      <c r="W30" s="668" t="e">
        <f t="shared" si="14"/>
        <v>#N/A</v>
      </c>
      <c r="X30" s="1265"/>
      <c r="Y30" s="35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55"/>
      <c r="Q31" s="530" t="str">
        <f t="shared" si="11"/>
        <v>是否封闭</v>
      </c>
      <c r="R31" s="664" t="s">
        <v>14</v>
      </c>
      <c r="S31" s="665">
        <f t="shared" si="12"/>
        <v>100</v>
      </c>
      <c r="T31" s="664" t="s">
        <v>14</v>
      </c>
      <c r="U31" s="665">
        <f t="shared" si="13"/>
        <v>100</v>
      </c>
      <c r="V31" s="664" t="s">
        <v>14</v>
      </c>
      <c r="W31" s="665">
        <f t="shared" si="14"/>
        <v>100</v>
      </c>
      <c r="X31" s="666"/>
      <c r="Y31" s="35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55" t="s">
        <v>1696</v>
      </c>
      <c r="Q32" s="1263">
        <f t="shared" si="11"/>
        <v>111</v>
      </c>
      <c r="R32" s="667" t="s">
        <v>14</v>
      </c>
      <c r="S32" s="668">
        <f t="shared" si="12"/>
        <v>100</v>
      </c>
      <c r="T32" s="667" t="s">
        <v>14</v>
      </c>
      <c r="U32" s="668">
        <f t="shared" si="13"/>
        <v>100</v>
      </c>
      <c r="V32" s="667" t="s">
        <v>14</v>
      </c>
      <c r="W32" s="668">
        <f t="shared" si="14"/>
        <v>100</v>
      </c>
      <c r="X32" s="1265"/>
      <c r="Y32" s="35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55"/>
      <c r="Q33" s="1263">
        <f t="shared" si="11"/>
        <v>111</v>
      </c>
      <c r="R33" s="667" t="s">
        <v>14</v>
      </c>
      <c r="S33" s="668">
        <f t="shared" si="12"/>
        <v>100</v>
      </c>
      <c r="T33" s="667" t="s">
        <v>14</v>
      </c>
      <c r="U33" s="668">
        <f t="shared" si="13"/>
        <v>100</v>
      </c>
      <c r="V33" s="667" t="s">
        <v>14</v>
      </c>
      <c r="W33" s="668">
        <f t="shared" si="14"/>
        <v>100</v>
      </c>
      <c r="X33" s="1265"/>
      <c r="Y33" s="355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48" t="str">
        <f>A35</f>
        <v>成交单价（元/平方米）</v>
      </c>
      <c r="Q35" s="3548"/>
      <c r="R35" s="3549">
        <f>E35</f>
        <v>0</v>
      </c>
      <c r="S35" s="3549"/>
      <c r="T35" s="3549">
        <f>G35</f>
        <v>0</v>
      </c>
      <c r="U35" s="3549"/>
      <c r="V35" s="3549">
        <f>I35</f>
        <v>0</v>
      </c>
      <c r="W35" s="354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48" t="str">
        <f>A36</f>
        <v>比较价值（元/平方米）</v>
      </c>
      <c r="Q36" s="3548"/>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45" t="str">
        <f>A37</f>
        <v>估价对象XX用房的比较价值（楼面单价，元/平方米）</v>
      </c>
      <c r="Q37" s="3546"/>
      <c r="R37" s="3646" t="e">
        <f>IF(F1="售价",ROUND(IF(D36="简单平均",AVERAGE(R36:W36),R36*F36+T36*H36+V36*J36),0),ROUND(IF(D36="简单平均",AVERAGE(R36:V36),R36*F36+T36*H36+V36*J36),1))</f>
        <v>#DIV/0!</v>
      </c>
      <c r="S37" s="3646"/>
      <c r="T37" s="3646"/>
      <c r="U37" s="3646"/>
      <c r="V37" s="3646"/>
      <c r="W37" s="36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48"/>
      <c r="Q12" s="530" t="str">
        <f t="shared" si="6"/>
        <v>配建</v>
      </c>
      <c r="R12" s="664" t="s">
        <v>14</v>
      </c>
      <c r="S12" s="665">
        <f t="shared" si="0"/>
        <v>100</v>
      </c>
      <c r="T12" s="664" t="s">
        <v>14</v>
      </c>
      <c r="U12" s="665">
        <f t="shared" si="1"/>
        <v>100</v>
      </c>
      <c r="V12" s="664" t="s">
        <v>14</v>
      </c>
      <c r="W12" s="665">
        <f t="shared" si="2"/>
        <v>100</v>
      </c>
      <c r="X12" s="666"/>
      <c r="Y12" s="34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50" t="s">
        <v>1691</v>
      </c>
      <c r="Q15" s="1263" t="str">
        <f t="shared" si="6"/>
        <v>居住社区成熟度</v>
      </c>
      <c r="R15" s="667" t="s">
        <v>14</v>
      </c>
      <c r="S15" s="668">
        <f t="shared" si="0"/>
        <v>100</v>
      </c>
      <c r="T15" s="667" t="s">
        <v>14</v>
      </c>
      <c r="U15" s="668">
        <f t="shared" si="1"/>
        <v>100</v>
      </c>
      <c r="V15" s="667" t="s">
        <v>14</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51"/>
      <c r="Q17" s="1263" t="str">
        <f>B17</f>
        <v>商业繁华度</v>
      </c>
      <c r="R17" s="667" t="s">
        <v>14</v>
      </c>
      <c r="S17" s="668">
        <f>F17</f>
        <v>100</v>
      </c>
      <c r="T17" s="667" t="s">
        <v>14</v>
      </c>
      <c r="U17" s="668">
        <f>H17</f>
        <v>100</v>
      </c>
      <c r="V17" s="667" t="s">
        <v>14</v>
      </c>
      <c r="W17" s="668">
        <f>J17</f>
        <v>100</v>
      </c>
      <c r="X17" s="1265"/>
      <c r="Y17" s="35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51"/>
      <c r="Q19" s="1263" t="str">
        <f>B19</f>
        <v>办公集聚程度</v>
      </c>
      <c r="R19" s="667" t="s">
        <v>14</v>
      </c>
      <c r="S19" s="668">
        <f>F19</f>
        <v>100</v>
      </c>
      <c r="T19" s="667" t="s">
        <v>14</v>
      </c>
      <c r="U19" s="668">
        <f>H19</f>
        <v>100</v>
      </c>
      <c r="V19" s="667" t="s">
        <v>14</v>
      </c>
      <c r="W19" s="668">
        <f>J19</f>
        <v>100</v>
      </c>
      <c r="X19" s="1265"/>
      <c r="Y19" s="35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51"/>
      <c r="Q20" s="1263"/>
      <c r="R20" s="667"/>
      <c r="S20" s="668"/>
      <c r="T20" s="667"/>
      <c r="U20" s="668"/>
      <c r="V20" s="667"/>
      <c r="W20" s="668"/>
      <c r="X20" s="1265"/>
      <c r="Y20" s="355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51"/>
      <c r="Q21" s="1263" t="str">
        <f>B21</f>
        <v>交通便捷度</v>
      </c>
      <c r="R21" s="667" t="s">
        <v>14</v>
      </c>
      <c r="S21" s="668">
        <f>F21</f>
        <v>100</v>
      </c>
      <c r="T21" s="667" t="s">
        <v>14</v>
      </c>
      <c r="U21" s="668">
        <f>H21</f>
        <v>100</v>
      </c>
      <c r="V21" s="667" t="s">
        <v>14</v>
      </c>
      <c r="W21" s="668">
        <f>J21</f>
        <v>100</v>
      </c>
      <c r="X21" s="1265"/>
      <c r="Y21" s="35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51"/>
      <c r="Q23" s="1263" t="str">
        <f t="shared" ref="Q23:Q37" si="8">B23</f>
        <v>区域土地利用方向</v>
      </c>
      <c r="R23" s="667" t="s">
        <v>14</v>
      </c>
      <c r="S23" s="668">
        <f>F23</f>
        <v>100</v>
      </c>
      <c r="T23" s="667" t="s">
        <v>14</v>
      </c>
      <c r="U23" s="668">
        <f>H23</f>
        <v>100</v>
      </c>
      <c r="V23" s="667" t="s">
        <v>14</v>
      </c>
      <c r="W23" s="668">
        <f>J23</f>
        <v>100</v>
      </c>
      <c r="X23" s="1265"/>
      <c r="Y23" s="35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51"/>
      <c r="Q24" s="1263"/>
      <c r="R24" s="667"/>
      <c r="S24" s="668"/>
      <c r="T24" s="667"/>
      <c r="U24" s="668"/>
      <c r="V24" s="667"/>
      <c r="W24" s="668"/>
      <c r="X24" s="1265"/>
      <c r="Y24" s="355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51"/>
      <c r="Q25" s="1263" t="str">
        <f t="shared" si="8"/>
        <v>自然及人文环境状况</v>
      </c>
      <c r="R25" s="667" t="s">
        <v>14</v>
      </c>
      <c r="S25" s="668">
        <f>F25</f>
        <v>100</v>
      </c>
      <c r="T25" s="667" t="s">
        <v>14</v>
      </c>
      <c r="U25" s="668">
        <f>H25</f>
        <v>100</v>
      </c>
      <c r="V25" s="667" t="s">
        <v>14</v>
      </c>
      <c r="W25" s="668">
        <f>J25</f>
        <v>100</v>
      </c>
      <c r="X25" s="1265"/>
      <c r="Y25" s="35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51"/>
      <c r="Q26" s="1263"/>
      <c r="R26" s="667"/>
      <c r="S26" s="668"/>
      <c r="T26" s="667"/>
      <c r="U26" s="668"/>
      <c r="V26" s="667"/>
      <c r="W26" s="668"/>
      <c r="X26" s="1265"/>
      <c r="Y26" s="355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51"/>
      <c r="Q27" s="530" t="str">
        <f t="shared" si="8"/>
        <v>公共配套设施</v>
      </c>
      <c r="R27" s="664" t="s">
        <v>14</v>
      </c>
      <c r="S27" s="665">
        <f>F27</f>
        <v>100</v>
      </c>
      <c r="T27" s="664" t="s">
        <v>14</v>
      </c>
      <c r="U27" s="665">
        <f>H27</f>
        <v>100</v>
      </c>
      <c r="V27" s="664" t="s">
        <v>14</v>
      </c>
      <c r="W27" s="665">
        <f>J27</f>
        <v>100</v>
      </c>
      <c r="X27" s="666"/>
      <c r="Y27" s="35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51"/>
      <c r="Q28" s="530"/>
      <c r="R28" s="664"/>
      <c r="S28" s="665"/>
      <c r="T28" s="664"/>
      <c r="U28" s="665"/>
      <c r="V28" s="664"/>
      <c r="W28" s="665"/>
      <c r="X28" s="666"/>
      <c r="Y28" s="355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51"/>
      <c r="Q29" s="530" t="str">
        <f t="shared" ref="Q29" si="9">B29</f>
        <v>基础设施水平</v>
      </c>
      <c r="R29" s="664" t="s">
        <v>14</v>
      </c>
      <c r="S29" s="665">
        <f>F29</f>
        <v>100</v>
      </c>
      <c r="T29" s="664" t="s">
        <v>14</v>
      </c>
      <c r="U29" s="665">
        <f>H29</f>
        <v>100</v>
      </c>
      <c r="V29" s="664" t="s">
        <v>14</v>
      </c>
      <c r="W29" s="665">
        <f>J29</f>
        <v>100</v>
      </c>
      <c r="X29" s="666"/>
      <c r="Y29" s="35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51"/>
      <c r="Q30" s="530"/>
      <c r="R30" s="664"/>
      <c r="S30" s="665"/>
      <c r="T30" s="664"/>
      <c r="U30" s="665"/>
      <c r="V30" s="664"/>
      <c r="W30" s="665"/>
      <c r="X30" s="666"/>
      <c r="Y30" s="35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5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51"/>
      <c r="Q32" s="1263" t="str">
        <f t="shared" si="8"/>
        <v>毗邻道路的类型与等级</v>
      </c>
      <c r="R32" s="667" t="s">
        <v>14</v>
      </c>
      <c r="S32" s="668">
        <f t="shared" si="10"/>
        <v>100</v>
      </c>
      <c r="T32" s="667" t="s">
        <v>14</v>
      </c>
      <c r="U32" s="668">
        <f t="shared" si="11"/>
        <v>100</v>
      </c>
      <c r="V32" s="667" t="s">
        <v>14</v>
      </c>
      <c r="W32" s="668">
        <f t="shared" si="12"/>
        <v>100</v>
      </c>
      <c r="X32" s="1265"/>
      <c r="Y32" s="35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51"/>
      <c r="Q33" s="1263"/>
      <c r="R33" s="667"/>
      <c r="S33" s="668"/>
      <c r="T33" s="667"/>
      <c r="U33" s="668"/>
      <c r="V33" s="667"/>
      <c r="W33" s="668"/>
      <c r="X33" s="1265"/>
      <c r="Y33" s="35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51"/>
      <c r="Q34" s="1263" t="str">
        <f t="shared" si="8"/>
        <v>土地级别</v>
      </c>
      <c r="R34" s="667" t="s">
        <v>14</v>
      </c>
      <c r="S34" s="668">
        <f t="shared" si="10"/>
        <v>100</v>
      </c>
      <c r="T34" s="667" t="s">
        <v>14</v>
      </c>
      <c r="U34" s="668">
        <f t="shared" si="11"/>
        <v>100</v>
      </c>
      <c r="V34" s="667" t="s">
        <v>14</v>
      </c>
      <c r="W34" s="668">
        <f t="shared" si="12"/>
        <v>100</v>
      </c>
      <c r="X34" s="1265"/>
      <c r="Y34" s="35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51"/>
      <c r="Q35" s="1263">
        <f t="shared" si="8"/>
        <v>111</v>
      </c>
      <c r="R35" s="667" t="s">
        <v>14</v>
      </c>
      <c r="S35" s="668">
        <f t="shared" si="10"/>
        <v>100</v>
      </c>
      <c r="T35" s="667" t="s">
        <v>14</v>
      </c>
      <c r="U35" s="668">
        <f t="shared" si="11"/>
        <v>100</v>
      </c>
      <c r="V35" s="667" t="s">
        <v>14</v>
      </c>
      <c r="W35" s="668">
        <f t="shared" si="12"/>
        <v>100</v>
      </c>
      <c r="X35" s="1265"/>
      <c r="Y35" s="35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45" t="s">
        <v>1696</v>
      </c>
      <c r="Q36" s="1263">
        <f t="shared" si="8"/>
        <v>111</v>
      </c>
      <c r="R36" s="667" t="s">
        <v>14</v>
      </c>
      <c r="S36" s="668">
        <f t="shared" si="10"/>
        <v>100</v>
      </c>
      <c r="T36" s="667" t="s">
        <v>14</v>
      </c>
      <c r="U36" s="668">
        <f t="shared" si="11"/>
        <v>100</v>
      </c>
      <c r="V36" s="667" t="s">
        <v>14</v>
      </c>
      <c r="W36" s="668">
        <f t="shared" si="12"/>
        <v>100</v>
      </c>
      <c r="X36" s="1265"/>
      <c r="Y36" s="355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55"/>
      <c r="Q37" s="1263">
        <f t="shared" si="8"/>
        <v>111</v>
      </c>
      <c r="R37" s="669" t="s">
        <v>14</v>
      </c>
      <c r="S37" s="670">
        <f t="shared" si="10"/>
        <v>100</v>
      </c>
      <c r="T37" s="669" t="s">
        <v>14</v>
      </c>
      <c r="U37" s="670">
        <f t="shared" si="11"/>
        <v>100</v>
      </c>
      <c r="V37" s="669" t="s">
        <v>14</v>
      </c>
      <c r="W37" s="670">
        <f t="shared" si="12"/>
        <v>100</v>
      </c>
      <c r="X37" s="671"/>
      <c r="Y37" s="355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55"/>
      <c r="Q38" s="1263" t="str">
        <f>B38</f>
        <v>宗地面积</v>
      </c>
      <c r="R38" s="667" t="s">
        <v>14</v>
      </c>
      <c r="S38" s="668" t="e">
        <f t="shared" si="10"/>
        <v>#N/A</v>
      </c>
      <c r="T38" s="667" t="s">
        <v>14</v>
      </c>
      <c r="U38" s="668" t="e">
        <f t="shared" si="11"/>
        <v>#N/A</v>
      </c>
      <c r="V38" s="667" t="s">
        <v>14</v>
      </c>
      <c r="W38" s="668" t="e">
        <f t="shared" si="12"/>
        <v>#N/A</v>
      </c>
      <c r="X38" s="1265"/>
      <c r="Y38" s="35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55"/>
      <c r="Q39" s="1263" t="str">
        <f t="shared" ref="Q39:Q45" si="14">B39</f>
        <v>宗地形状</v>
      </c>
      <c r="R39" s="667" t="s">
        <v>14</v>
      </c>
      <c r="S39" s="668">
        <f t="shared" si="10"/>
        <v>100</v>
      </c>
      <c r="T39" s="667" t="s">
        <v>14</v>
      </c>
      <c r="U39" s="668">
        <f t="shared" si="11"/>
        <v>100</v>
      </c>
      <c r="V39" s="667" t="s">
        <v>14</v>
      </c>
      <c r="W39" s="668">
        <f t="shared" si="12"/>
        <v>100</v>
      </c>
      <c r="X39" s="1265"/>
      <c r="Y39" s="35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55"/>
      <c r="Q40" s="1263" t="str">
        <f t="shared" si="14"/>
        <v>临街宽度及深度</v>
      </c>
      <c r="R40" s="667" t="s">
        <v>14</v>
      </c>
      <c r="S40" s="668">
        <f t="shared" si="10"/>
        <v>100</v>
      </c>
      <c r="T40" s="667" t="s">
        <v>14</v>
      </c>
      <c r="U40" s="668">
        <f t="shared" si="11"/>
        <v>100</v>
      </c>
      <c r="V40" s="667" t="s">
        <v>14</v>
      </c>
      <c r="W40" s="668">
        <f t="shared" si="12"/>
        <v>100</v>
      </c>
      <c r="X40" s="1265"/>
      <c r="Y40" s="35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55"/>
      <c r="Q41" s="1263" t="str">
        <f t="shared" si="14"/>
        <v>宗地开发程度</v>
      </c>
      <c r="R41" s="664" t="s">
        <v>14</v>
      </c>
      <c r="S41" s="665">
        <f t="shared" si="10"/>
        <v>100</v>
      </c>
      <c r="T41" s="664" t="s">
        <v>14</v>
      </c>
      <c r="U41" s="665">
        <f t="shared" si="11"/>
        <v>100</v>
      </c>
      <c r="V41" s="664" t="s">
        <v>14</v>
      </c>
      <c r="W41" s="665">
        <f t="shared" si="12"/>
        <v>100</v>
      </c>
      <c r="X41" s="666"/>
      <c r="Y41" s="35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55" t="s">
        <v>1696</v>
      </c>
      <c r="Q42" s="1263" t="str">
        <f t="shared" si="14"/>
        <v>工程地质条件</v>
      </c>
      <c r="R42" s="667" t="s">
        <v>14</v>
      </c>
      <c r="S42" s="668">
        <f t="shared" si="10"/>
        <v>100</v>
      </c>
      <c r="T42" s="667" t="s">
        <v>14</v>
      </c>
      <c r="U42" s="668">
        <f t="shared" si="11"/>
        <v>100</v>
      </c>
      <c r="V42" s="667" t="s">
        <v>14</v>
      </c>
      <c r="W42" s="668">
        <f t="shared" si="12"/>
        <v>100</v>
      </c>
      <c r="X42" s="1265"/>
      <c r="Y42" s="35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55"/>
      <c r="Q43" s="1263">
        <f t="shared" si="14"/>
        <v>111</v>
      </c>
      <c r="R43" s="667" t="s">
        <v>14</v>
      </c>
      <c r="S43" s="668">
        <f t="shared" si="10"/>
        <v>100</v>
      </c>
      <c r="T43" s="667" t="s">
        <v>14</v>
      </c>
      <c r="U43" s="668">
        <f t="shared" si="11"/>
        <v>100</v>
      </c>
      <c r="V43" s="667" t="s">
        <v>14</v>
      </c>
      <c r="W43" s="668">
        <f t="shared" si="12"/>
        <v>100</v>
      </c>
      <c r="X43" s="1265"/>
      <c r="Y43" s="35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55"/>
      <c r="Q44" s="1263">
        <f t="shared" si="14"/>
        <v>111</v>
      </c>
      <c r="R44" s="667" t="s">
        <v>14</v>
      </c>
      <c r="S44" s="668">
        <f t="shared" si="10"/>
        <v>100</v>
      </c>
      <c r="T44" s="667" t="s">
        <v>14</v>
      </c>
      <c r="U44" s="668">
        <f t="shared" si="11"/>
        <v>100</v>
      </c>
      <c r="V44" s="667" t="s">
        <v>14</v>
      </c>
      <c r="W44" s="668">
        <f t="shared" si="12"/>
        <v>100</v>
      </c>
      <c r="X44" s="1265"/>
      <c r="Y44" s="355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55"/>
      <c r="Q45" s="1263">
        <f t="shared" si="14"/>
        <v>111</v>
      </c>
      <c r="R45" s="669" t="s">
        <v>14</v>
      </c>
      <c r="S45" s="670">
        <f t="shared" si="10"/>
        <v>100</v>
      </c>
      <c r="T45" s="669" t="s">
        <v>14</v>
      </c>
      <c r="U45" s="670">
        <f t="shared" si="11"/>
        <v>100</v>
      </c>
      <c r="V45" s="669" t="s">
        <v>14</v>
      </c>
      <c r="W45" s="670">
        <f t="shared" si="12"/>
        <v>100</v>
      </c>
      <c r="X45" s="671"/>
      <c r="Y45" s="355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48" t="str">
        <f>A46</f>
        <v>成交单价</v>
      </c>
      <c r="Q46" s="3548"/>
      <c r="R46" s="3549">
        <f>E46</f>
        <v>0</v>
      </c>
      <c r="S46" s="3549"/>
      <c r="T46" s="3549">
        <f>G46</f>
        <v>0</v>
      </c>
      <c r="U46" s="3549"/>
      <c r="V46" s="3549">
        <f>I46</f>
        <v>0</v>
      </c>
      <c r="W46" s="354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48" t="str">
        <f>A47</f>
        <v>比较价值（元/平方米）</v>
      </c>
      <c r="Q47" s="3548"/>
      <c r="R47" s="3647" t="e">
        <f>ROUND(PRODUCT(R46,AA7:AA45),0)</f>
        <v>#DIV/0!</v>
      </c>
      <c r="S47" s="3647"/>
      <c r="T47" s="3647" t="e">
        <f>ROUND(PRODUCT(T46,AB7:AB45),0)</f>
        <v>#DIV/0!</v>
      </c>
      <c r="U47" s="3647"/>
      <c r="V47" s="3647" t="e">
        <f>ROUND(PRODUCT(V46,AC7:AC45),0)</f>
        <v>#DIV/0!</v>
      </c>
      <c r="W47" s="36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45" t="str">
        <f>A48</f>
        <v>估价对象XX用房的比较价值（楼面单价，元/平方米）</v>
      </c>
      <c r="Q48" s="3546"/>
      <c r="R48" s="3648" t="e">
        <f>ROUND(IF(D47="简单平均",AVERAGE(R47:W47),R47*F47+T47*H47+V47*J47),0)</f>
        <v>#DIV/0!</v>
      </c>
      <c r="S48" s="3648"/>
      <c r="T48" s="3648"/>
      <c r="U48" s="3648"/>
      <c r="V48" s="3648"/>
      <c r="W48" s="36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63" t="s">
        <v>1887</v>
      </c>
      <c r="H55" s="36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2877.6400000000003</v>
      </c>
      <c r="F56" s="833" t="e">
        <f t="shared" ref="F56:F64" si="15">ROUND(B56*E56/10000,0)</f>
        <v>#DIV/0!</v>
      </c>
      <c r="G56" s="3559"/>
      <c r="H56" s="354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2877.6400000000003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650" t="s">
        <v>1919</v>
      </c>
      <c r="D6" s="3651"/>
      <c r="E6" s="3652" t="s">
        <v>1919</v>
      </c>
      <c r="F6" s="3653"/>
      <c r="G6" s="3650" t="s">
        <v>1919</v>
      </c>
      <c r="H6" s="3651"/>
      <c r="I6" s="3650" t="s">
        <v>1919</v>
      </c>
      <c r="J6" s="3651"/>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51"/>
      <c r="Q19" s="1263" t="str">
        <f t="shared" ref="Q19:Q33" si="8">B19</f>
        <v>区域土地利用方向</v>
      </c>
      <c r="R19" s="667" t="s">
        <v>14</v>
      </c>
      <c r="S19" s="668">
        <f>F19</f>
        <v>100</v>
      </c>
      <c r="T19" s="667" t="s">
        <v>14</v>
      </c>
      <c r="U19" s="668">
        <f>H19</f>
        <v>100</v>
      </c>
      <c r="V19" s="667" t="s">
        <v>14</v>
      </c>
      <c r="W19" s="668">
        <f>J19</f>
        <v>100</v>
      </c>
      <c r="X19" s="1265"/>
      <c r="Y19" s="35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51"/>
      <c r="Q20" s="1263"/>
      <c r="R20" s="667"/>
      <c r="S20" s="668"/>
      <c r="T20" s="667"/>
      <c r="U20" s="668"/>
      <c r="V20" s="667"/>
      <c r="W20" s="668"/>
      <c r="X20" s="1265"/>
      <c r="Y20" s="355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51"/>
      <c r="Q21" s="1263" t="str">
        <f t="shared" si="8"/>
        <v>环境状况</v>
      </c>
      <c r="R21" s="667" t="s">
        <v>14</v>
      </c>
      <c r="S21" s="668">
        <f>F21</f>
        <v>100</v>
      </c>
      <c r="T21" s="667" t="s">
        <v>14</v>
      </c>
      <c r="U21" s="668">
        <f>H21</f>
        <v>100</v>
      </c>
      <c r="V21" s="667" t="s">
        <v>14</v>
      </c>
      <c r="W21" s="668">
        <f>J21</f>
        <v>100</v>
      </c>
      <c r="X21" s="1265"/>
      <c r="Y21" s="35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51"/>
      <c r="Q23" s="530" t="str">
        <f t="shared" si="8"/>
        <v>公共配套设施</v>
      </c>
      <c r="R23" s="664" t="s">
        <v>14</v>
      </c>
      <c r="S23" s="665">
        <f>F23</f>
        <v>100</v>
      </c>
      <c r="T23" s="664" t="s">
        <v>14</v>
      </c>
      <c r="U23" s="665">
        <f>H23</f>
        <v>100</v>
      </c>
      <c r="V23" s="664" t="s">
        <v>14</v>
      </c>
      <c r="W23" s="665">
        <f>J23</f>
        <v>100</v>
      </c>
      <c r="X23" s="666"/>
      <c r="Y23" s="35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51"/>
      <c r="Q24" s="530"/>
      <c r="R24" s="664"/>
      <c r="S24" s="665"/>
      <c r="T24" s="664"/>
      <c r="U24" s="665"/>
      <c r="V24" s="664"/>
      <c r="W24" s="665"/>
      <c r="X24" s="666"/>
      <c r="Y24" s="355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51"/>
      <c r="Q25" s="530" t="str">
        <f t="shared" ref="Q25" si="9">B25</f>
        <v>基础设施水平</v>
      </c>
      <c r="R25" s="664" t="s">
        <v>14</v>
      </c>
      <c r="S25" s="665">
        <f>F25</f>
        <v>100</v>
      </c>
      <c r="T25" s="664" t="s">
        <v>14</v>
      </c>
      <c r="U25" s="665">
        <f>H25</f>
        <v>100</v>
      </c>
      <c r="V25" s="664" t="s">
        <v>14</v>
      </c>
      <c r="W25" s="665">
        <f>J25</f>
        <v>100</v>
      </c>
      <c r="X25" s="666"/>
      <c r="Y25" s="35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51"/>
      <c r="Q26" s="530"/>
      <c r="R26" s="664"/>
      <c r="S26" s="665"/>
      <c r="T26" s="664"/>
      <c r="U26" s="665"/>
      <c r="V26" s="664"/>
      <c r="W26" s="665"/>
      <c r="X26" s="666"/>
      <c r="Y26" s="35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5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51"/>
      <c r="Q28" s="1263" t="str">
        <f t="shared" si="8"/>
        <v>毗邻道路的类型与等级</v>
      </c>
      <c r="R28" s="667" t="s">
        <v>14</v>
      </c>
      <c r="S28" s="668">
        <f t="shared" si="10"/>
        <v>100</v>
      </c>
      <c r="T28" s="667" t="s">
        <v>14</v>
      </c>
      <c r="U28" s="668">
        <f t="shared" si="11"/>
        <v>100</v>
      </c>
      <c r="V28" s="667" t="s">
        <v>14</v>
      </c>
      <c r="W28" s="668">
        <f t="shared" si="12"/>
        <v>100</v>
      </c>
      <c r="X28" s="1265"/>
      <c r="Y28" s="35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51"/>
      <c r="Q29" s="1263"/>
      <c r="R29" s="667"/>
      <c r="S29" s="668"/>
      <c r="T29" s="667"/>
      <c r="U29" s="668"/>
      <c r="V29" s="667"/>
      <c r="W29" s="668"/>
      <c r="X29" s="1265"/>
      <c r="Y29" s="35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51"/>
      <c r="Q30" s="1263" t="str">
        <f t="shared" si="8"/>
        <v>土地级别</v>
      </c>
      <c r="R30" s="667" t="s">
        <v>14</v>
      </c>
      <c r="S30" s="668">
        <f t="shared" si="10"/>
        <v>100</v>
      </c>
      <c r="T30" s="667" t="s">
        <v>14</v>
      </c>
      <c r="U30" s="668">
        <f t="shared" si="11"/>
        <v>100</v>
      </c>
      <c r="V30" s="667" t="s">
        <v>14</v>
      </c>
      <c r="W30" s="668">
        <f t="shared" si="12"/>
        <v>100</v>
      </c>
      <c r="X30" s="1265"/>
      <c r="Y30" s="35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51"/>
      <c r="Q31" s="1263">
        <f t="shared" si="8"/>
        <v>111</v>
      </c>
      <c r="R31" s="667" t="s">
        <v>14</v>
      </c>
      <c r="S31" s="668">
        <f t="shared" si="10"/>
        <v>100</v>
      </c>
      <c r="T31" s="667" t="s">
        <v>14</v>
      </c>
      <c r="U31" s="668">
        <f t="shared" si="11"/>
        <v>100</v>
      </c>
      <c r="V31" s="667" t="s">
        <v>14</v>
      </c>
      <c r="W31" s="668">
        <f t="shared" si="12"/>
        <v>100</v>
      </c>
      <c r="X31" s="1265"/>
      <c r="Y31" s="35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45" t="s">
        <v>1696</v>
      </c>
      <c r="Q32" s="1263">
        <f t="shared" si="8"/>
        <v>111</v>
      </c>
      <c r="R32" s="667" t="s">
        <v>14</v>
      </c>
      <c r="S32" s="668">
        <f t="shared" si="10"/>
        <v>100</v>
      </c>
      <c r="T32" s="667" t="s">
        <v>14</v>
      </c>
      <c r="U32" s="668">
        <f t="shared" si="11"/>
        <v>100</v>
      </c>
      <c r="V32" s="667" t="s">
        <v>14</v>
      </c>
      <c r="W32" s="668">
        <f t="shared" si="12"/>
        <v>100</v>
      </c>
      <c r="X32" s="1265"/>
      <c r="Y32" s="355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55"/>
      <c r="Q33" s="1263">
        <f t="shared" si="8"/>
        <v>111</v>
      </c>
      <c r="R33" s="669" t="s">
        <v>14</v>
      </c>
      <c r="S33" s="670">
        <f t="shared" si="10"/>
        <v>100</v>
      </c>
      <c r="T33" s="669" t="s">
        <v>14</v>
      </c>
      <c r="U33" s="670">
        <f t="shared" si="11"/>
        <v>100</v>
      </c>
      <c r="V33" s="669" t="s">
        <v>14</v>
      </c>
      <c r="W33" s="670">
        <f t="shared" si="12"/>
        <v>100</v>
      </c>
      <c r="X33" s="671"/>
      <c r="Y33" s="35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55"/>
      <c r="Q34" s="1263" t="str">
        <f>B34</f>
        <v>宗地面积</v>
      </c>
      <c r="R34" s="667" t="s">
        <v>14</v>
      </c>
      <c r="S34" s="668" t="e">
        <f t="shared" si="10"/>
        <v>#N/A</v>
      </c>
      <c r="T34" s="667" t="s">
        <v>14</v>
      </c>
      <c r="U34" s="668" t="e">
        <f t="shared" si="11"/>
        <v>#N/A</v>
      </c>
      <c r="V34" s="667" t="s">
        <v>14</v>
      </c>
      <c r="W34" s="668" t="e">
        <f t="shared" si="12"/>
        <v>#N/A</v>
      </c>
      <c r="X34" s="1265"/>
      <c r="Y34" s="35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55"/>
      <c r="Q35" s="1263" t="str">
        <f t="shared" ref="Q35:Q40" si="14">B35</f>
        <v>宗地形状</v>
      </c>
      <c r="R35" s="667" t="s">
        <v>14</v>
      </c>
      <c r="S35" s="668">
        <f t="shared" si="10"/>
        <v>100</v>
      </c>
      <c r="T35" s="667" t="s">
        <v>14</v>
      </c>
      <c r="U35" s="668">
        <f t="shared" si="11"/>
        <v>100</v>
      </c>
      <c r="V35" s="667" t="s">
        <v>14</v>
      </c>
      <c r="W35" s="668">
        <f t="shared" si="12"/>
        <v>100</v>
      </c>
      <c r="X35" s="1265"/>
      <c r="Y35" s="35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55"/>
      <c r="Q36" s="1263" t="str">
        <f t="shared" si="14"/>
        <v>宗地开发程度</v>
      </c>
      <c r="R36" s="664" t="s">
        <v>14</v>
      </c>
      <c r="S36" s="665">
        <f t="shared" si="10"/>
        <v>100</v>
      </c>
      <c r="T36" s="664" t="s">
        <v>14</v>
      </c>
      <c r="U36" s="665">
        <f t="shared" si="11"/>
        <v>100</v>
      </c>
      <c r="V36" s="664" t="s">
        <v>14</v>
      </c>
      <c r="W36" s="665">
        <f t="shared" si="12"/>
        <v>100</v>
      </c>
      <c r="X36" s="666"/>
      <c r="Y36" s="35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55" t="s">
        <v>1696</v>
      </c>
      <c r="Q37" s="1263" t="str">
        <f t="shared" si="14"/>
        <v>工程地质条件</v>
      </c>
      <c r="R37" s="667" t="s">
        <v>14</v>
      </c>
      <c r="S37" s="668">
        <f t="shared" si="10"/>
        <v>100</v>
      </c>
      <c r="T37" s="667" t="s">
        <v>14</v>
      </c>
      <c r="U37" s="668">
        <f t="shared" si="11"/>
        <v>100</v>
      </c>
      <c r="V37" s="667" t="s">
        <v>14</v>
      </c>
      <c r="W37" s="668">
        <f t="shared" si="12"/>
        <v>100</v>
      </c>
      <c r="X37" s="1265"/>
      <c r="Y37" s="35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55"/>
      <c r="Q38" s="1263">
        <f t="shared" si="14"/>
        <v>111</v>
      </c>
      <c r="R38" s="667" t="s">
        <v>14</v>
      </c>
      <c r="S38" s="668">
        <f t="shared" si="10"/>
        <v>100</v>
      </c>
      <c r="T38" s="667" t="s">
        <v>14</v>
      </c>
      <c r="U38" s="668">
        <f t="shared" si="11"/>
        <v>100</v>
      </c>
      <c r="V38" s="667" t="s">
        <v>14</v>
      </c>
      <c r="W38" s="668">
        <f t="shared" si="12"/>
        <v>100</v>
      </c>
      <c r="X38" s="1265"/>
      <c r="Y38" s="35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55"/>
      <c r="Q39" s="1263">
        <f t="shared" si="14"/>
        <v>111</v>
      </c>
      <c r="R39" s="667" t="s">
        <v>14</v>
      </c>
      <c r="S39" s="668">
        <f t="shared" si="10"/>
        <v>100</v>
      </c>
      <c r="T39" s="667" t="s">
        <v>14</v>
      </c>
      <c r="U39" s="668">
        <f t="shared" si="11"/>
        <v>100</v>
      </c>
      <c r="V39" s="667" t="s">
        <v>14</v>
      </c>
      <c r="W39" s="668">
        <f t="shared" si="12"/>
        <v>100</v>
      </c>
      <c r="X39" s="1265"/>
      <c r="Y39" s="355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55"/>
      <c r="Q40" s="1263">
        <f t="shared" si="14"/>
        <v>111</v>
      </c>
      <c r="R40" s="669" t="s">
        <v>14</v>
      </c>
      <c r="S40" s="670">
        <f t="shared" si="10"/>
        <v>100</v>
      </c>
      <c r="T40" s="669" t="s">
        <v>14</v>
      </c>
      <c r="U40" s="670">
        <f t="shared" si="11"/>
        <v>100</v>
      </c>
      <c r="V40" s="669" t="s">
        <v>14</v>
      </c>
      <c r="W40" s="670">
        <f t="shared" si="12"/>
        <v>100</v>
      </c>
      <c r="X40" s="671"/>
      <c r="Y40" s="355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48" t="str">
        <f>A41</f>
        <v>成交单价</v>
      </c>
      <c r="Q41" s="3548"/>
      <c r="R41" s="3549">
        <f>E41</f>
        <v>0</v>
      </c>
      <c r="S41" s="3549"/>
      <c r="T41" s="3549">
        <f>G41</f>
        <v>0</v>
      </c>
      <c r="U41" s="3549"/>
      <c r="V41" s="3549">
        <f>I41</f>
        <v>0</v>
      </c>
      <c r="W41" s="354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48" t="str">
        <f>A42</f>
        <v>比较价值（元/平方米）</v>
      </c>
      <c r="Q42" s="3548"/>
      <c r="R42" s="3647" t="e">
        <f>ROUND(PRODUCT(R41,AA7:AA40),0)</f>
        <v>#DIV/0!</v>
      </c>
      <c r="S42" s="3647"/>
      <c r="T42" s="3647" t="e">
        <f>ROUND(PRODUCT(T41,AB7:AB40),0)</f>
        <v>#DIV/0!</v>
      </c>
      <c r="U42" s="3647"/>
      <c r="V42" s="3647" t="e">
        <f>ROUND(PRODUCT(V41,AC7:AC40),0)</f>
        <v>#DIV/0!</v>
      </c>
      <c r="W42" s="36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45" t="str">
        <f>A43</f>
        <v>估价对象XX用房的比较价值（楼面单价，元/平方米）</v>
      </c>
      <c r="Q43" s="3546"/>
      <c r="R43" s="3648" t="e">
        <f>ROUND(IF(D42="简单平均",AVERAGE(R42:W42),R42*F42+T42*H42+V42*J42),0)</f>
        <v>#DIV/0!</v>
      </c>
      <c r="S43" s="3648"/>
      <c r="T43" s="3648"/>
      <c r="U43" s="3648"/>
      <c r="V43" s="3648"/>
      <c r="W43" s="36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63" t="s">
        <v>1887</v>
      </c>
      <c r="H50" s="36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2877.6400000000003</v>
      </c>
      <c r="F51" s="611" t="e">
        <f t="shared" ref="F51:F60" si="15">ROUND(B51*E51/10000,0)</f>
        <v>#DIV/0!</v>
      </c>
      <c r="G51" s="3559"/>
      <c r="H51" s="354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57" t="s">
        <v>2084</v>
      </c>
      <c r="D1" s="3658"/>
      <c r="E1" s="3658"/>
      <c r="F1" s="3658"/>
      <c r="G1" s="3658"/>
      <c r="H1" s="3658"/>
      <c r="I1" s="3658"/>
      <c r="J1" s="3658"/>
      <c r="K1" s="3658"/>
      <c r="L1" s="3658"/>
      <c r="M1" s="3658"/>
      <c r="N1" s="3658"/>
      <c r="O1" s="3658"/>
      <c r="P1" s="3658"/>
      <c r="Q1" s="3658"/>
      <c r="R1" s="3658"/>
      <c r="S1" s="36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54" t="s">
        <v>27</v>
      </c>
      <c r="D22" s="3655"/>
      <c r="E22" s="3655"/>
      <c r="F22" s="3655"/>
      <c r="G22" s="3655"/>
      <c r="H22" s="3655"/>
      <c r="I22" s="3655"/>
      <c r="J22" s="3655"/>
      <c r="K22" s="3655"/>
      <c r="L22" s="3655"/>
      <c r="M22" s="3655"/>
      <c r="N22" s="3655"/>
      <c r="O22" s="3655"/>
      <c r="P22" s="3655"/>
      <c r="Q22" s="36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8">
      <c r="A3" s="3340" t="str">
        <f>IF(项目基本情况!B9="房地产市场价值","估价结果一览表（市场价值不需“结果表-1”）","估价结果一览表")</f>
        <v>估价结果一览表</v>
      </c>
      <c r="B3" s="3340"/>
      <c r="C3" s="3340"/>
      <c r="D3" s="3340"/>
      <c r="E3" s="3340"/>
    </row>
    <row r="4" spans="1:5" ht="19.5" thickBot="1">
      <c r="A4" s="1391"/>
      <c r="B4" s="3338" t="s">
        <v>917</v>
      </c>
      <c r="C4" s="3338"/>
      <c r="D4" s="3338"/>
      <c r="E4" s="1391"/>
    </row>
    <row r="5" spans="1:5" ht="16.5" thickTop="1">
      <c r="B5" s="3336" t="s">
        <v>909</v>
      </c>
      <c r="C5" s="1392" t="s">
        <v>910</v>
      </c>
      <c r="D5" s="797" t="e">
        <f ca="1">结果表!H101</f>
        <v>#REF!</v>
      </c>
    </row>
    <row r="6" spans="1:5" ht="15.75">
      <c r="B6" s="3336"/>
      <c r="C6" s="1392" t="s">
        <v>911</v>
      </c>
      <c r="D6" s="797" t="e">
        <f ca="1">NUMBERSTRING(INT(D5*10000),2)&amp;"元整"</f>
        <v>#REF!</v>
      </c>
    </row>
    <row r="7" spans="1:5" ht="15.75">
      <c r="B7" s="3341"/>
      <c r="C7" s="1393" t="s">
        <v>912</v>
      </c>
      <c r="D7" s="798" t="e">
        <f ca="1">结果表!H102</f>
        <v>#REF!</v>
      </c>
    </row>
    <row r="8" spans="1:5" ht="15.75">
      <c r="B8" s="3342" t="str">
        <f>结果表!E103</f>
        <v>2.估价师知悉的法定优先受偿款</v>
      </c>
      <c r="C8" s="1394" t="s">
        <v>913</v>
      </c>
      <c r="D8" s="798">
        <f>结果表!H103</f>
        <v>0</v>
      </c>
    </row>
    <row r="9" spans="1:5" ht="15.75">
      <c r="B9" s="334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35" t="str">
        <f>结果表!E107</f>
        <v>3.房地产抵押价值</v>
      </c>
      <c r="C13" s="1397" t="s">
        <v>910</v>
      </c>
      <c r="D13" s="800" t="e">
        <f ca="1">结果表!H107</f>
        <v>#REF!</v>
      </c>
    </row>
    <row r="14" spans="1:5" ht="15.75">
      <c r="B14" s="3336"/>
      <c r="C14" s="1392" t="s">
        <v>911</v>
      </c>
      <c r="D14" s="797" t="e">
        <f ca="1">NUMBERSTRING(INT(D13*10000),2)&amp;"元整"</f>
        <v>#REF!</v>
      </c>
    </row>
    <row r="15" spans="1:5" ht="15">
      <c r="B15" s="3341"/>
      <c r="C15" s="1393" t="s">
        <v>921</v>
      </c>
      <c r="D15" s="806" t="e">
        <f ca="1">结果表!H108</f>
        <v>#REF!</v>
      </c>
    </row>
    <row r="16" spans="1:5" ht="15">
      <c r="B16" s="3342" t="str">
        <f>结果表!E109</f>
        <v>——</v>
      </c>
      <c r="C16" s="1397" t="s">
        <v>922</v>
      </c>
      <c r="D16" s="1398" t="str">
        <f>结果表!H109</f>
        <v>——</v>
      </c>
    </row>
    <row r="17" spans="1:5" ht="15.75">
      <c r="B17" s="3343"/>
      <c r="C17" s="1392" t="s">
        <v>923</v>
      </c>
      <c r="D17" s="797" t="e">
        <f>NUMBERSTRING(INT(D16*10000),2)&amp;"元整"</f>
        <v>#VALUE!</v>
      </c>
    </row>
    <row r="18" spans="1:5" ht="15">
      <c r="B18" s="3344"/>
      <c r="C18" s="1393" t="s">
        <v>912</v>
      </c>
      <c r="D18" s="806" t="str">
        <f>结果表!H110</f>
        <v>——</v>
      </c>
    </row>
    <row r="19" spans="1:5" ht="15.75">
      <c r="B19" s="3335" t="str">
        <f>结果表!E111</f>
        <v>——</v>
      </c>
      <c r="C19" s="1397" t="s">
        <v>910</v>
      </c>
      <c r="D19" s="798" t="str">
        <f>结果表!H111</f>
        <v>——</v>
      </c>
    </row>
    <row r="20" spans="1:5" ht="15.75">
      <c r="B20" s="3336"/>
      <c r="C20" s="1392" t="s">
        <v>923</v>
      </c>
      <c r="D20" s="797" t="e">
        <f>NUMBERSTRING(INT(D19*10000),2)&amp;"元整"</f>
        <v>#VALUE!</v>
      </c>
    </row>
    <row r="21" spans="1:5" ht="15.75" thickBot="1">
      <c r="B21" s="333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67"/>
      <c r="B4" s="3668"/>
      <c r="C4" s="3668"/>
      <c r="D4" s="3669"/>
      <c r="E4" s="3669"/>
      <c r="F4" s="3669"/>
      <c r="G4" s="3669"/>
      <c r="H4" s="3669"/>
      <c r="I4" s="3669"/>
      <c r="J4" s="36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64" t="s">
        <v>1960</v>
      </c>
      <c r="X8" s="36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66"/>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1" t="s">
        <v>3254</v>
      </c>
      <c r="B20" s="159" t="s">
        <v>1994</v>
      </c>
      <c r="C20" s="3032" t="e">
        <f>ROUND(IF(F21="与级别开发程度一致",0,(G21-E21)/C21),0)</f>
        <v>#DIV/0!</v>
      </c>
      <c r="D20" s="3047" t="s">
        <v>1998</v>
      </c>
      <c r="E20" s="3048"/>
      <c r="F20" s="3677" t="s">
        <v>1995</v>
      </c>
      <c r="G20" s="36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45910</v>
      </c>
      <c r="H23" s="3049"/>
      <c r="I23" s="3050" t="str">
        <f>IF(H23="季度增幅（自定义）",SUMIF(N25:N28,E2,O25:O28),"")</f>
        <v/>
      </c>
      <c r="J23" s="3142"/>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7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7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7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73" t="s">
        <v>3292</v>
      </c>
      <c r="B103" s="3673"/>
      <c r="C103" s="3673"/>
      <c r="D103" s="3673"/>
      <c r="E103" s="3673"/>
      <c r="F103" s="3673"/>
      <c r="G103" s="3673"/>
      <c r="H103" s="3673"/>
      <c r="I103" s="3673"/>
      <c r="J103" s="3673"/>
      <c r="K103" s="1667"/>
      <c r="L103" s="1667"/>
      <c r="M103" s="1667"/>
      <c r="N103" s="1667"/>
    </row>
    <row r="104" spans="1:14">
      <c r="A104" s="3674" t="s">
        <v>3293</v>
      </c>
      <c r="B104" s="3674" t="s">
        <v>3294</v>
      </c>
      <c r="C104" s="3091" t="s">
        <v>3295</v>
      </c>
      <c r="D104" s="3092"/>
      <c r="E104" s="3092"/>
      <c r="F104" s="3092"/>
      <c r="G104" s="3092"/>
      <c r="H104" s="3092"/>
      <c r="I104" s="3092"/>
      <c r="J104" s="3093"/>
      <c r="K104" s="3094"/>
      <c r="L104" s="3094"/>
      <c r="M104" s="3094"/>
      <c r="N104" s="3094"/>
    </row>
    <row r="105" spans="1:14">
      <c r="A105" s="3674"/>
      <c r="B105" s="3674"/>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0"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1"/>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6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63" t="s">
        <v>3309</v>
      </c>
      <c r="B113" s="3663"/>
      <c r="C113" s="3663"/>
      <c r="D113" s="3663"/>
      <c r="E113" s="3663"/>
      <c r="F113" s="3663"/>
      <c r="G113" s="3663"/>
      <c r="H113" s="3663"/>
      <c r="I113" s="3663"/>
      <c r="J113" s="36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90" t="s">
        <v>2607</v>
      </c>
      <c r="B20" s="3683" t="s">
        <v>2628</v>
      </c>
      <c r="C20" s="3169" t="s">
        <v>2439</v>
      </c>
      <c r="D20" s="3169"/>
      <c r="E20" s="2845">
        <v>1</v>
      </c>
      <c r="F20" s="2846" t="s">
        <v>2440</v>
      </c>
      <c r="G20" s="2846"/>
    </row>
    <row r="21" spans="1:13" ht="19.5" customHeight="1">
      <c r="A21" s="3691"/>
      <c r="B21" s="3679"/>
      <c r="C21" s="2858" t="s">
        <v>2441</v>
      </c>
      <c r="D21" s="2858"/>
      <c r="E21" s="2849">
        <v>1</v>
      </c>
      <c r="F21" s="2846" t="s">
        <v>2442</v>
      </c>
      <c r="G21" s="2846"/>
    </row>
    <row r="22" spans="1:13" ht="19.5" customHeight="1">
      <c r="A22" s="3691"/>
      <c r="B22" s="3679"/>
      <c r="C22" s="2858" t="s">
        <v>2443</v>
      </c>
      <c r="D22" s="2858"/>
      <c r="E22" s="2849">
        <v>0.9</v>
      </c>
      <c r="F22" s="2846" t="s">
        <v>2444</v>
      </c>
      <c r="G22" s="2846"/>
    </row>
    <row r="23" spans="1:13" ht="19.5" customHeight="1">
      <c r="A23" s="3691"/>
      <c r="B23" s="3679"/>
      <c r="C23" s="2858" t="s">
        <v>2445</v>
      </c>
      <c r="D23" s="2858"/>
      <c r="E23" s="2849">
        <v>0.9</v>
      </c>
      <c r="F23" s="2846" t="s">
        <v>2446</v>
      </c>
      <c r="G23" s="2846"/>
    </row>
    <row r="24" spans="1:13" ht="19.5" customHeight="1">
      <c r="A24" s="3691"/>
      <c r="B24" s="3679"/>
      <c r="C24" s="2858" t="s">
        <v>2447</v>
      </c>
      <c r="D24" s="2858"/>
      <c r="E24" s="2849">
        <v>0.8</v>
      </c>
      <c r="F24" s="2846" t="s">
        <v>2448</v>
      </c>
      <c r="G24" s="2846"/>
    </row>
    <row r="25" spans="1:13" ht="19.5" customHeight="1">
      <c r="A25" s="3691"/>
      <c r="B25" s="3679"/>
      <c r="C25" s="2858" t="s">
        <v>2449</v>
      </c>
      <c r="D25" s="2858"/>
      <c r="E25" s="2849">
        <v>0.8</v>
      </c>
      <c r="F25" s="2846"/>
      <c r="G25" s="2846"/>
    </row>
    <row r="26" spans="1:13" ht="19.5" customHeight="1">
      <c r="A26" s="3691"/>
      <c r="B26" s="3679"/>
      <c r="C26" s="2858" t="s">
        <v>3410</v>
      </c>
      <c r="D26" s="2858"/>
      <c r="E26" s="2849">
        <v>0.43</v>
      </c>
      <c r="F26" s="2846"/>
      <c r="G26" s="2846"/>
    </row>
    <row r="27" spans="1:13" ht="19.5" customHeight="1" thickBot="1">
      <c r="A27" s="3692"/>
      <c r="B27" s="3684"/>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685" t="s">
        <v>2631</v>
      </c>
      <c r="B29" s="3688" t="s">
        <v>2612</v>
      </c>
      <c r="C29" s="2843" t="s">
        <v>2452</v>
      </c>
      <c r="D29" s="2844"/>
      <c r="E29" s="2845">
        <v>1</v>
      </c>
      <c r="F29" s="2846" t="s">
        <v>2453</v>
      </c>
      <c r="G29" s="2846"/>
    </row>
    <row r="30" spans="1:13" ht="19.5" customHeight="1">
      <c r="A30" s="3686"/>
      <c r="B30" s="3682"/>
      <c r="C30" s="2847" t="s">
        <v>2454</v>
      </c>
      <c r="D30" s="2848"/>
      <c r="E30" s="2849">
        <v>1</v>
      </c>
      <c r="F30" s="2846" t="s">
        <v>2455</v>
      </c>
      <c r="G30" s="2846"/>
    </row>
    <row r="31" spans="1:13" ht="19.5" customHeight="1">
      <c r="A31" s="3686"/>
      <c r="B31" s="3682"/>
      <c r="C31" s="2847" t="s">
        <v>2456</v>
      </c>
      <c r="D31" s="2848"/>
      <c r="E31" s="2849">
        <v>0.8</v>
      </c>
      <c r="F31" s="2846" t="s">
        <v>2457</v>
      </c>
      <c r="G31" s="2846"/>
    </row>
    <row r="32" spans="1:13" ht="19.5" customHeight="1">
      <c r="A32" s="3686"/>
      <c r="B32" s="3682"/>
      <c r="C32" s="2847" t="s">
        <v>2458</v>
      </c>
      <c r="D32" s="2848"/>
      <c r="E32" s="2849">
        <v>0.8</v>
      </c>
      <c r="F32" s="2846" t="s">
        <v>2459</v>
      </c>
      <c r="G32" s="2846"/>
    </row>
    <row r="33" spans="1:7" ht="19.5" customHeight="1">
      <c r="A33" s="3686"/>
      <c r="B33" s="3682"/>
      <c r="C33" s="2847" t="s">
        <v>2460</v>
      </c>
      <c r="D33" s="2848"/>
      <c r="E33" s="2849">
        <v>0.8</v>
      </c>
      <c r="F33" s="2846" t="s">
        <v>2461</v>
      </c>
      <c r="G33" s="2846"/>
    </row>
    <row r="34" spans="1:7" ht="19.5" customHeight="1">
      <c r="A34" s="3686"/>
      <c r="B34" s="3682"/>
      <c r="C34" s="2847" t="s">
        <v>2462</v>
      </c>
      <c r="D34" s="2848"/>
      <c r="E34" s="2849">
        <v>0.7</v>
      </c>
      <c r="F34" s="2846" t="s">
        <v>2463</v>
      </c>
      <c r="G34" s="2846"/>
    </row>
    <row r="35" spans="1:7" ht="19.5" customHeight="1">
      <c r="A35" s="3686"/>
      <c r="B35" s="3682"/>
      <c r="C35" s="2847" t="s">
        <v>2464</v>
      </c>
      <c r="D35" s="2848"/>
      <c r="E35" s="2849">
        <v>0.8</v>
      </c>
      <c r="F35" s="2846" t="s">
        <v>2465</v>
      </c>
      <c r="G35" s="2846"/>
    </row>
    <row r="36" spans="1:7" ht="19.5" customHeight="1">
      <c r="A36" s="3686"/>
      <c r="B36" s="3682"/>
      <c r="C36" s="2847" t="s">
        <v>2466</v>
      </c>
      <c r="D36" s="2848"/>
      <c r="E36" s="2849">
        <v>0.6</v>
      </c>
      <c r="F36" s="2846" t="s">
        <v>2467</v>
      </c>
      <c r="G36" s="2846"/>
    </row>
    <row r="37" spans="1:7" ht="19.5" customHeight="1">
      <c r="A37" s="3686"/>
      <c r="B37" s="3682"/>
      <c r="C37" s="2847" t="s">
        <v>2468</v>
      </c>
      <c r="D37" s="2848"/>
      <c r="E37" s="2849">
        <v>0.2</v>
      </c>
      <c r="F37" s="2846" t="s">
        <v>2469</v>
      </c>
      <c r="G37" s="2846"/>
    </row>
    <row r="38" spans="1:7" ht="19.5" customHeight="1">
      <c r="A38" s="3686"/>
      <c r="B38" s="3682"/>
      <c r="C38" s="2847" t="s">
        <v>2470</v>
      </c>
      <c r="D38" s="2848"/>
      <c r="E38" s="2849">
        <v>0.2</v>
      </c>
      <c r="F38" s="2846" t="s">
        <v>2471</v>
      </c>
      <c r="G38" s="2846"/>
    </row>
    <row r="39" spans="1:7" ht="19.5" customHeight="1">
      <c r="A39" s="3686"/>
      <c r="B39" s="3680" t="s">
        <v>2632</v>
      </c>
      <c r="C39" s="2847" t="s">
        <v>2472</v>
      </c>
      <c r="D39" s="2848"/>
      <c r="E39" s="2849">
        <v>0.6</v>
      </c>
      <c r="F39" s="2846" t="s">
        <v>2473</v>
      </c>
      <c r="G39" s="2846"/>
    </row>
    <row r="40" spans="1:7" ht="19.5" customHeight="1">
      <c r="A40" s="3686"/>
      <c r="B40" s="3682"/>
      <c r="C40" s="2847" t="s">
        <v>2474</v>
      </c>
      <c r="D40" s="2848"/>
      <c r="E40" s="2849">
        <v>0.6</v>
      </c>
      <c r="F40" s="2846" t="s">
        <v>2475</v>
      </c>
      <c r="G40" s="2846"/>
    </row>
    <row r="41" spans="1:7" ht="19.5" customHeight="1" thickBot="1">
      <c r="A41" s="3687"/>
      <c r="B41" s="368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690" t="s">
        <v>2610</v>
      </c>
      <c r="B43" s="3688" t="s">
        <v>2634</v>
      </c>
      <c r="C43" s="2843" t="s">
        <v>2479</v>
      </c>
      <c r="D43" s="2844"/>
      <c r="E43" s="2845">
        <v>1</v>
      </c>
      <c r="F43" s="2846" t="s">
        <v>2480</v>
      </c>
      <c r="G43" s="2846"/>
    </row>
    <row r="44" spans="1:7" ht="19.5" customHeight="1">
      <c r="A44" s="3691"/>
      <c r="B44" s="3682"/>
      <c r="C44" s="2847" t="s">
        <v>2481</v>
      </c>
      <c r="D44" s="2848"/>
      <c r="E44" s="2849">
        <v>1</v>
      </c>
      <c r="F44" s="2846" t="s">
        <v>2482</v>
      </c>
      <c r="G44" s="2846"/>
    </row>
    <row r="45" spans="1:7" ht="19.5" customHeight="1">
      <c r="A45" s="3691"/>
      <c r="B45" s="3681"/>
      <c r="C45" s="2847" t="s">
        <v>2483</v>
      </c>
      <c r="D45" s="2848"/>
      <c r="E45" s="2849">
        <v>1.5</v>
      </c>
      <c r="F45" s="2846" t="s">
        <v>2484</v>
      </c>
      <c r="G45" s="2846"/>
    </row>
    <row r="46" spans="1:7" ht="19.5" customHeight="1">
      <c r="A46" s="3691"/>
      <c r="B46" s="2858" t="s">
        <v>2635</v>
      </c>
      <c r="C46" s="2847" t="s">
        <v>2636</v>
      </c>
      <c r="D46" s="2848"/>
      <c r="E46" s="2849">
        <v>2</v>
      </c>
      <c r="F46" s="2846" t="s">
        <v>2485</v>
      </c>
      <c r="G46" s="2846"/>
    </row>
    <row r="47" spans="1:7" ht="19.5" customHeight="1">
      <c r="A47" s="3691"/>
      <c r="B47" s="3680" t="s">
        <v>2637</v>
      </c>
      <c r="C47" s="2847" t="s">
        <v>2486</v>
      </c>
      <c r="D47" s="2848"/>
      <c r="E47" s="2849">
        <v>1</v>
      </c>
      <c r="F47" s="2846" t="s">
        <v>2487</v>
      </c>
      <c r="G47" s="2846"/>
    </row>
    <row r="48" spans="1:7" ht="19.5" customHeight="1">
      <c r="A48" s="3691"/>
      <c r="B48" s="3682"/>
      <c r="C48" s="2847" t="s">
        <v>2488</v>
      </c>
      <c r="D48" s="2848"/>
      <c r="E48" s="2849">
        <v>1</v>
      </c>
      <c r="F48" s="2846" t="s">
        <v>2489</v>
      </c>
      <c r="G48" s="2846"/>
    </row>
    <row r="49" spans="1:7" ht="19.5" customHeight="1">
      <c r="A49" s="3691"/>
      <c r="B49" s="3682"/>
      <c r="C49" s="2847" t="s">
        <v>2490</v>
      </c>
      <c r="D49" s="2848"/>
      <c r="E49" s="2849">
        <v>1</v>
      </c>
      <c r="F49" s="2846" t="s">
        <v>2491</v>
      </c>
      <c r="G49" s="2846"/>
    </row>
    <row r="50" spans="1:7" ht="19.5" customHeight="1">
      <c r="A50" s="3691"/>
      <c r="B50" s="3682"/>
      <c r="C50" s="2847" t="s">
        <v>2492</v>
      </c>
      <c r="D50" s="2848"/>
      <c r="E50" s="2849">
        <v>1</v>
      </c>
      <c r="F50" s="2846" t="s">
        <v>2493</v>
      </c>
      <c r="G50" s="2846"/>
    </row>
    <row r="51" spans="1:7" ht="19.5" customHeight="1">
      <c r="A51" s="3691"/>
      <c r="B51" s="3682"/>
      <c r="C51" s="2847" t="s">
        <v>2494</v>
      </c>
      <c r="D51" s="2848"/>
      <c r="E51" s="2849">
        <v>1</v>
      </c>
      <c r="F51" s="2846" t="s">
        <v>2495</v>
      </c>
      <c r="G51" s="2846"/>
    </row>
    <row r="52" spans="1:7" ht="19.5" customHeight="1">
      <c r="A52" s="3691"/>
      <c r="B52" s="3682"/>
      <c r="C52" s="2847" t="s">
        <v>2496</v>
      </c>
      <c r="D52" s="2848"/>
      <c r="E52" s="2849">
        <v>1</v>
      </c>
      <c r="F52" s="2846" t="s">
        <v>2497</v>
      </c>
      <c r="G52" s="2846"/>
    </row>
    <row r="53" spans="1:7" ht="19.5" customHeight="1" thickBot="1">
      <c r="A53" s="3692"/>
      <c r="B53" s="368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680" t="s">
        <v>2651</v>
      </c>
      <c r="C75" s="2832" t="s">
        <v>2652</v>
      </c>
      <c r="D75" s="2832" t="s">
        <v>2653</v>
      </c>
      <c r="E75" s="2858">
        <v>0.2</v>
      </c>
      <c r="F75" s="2858">
        <v>25</v>
      </c>
    </row>
    <row r="76" spans="1:7" ht="24">
      <c r="A76" s="2858">
        <v>2</v>
      </c>
      <c r="B76" s="3682"/>
      <c r="C76" s="2832" t="s">
        <v>2654</v>
      </c>
      <c r="D76" s="2832" t="s">
        <v>2655</v>
      </c>
      <c r="E76" s="2858">
        <v>0.2</v>
      </c>
      <c r="F76" s="2858">
        <v>25</v>
      </c>
    </row>
    <row r="77" spans="1:7" ht="24">
      <c r="A77" s="2858">
        <v>3</v>
      </c>
      <c r="B77" s="3682"/>
      <c r="C77" s="2832" t="s">
        <v>2656</v>
      </c>
      <c r="D77" s="2832" t="s">
        <v>2657</v>
      </c>
      <c r="E77" s="2858">
        <v>0.2</v>
      </c>
      <c r="F77" s="2858">
        <v>25</v>
      </c>
    </row>
    <row r="78" spans="1:7" ht="13.5">
      <c r="A78" s="2858">
        <v>4</v>
      </c>
      <c r="B78" s="3682"/>
      <c r="C78" s="2832" t="s">
        <v>2658</v>
      </c>
      <c r="D78" s="2832" t="s">
        <v>2659</v>
      </c>
      <c r="E78" s="2858">
        <v>0.15</v>
      </c>
      <c r="F78" s="2858">
        <v>20</v>
      </c>
    </row>
    <row r="79" spans="1:7" ht="24">
      <c r="A79" s="2858">
        <v>5</v>
      </c>
      <c r="B79" s="3682"/>
      <c r="C79" s="2832" t="s">
        <v>2660</v>
      </c>
      <c r="D79" s="2832" t="s">
        <v>2661</v>
      </c>
      <c r="E79" s="2858">
        <v>0.15</v>
      </c>
      <c r="F79" s="2858">
        <v>20</v>
      </c>
    </row>
    <row r="80" spans="1:7" ht="24">
      <c r="A80" s="2858">
        <v>6</v>
      </c>
      <c r="B80" s="3682"/>
      <c r="C80" s="2832" t="s">
        <v>2662</v>
      </c>
      <c r="D80" s="2832" t="s">
        <v>2663</v>
      </c>
      <c r="E80" s="2858">
        <v>0.15</v>
      </c>
      <c r="F80" s="2858">
        <v>20</v>
      </c>
    </row>
    <row r="81" spans="1:6" ht="24">
      <c r="A81" s="2858">
        <v>7</v>
      </c>
      <c r="B81" s="3682"/>
      <c r="C81" s="2832" t="s">
        <v>2664</v>
      </c>
      <c r="D81" s="2832" t="s">
        <v>2665</v>
      </c>
      <c r="E81" s="2858">
        <v>0.15</v>
      </c>
      <c r="F81" s="2858">
        <v>20</v>
      </c>
    </row>
    <row r="82" spans="1:6" ht="24">
      <c r="A82" s="2858">
        <v>8</v>
      </c>
      <c r="B82" s="3682"/>
      <c r="C82" s="2832" t="s">
        <v>2666</v>
      </c>
      <c r="D82" s="2832" t="s">
        <v>2667</v>
      </c>
      <c r="E82" s="2858">
        <v>0.1</v>
      </c>
      <c r="F82" s="2858">
        <v>15</v>
      </c>
    </row>
    <row r="83" spans="1:6" ht="24">
      <c r="A83" s="2858">
        <v>9</v>
      </c>
      <c r="B83" s="3682"/>
      <c r="C83" s="2832" t="s">
        <v>2668</v>
      </c>
      <c r="D83" s="2832" t="s">
        <v>2669</v>
      </c>
      <c r="E83" s="2858">
        <v>0.1</v>
      </c>
      <c r="F83" s="2858">
        <v>15</v>
      </c>
    </row>
    <row r="84" spans="1:6" ht="24">
      <c r="A84" s="2858">
        <v>10</v>
      </c>
      <c r="B84" s="3682"/>
      <c r="C84" s="2832" t="s">
        <v>2670</v>
      </c>
      <c r="D84" s="2832" t="s">
        <v>2671</v>
      </c>
      <c r="E84" s="2858">
        <v>0.1</v>
      </c>
      <c r="F84" s="2858">
        <v>15</v>
      </c>
    </row>
    <row r="85" spans="1:6" ht="24">
      <c r="A85" s="2858">
        <v>11</v>
      </c>
      <c r="B85" s="3682"/>
      <c r="C85" s="2832" t="s">
        <v>2672</v>
      </c>
      <c r="D85" s="2832" t="s">
        <v>2673</v>
      </c>
      <c r="E85" s="2858">
        <v>0.1</v>
      </c>
      <c r="F85" s="2858">
        <v>15</v>
      </c>
    </row>
    <row r="86" spans="1:6" ht="24">
      <c r="A86" s="2858">
        <v>12</v>
      </c>
      <c r="B86" s="3682"/>
      <c r="C86" s="2832" t="s">
        <v>2674</v>
      </c>
      <c r="D86" s="2832" t="s">
        <v>2675</v>
      </c>
      <c r="E86" s="2858">
        <v>0.1</v>
      </c>
      <c r="F86" s="2858">
        <v>15</v>
      </c>
    </row>
    <row r="87" spans="1:6" ht="13.5">
      <c r="A87" s="2858">
        <v>13</v>
      </c>
      <c r="B87" s="3682"/>
      <c r="C87" s="2832" t="s">
        <v>2676</v>
      </c>
      <c r="D87" s="2832" t="s">
        <v>2677</v>
      </c>
      <c r="E87" s="2858">
        <v>0.1</v>
      </c>
      <c r="F87" s="2858">
        <v>15</v>
      </c>
    </row>
    <row r="88" spans="1:6" ht="13.5">
      <c r="A88" s="2858">
        <v>14</v>
      </c>
      <c r="B88" s="3682"/>
      <c r="C88" s="2832" t="s">
        <v>2678</v>
      </c>
      <c r="D88" s="2832" t="s">
        <v>2679</v>
      </c>
      <c r="E88" s="2858">
        <v>0.1</v>
      </c>
      <c r="F88" s="2858">
        <v>15</v>
      </c>
    </row>
    <row r="89" spans="1:6" ht="13.5">
      <c r="A89" s="2858">
        <v>15</v>
      </c>
      <c r="B89" s="3682"/>
      <c r="C89" s="2832" t="s">
        <v>2680</v>
      </c>
      <c r="D89" s="2832" t="s">
        <v>2681</v>
      </c>
      <c r="E89" s="2858">
        <v>0.1</v>
      </c>
      <c r="F89" s="2858">
        <v>15</v>
      </c>
    </row>
    <row r="90" spans="1:6" ht="24">
      <c r="A90" s="2858">
        <v>16</v>
      </c>
      <c r="B90" s="3682"/>
      <c r="C90" s="2832" t="s">
        <v>2682</v>
      </c>
      <c r="D90" s="2832" t="s">
        <v>2683</v>
      </c>
      <c r="E90" s="2858">
        <v>0.1</v>
      </c>
      <c r="F90" s="2858">
        <v>15</v>
      </c>
    </row>
    <row r="91" spans="1:6" ht="24">
      <c r="A91" s="2858">
        <v>17</v>
      </c>
      <c r="B91" s="3681"/>
      <c r="C91" s="2832" t="s">
        <v>2684</v>
      </c>
      <c r="D91" s="2832" t="s">
        <v>2685</v>
      </c>
      <c r="E91" s="2858">
        <v>0.1</v>
      </c>
      <c r="F91" s="2858">
        <v>15</v>
      </c>
    </row>
    <row r="92" spans="1:6" ht="13.5">
      <c r="A92" s="2858">
        <v>18</v>
      </c>
      <c r="B92" s="3680" t="s">
        <v>2686</v>
      </c>
      <c r="C92" s="2832" t="s">
        <v>2687</v>
      </c>
      <c r="D92" s="2832" t="s">
        <v>2688</v>
      </c>
      <c r="E92" s="2858">
        <v>0.2</v>
      </c>
      <c r="F92" s="2858">
        <v>25</v>
      </c>
    </row>
    <row r="93" spans="1:6" ht="24">
      <c r="A93" s="2858">
        <v>19</v>
      </c>
      <c r="B93" s="3682"/>
      <c r="C93" s="2832" t="s">
        <v>2689</v>
      </c>
      <c r="D93" s="2832" t="s">
        <v>2690</v>
      </c>
      <c r="E93" s="2858">
        <v>0.2</v>
      </c>
      <c r="F93" s="2858">
        <v>25</v>
      </c>
    </row>
    <row r="94" spans="1:6" ht="13.5">
      <c r="A94" s="2858">
        <v>20</v>
      </c>
      <c r="B94" s="3682"/>
      <c r="C94" s="2832" t="s">
        <v>2691</v>
      </c>
      <c r="D94" s="2832" t="s">
        <v>2692</v>
      </c>
      <c r="E94" s="2858">
        <v>0.15</v>
      </c>
      <c r="F94" s="2858">
        <v>20</v>
      </c>
    </row>
    <row r="95" spans="1:6" ht="13.5">
      <c r="A95" s="2858">
        <v>21</v>
      </c>
      <c r="B95" s="3682"/>
      <c r="C95" s="2832" t="s">
        <v>2693</v>
      </c>
      <c r="D95" s="2832" t="s">
        <v>2694</v>
      </c>
      <c r="E95" s="2858">
        <v>0.15</v>
      </c>
      <c r="F95" s="2858">
        <v>20</v>
      </c>
    </row>
    <row r="96" spans="1:6" ht="13.5">
      <c r="A96" s="2858">
        <v>22</v>
      </c>
      <c r="B96" s="3682"/>
      <c r="C96" s="2832" t="s">
        <v>2695</v>
      </c>
      <c r="D96" s="2832" t="s">
        <v>2696</v>
      </c>
      <c r="E96" s="2858">
        <v>0.15</v>
      </c>
      <c r="F96" s="2858">
        <v>20</v>
      </c>
    </row>
    <row r="97" spans="1:6" ht="36">
      <c r="A97" s="2858">
        <v>23</v>
      </c>
      <c r="B97" s="3682"/>
      <c r="C97" s="2832" t="s">
        <v>2697</v>
      </c>
      <c r="D97" s="2832" t="s">
        <v>2698</v>
      </c>
      <c r="E97" s="2858">
        <v>0.15</v>
      </c>
      <c r="F97" s="2858">
        <v>20</v>
      </c>
    </row>
    <row r="98" spans="1:6" ht="13.5">
      <c r="A98" s="2858">
        <v>24</v>
      </c>
      <c r="B98" s="3682"/>
      <c r="C98" s="2832" t="s">
        <v>2699</v>
      </c>
      <c r="D98" s="2832" t="s">
        <v>2700</v>
      </c>
      <c r="E98" s="2858">
        <v>0.1</v>
      </c>
      <c r="F98" s="2858">
        <v>15</v>
      </c>
    </row>
    <row r="99" spans="1:6" ht="13.5">
      <c r="A99" s="2858">
        <v>25</v>
      </c>
      <c r="B99" s="3682"/>
      <c r="C99" s="2832" t="s">
        <v>2701</v>
      </c>
      <c r="D99" s="2832" t="s">
        <v>2702</v>
      </c>
      <c r="E99" s="2858">
        <v>0.1</v>
      </c>
      <c r="F99" s="2858">
        <v>15</v>
      </c>
    </row>
    <row r="100" spans="1:6" ht="24">
      <c r="A100" s="2858">
        <v>26</v>
      </c>
      <c r="B100" s="3682"/>
      <c r="C100" s="2832" t="s">
        <v>2703</v>
      </c>
      <c r="D100" s="2832" t="s">
        <v>2704</v>
      </c>
      <c r="E100" s="2858">
        <v>0.1</v>
      </c>
      <c r="F100" s="2858">
        <v>15</v>
      </c>
    </row>
    <row r="101" spans="1:6" ht="24">
      <c r="A101" s="2858">
        <v>27</v>
      </c>
      <c r="B101" s="3682"/>
      <c r="C101" s="2832" t="s">
        <v>2705</v>
      </c>
      <c r="D101" s="2832" t="s">
        <v>2706</v>
      </c>
      <c r="E101" s="2858">
        <v>0.1</v>
      </c>
      <c r="F101" s="2858">
        <v>15</v>
      </c>
    </row>
    <row r="102" spans="1:6" ht="13.5">
      <c r="A102" s="2858">
        <v>28</v>
      </c>
      <c r="B102" s="3682"/>
      <c r="C102" s="2832" t="s">
        <v>2707</v>
      </c>
      <c r="D102" s="2832" t="s">
        <v>2708</v>
      </c>
      <c r="E102" s="2858">
        <v>0.1</v>
      </c>
      <c r="F102" s="2858">
        <v>15</v>
      </c>
    </row>
    <row r="103" spans="1:6" ht="13.5">
      <c r="A103" s="2858">
        <v>29</v>
      </c>
      <c r="B103" s="3682"/>
      <c r="C103" s="2832" t="s">
        <v>2709</v>
      </c>
      <c r="D103" s="2832" t="s">
        <v>2710</v>
      </c>
      <c r="E103" s="2858">
        <v>0.1</v>
      </c>
      <c r="F103" s="2858">
        <v>15</v>
      </c>
    </row>
    <row r="104" spans="1:6" ht="13.5">
      <c r="A104" s="2858">
        <v>30</v>
      </c>
      <c r="B104" s="3682"/>
      <c r="C104" s="2832" t="s">
        <v>2711</v>
      </c>
      <c r="D104" s="2832" t="s">
        <v>2712</v>
      </c>
      <c r="E104" s="2858">
        <v>0.1</v>
      </c>
      <c r="F104" s="2858">
        <v>15</v>
      </c>
    </row>
    <row r="105" spans="1:6" ht="24">
      <c r="A105" s="2858">
        <v>31</v>
      </c>
      <c r="B105" s="3682"/>
      <c r="C105" s="2832" t="s">
        <v>2713</v>
      </c>
      <c r="D105" s="2832" t="s">
        <v>2714</v>
      </c>
      <c r="E105" s="2858">
        <v>0.1</v>
      </c>
      <c r="F105" s="2858">
        <v>15</v>
      </c>
    </row>
    <row r="106" spans="1:6" ht="24">
      <c r="A106" s="2858">
        <v>32</v>
      </c>
      <c r="B106" s="3682"/>
      <c r="C106" s="2832" t="s">
        <v>2715</v>
      </c>
      <c r="D106" s="2832" t="s">
        <v>2716</v>
      </c>
      <c r="E106" s="2858">
        <v>0.1</v>
      </c>
      <c r="F106" s="2858">
        <v>15</v>
      </c>
    </row>
    <row r="107" spans="1:6" ht="24">
      <c r="A107" s="2858">
        <v>33</v>
      </c>
      <c r="B107" s="3682"/>
      <c r="C107" s="2832" t="s">
        <v>2717</v>
      </c>
      <c r="D107" s="2832" t="s">
        <v>2718</v>
      </c>
      <c r="E107" s="2858">
        <v>0.1</v>
      </c>
      <c r="F107" s="2858">
        <v>15</v>
      </c>
    </row>
    <row r="108" spans="1:6" ht="24">
      <c r="A108" s="2858">
        <v>34</v>
      </c>
      <c r="B108" s="3681"/>
      <c r="C108" s="2832" t="s">
        <v>2719</v>
      </c>
      <c r="D108" s="2832" t="s">
        <v>2720</v>
      </c>
      <c r="E108" s="2858">
        <v>0.1</v>
      </c>
      <c r="F108" s="2858">
        <v>15</v>
      </c>
    </row>
    <row r="109" spans="1:6" ht="24">
      <c r="A109" s="2858">
        <v>35</v>
      </c>
      <c r="B109" s="3680" t="s">
        <v>2721</v>
      </c>
      <c r="C109" s="2858" t="s">
        <v>2722</v>
      </c>
      <c r="D109" s="2832" t="s">
        <v>2723</v>
      </c>
      <c r="E109" s="2858">
        <v>0.15</v>
      </c>
      <c r="F109" s="2858">
        <v>20</v>
      </c>
    </row>
    <row r="110" spans="1:6" ht="13.5">
      <c r="A110" s="2858">
        <v>36</v>
      </c>
      <c r="B110" s="3682"/>
      <c r="C110" s="2858" t="s">
        <v>2724</v>
      </c>
      <c r="D110" s="2832" t="s">
        <v>2725</v>
      </c>
      <c r="E110" s="2858">
        <v>0.15</v>
      </c>
      <c r="F110" s="2858">
        <v>20</v>
      </c>
    </row>
    <row r="111" spans="1:6" ht="13.5">
      <c r="A111" s="2858">
        <v>37</v>
      </c>
      <c r="B111" s="3682"/>
      <c r="C111" s="2858" t="s">
        <v>2726</v>
      </c>
      <c r="D111" s="2832" t="s">
        <v>2727</v>
      </c>
      <c r="E111" s="2858">
        <v>0.15</v>
      </c>
      <c r="F111" s="2858">
        <v>20</v>
      </c>
    </row>
    <row r="112" spans="1:6" ht="13.5">
      <c r="A112" s="2858">
        <v>38</v>
      </c>
      <c r="B112" s="3682"/>
      <c r="C112" s="2858" t="s">
        <v>2728</v>
      </c>
      <c r="D112" s="2832" t="s">
        <v>2729</v>
      </c>
      <c r="E112" s="2858">
        <v>0.1</v>
      </c>
      <c r="F112" s="2858">
        <v>15</v>
      </c>
    </row>
    <row r="113" spans="1:6" ht="24">
      <c r="A113" s="2858">
        <v>39</v>
      </c>
      <c r="B113" s="3682"/>
      <c r="C113" s="2858" t="s">
        <v>2730</v>
      </c>
      <c r="D113" s="2832" t="s">
        <v>2731</v>
      </c>
      <c r="E113" s="2858">
        <v>0.1</v>
      </c>
      <c r="F113" s="2858">
        <v>15</v>
      </c>
    </row>
    <row r="114" spans="1:6" ht="24">
      <c r="A114" s="2858">
        <v>40</v>
      </c>
      <c r="B114" s="3681"/>
      <c r="C114" s="2858" t="s">
        <v>2732</v>
      </c>
      <c r="D114" s="2832" t="s">
        <v>2733</v>
      </c>
      <c r="E114" s="2858">
        <v>0.1</v>
      </c>
      <c r="F114" s="2858">
        <v>15</v>
      </c>
    </row>
    <row r="115" spans="1:6" ht="13.5">
      <c r="A115" s="2858">
        <v>41</v>
      </c>
      <c r="B115" s="3679" t="s">
        <v>2734</v>
      </c>
      <c r="C115" s="2858" t="s">
        <v>2735</v>
      </c>
      <c r="D115" s="2832" t="s">
        <v>2736</v>
      </c>
      <c r="E115" s="2858">
        <v>0.1</v>
      </c>
      <c r="F115" s="2858">
        <v>15</v>
      </c>
    </row>
    <row r="116" spans="1:6" ht="13.5">
      <c r="A116" s="2858">
        <v>42</v>
      </c>
      <c r="B116" s="3679"/>
      <c r="C116" s="2858" t="s">
        <v>2737</v>
      </c>
      <c r="D116" s="2832" t="s">
        <v>2738</v>
      </c>
      <c r="E116" s="2858">
        <v>0.1</v>
      </c>
      <c r="F116" s="2858">
        <v>15</v>
      </c>
    </row>
    <row r="117" spans="1:6" ht="24">
      <c r="A117" s="2858">
        <v>43</v>
      </c>
      <c r="B117" s="3679"/>
      <c r="C117" s="2858" t="s">
        <v>2739</v>
      </c>
      <c r="D117" s="2832" t="s">
        <v>2740</v>
      </c>
      <c r="E117" s="2858">
        <v>0.1</v>
      </c>
      <c r="F117" s="2858">
        <v>15</v>
      </c>
    </row>
    <row r="118" spans="1:6" ht="13.5">
      <c r="A118" s="2858">
        <v>44</v>
      </c>
      <c r="B118" s="3680" t="s">
        <v>2741</v>
      </c>
      <c r="C118" s="2858" t="s">
        <v>2742</v>
      </c>
      <c r="D118" s="2832" t="s">
        <v>2743</v>
      </c>
      <c r="E118" s="2858">
        <v>0.1</v>
      </c>
      <c r="F118" s="2858">
        <v>15</v>
      </c>
    </row>
    <row r="119" spans="1:6" ht="24">
      <c r="A119" s="2858">
        <v>45</v>
      </c>
      <c r="B119" s="3681"/>
      <c r="C119" s="2832" t="s">
        <v>2744</v>
      </c>
      <c r="D119" s="2832" t="s">
        <v>2745</v>
      </c>
      <c r="E119" s="2858">
        <v>0.1</v>
      </c>
      <c r="F119" s="2858">
        <v>15</v>
      </c>
    </row>
    <row r="120" spans="1:6" ht="24">
      <c r="A120" s="2858">
        <v>46</v>
      </c>
      <c r="B120" s="3680" t="s">
        <v>2746</v>
      </c>
      <c r="C120" s="2858" t="s">
        <v>2747</v>
      </c>
      <c r="D120" s="2832" t="s">
        <v>2748</v>
      </c>
      <c r="E120" s="2858">
        <v>0.1</v>
      </c>
      <c r="F120" s="2858">
        <v>15</v>
      </c>
    </row>
    <row r="121" spans="1:6" ht="24">
      <c r="A121" s="2858">
        <v>47</v>
      </c>
      <c r="B121" s="3681"/>
      <c r="C121" s="2858" t="s">
        <v>2749</v>
      </c>
      <c r="D121" s="2832" t="s">
        <v>2750</v>
      </c>
      <c r="E121" s="2858">
        <v>0.1</v>
      </c>
      <c r="F121" s="2858">
        <v>15</v>
      </c>
    </row>
    <row r="122" spans="1:6" ht="13.5">
      <c r="A122" s="2858">
        <v>48</v>
      </c>
      <c r="B122" s="3680" t="s">
        <v>2751</v>
      </c>
      <c r="C122" s="2858" t="s">
        <v>2752</v>
      </c>
      <c r="D122" s="2832" t="s">
        <v>2753</v>
      </c>
      <c r="E122" s="2858">
        <v>0.1</v>
      </c>
      <c r="F122" s="2858">
        <v>15</v>
      </c>
    </row>
    <row r="123" spans="1:6" ht="13.5">
      <c r="A123" s="2858">
        <v>49</v>
      </c>
      <c r="B123" s="3681"/>
      <c r="C123" s="2858" t="s">
        <v>2754</v>
      </c>
      <c r="D123" s="2832" t="s">
        <v>2755</v>
      </c>
      <c r="E123" s="2858">
        <v>0.1</v>
      </c>
      <c r="F123" s="2858">
        <v>15</v>
      </c>
    </row>
    <row r="124" spans="1:6" ht="24">
      <c r="A124" s="2858">
        <v>50</v>
      </c>
      <c r="B124" s="3679" t="s">
        <v>2756</v>
      </c>
      <c r="C124" s="2858" t="s">
        <v>2757</v>
      </c>
      <c r="D124" s="2832" t="s">
        <v>2758</v>
      </c>
      <c r="E124" s="2858">
        <v>0.1</v>
      </c>
      <c r="F124" s="2858">
        <v>15</v>
      </c>
    </row>
    <row r="125" spans="1:6" ht="24">
      <c r="A125" s="2858">
        <v>51</v>
      </c>
      <c r="B125" s="3679"/>
      <c r="C125" s="2858" t="s">
        <v>2759</v>
      </c>
      <c r="D125" s="2832" t="s">
        <v>2760</v>
      </c>
      <c r="E125" s="2858">
        <v>0.1</v>
      </c>
      <c r="F125" s="2858">
        <v>15</v>
      </c>
    </row>
    <row r="126" spans="1:6" ht="24">
      <c r="A126" s="2858">
        <v>52</v>
      </c>
      <c r="B126" s="3679" t="s">
        <v>2761</v>
      </c>
      <c r="C126" s="2858" t="s">
        <v>2762</v>
      </c>
      <c r="D126" s="2832" t="s">
        <v>2763</v>
      </c>
      <c r="E126" s="2858">
        <v>0.1</v>
      </c>
      <c r="F126" s="2858">
        <v>15</v>
      </c>
    </row>
    <row r="127" spans="1:6" ht="24">
      <c r="A127" s="2858">
        <v>53</v>
      </c>
      <c r="B127" s="3679"/>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679" t="s">
        <v>2769</v>
      </c>
      <c r="C129" s="2858" t="s">
        <v>2770</v>
      </c>
      <c r="D129" s="2832" t="s">
        <v>2771</v>
      </c>
      <c r="E129" s="2858">
        <v>0.1</v>
      </c>
      <c r="F129" s="2858">
        <v>15</v>
      </c>
    </row>
    <row r="130" spans="1:6" ht="13.5">
      <c r="A130" s="2858">
        <v>56</v>
      </c>
      <c r="B130" s="3679"/>
      <c r="C130" s="2858" t="s">
        <v>2772</v>
      </c>
      <c r="D130" s="2832" t="s">
        <v>2773</v>
      </c>
      <c r="E130" s="2858">
        <v>0.1</v>
      </c>
      <c r="F130" s="2858">
        <v>15</v>
      </c>
    </row>
    <row r="131" spans="1:6" ht="24">
      <c r="A131" s="2858">
        <v>57</v>
      </c>
      <c r="B131" s="3679"/>
      <c r="C131" s="2858" t="s">
        <v>2774</v>
      </c>
      <c r="D131" s="2832" t="s">
        <v>2775</v>
      </c>
      <c r="E131" s="2858">
        <v>0.1</v>
      </c>
      <c r="F131" s="2858">
        <v>15</v>
      </c>
    </row>
    <row r="132" spans="1:6" ht="24">
      <c r="A132" s="2858">
        <v>58</v>
      </c>
      <c r="B132" s="3679" t="s">
        <v>2776</v>
      </c>
      <c r="C132" s="2858" t="s">
        <v>2777</v>
      </c>
      <c r="D132" s="2832" t="s">
        <v>2778</v>
      </c>
      <c r="E132" s="2858">
        <v>0.1</v>
      </c>
      <c r="F132" s="2858">
        <v>15</v>
      </c>
    </row>
    <row r="133" spans="1:6" ht="13.5">
      <c r="A133" s="2858">
        <v>59</v>
      </c>
      <c r="B133" s="3679"/>
      <c r="C133" s="2858" t="s">
        <v>2779</v>
      </c>
      <c r="D133" s="2832" t="s">
        <v>2780</v>
      </c>
      <c r="E133" s="2858">
        <v>0.1</v>
      </c>
      <c r="F133" s="2858">
        <v>15</v>
      </c>
    </row>
    <row r="134" spans="1:6" ht="13.5">
      <c r="A134" s="2858">
        <v>60</v>
      </c>
      <c r="B134" s="3680" t="s">
        <v>2781</v>
      </c>
      <c r="C134" s="2858" t="s">
        <v>2782</v>
      </c>
      <c r="D134" s="2832" t="s">
        <v>2783</v>
      </c>
      <c r="E134" s="2858">
        <v>0.1</v>
      </c>
      <c r="F134" s="2858">
        <v>15</v>
      </c>
    </row>
    <row r="135" spans="1:6" ht="13.5">
      <c r="A135" s="2858">
        <v>61</v>
      </c>
      <c r="B135" s="3681"/>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679" t="s">
        <v>2789</v>
      </c>
      <c r="C137" s="2858" t="s">
        <v>2790</v>
      </c>
      <c r="D137" s="2832" t="s">
        <v>2791</v>
      </c>
      <c r="E137" s="2858">
        <v>0.1</v>
      </c>
      <c r="F137" s="2858">
        <v>15</v>
      </c>
    </row>
    <row r="138" spans="1:6" ht="13.5">
      <c r="A138" s="2858">
        <v>64</v>
      </c>
      <c r="B138" s="3679"/>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2877.6400000000003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2877.6400000000003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2877.6400000000003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516" t="s">
        <v>94</v>
      </c>
    </row>
    <row r="43" spans="1:7" ht="13.5" customHeight="1">
      <c r="A43" s="734" t="s">
        <v>347</v>
      </c>
      <c r="B43" s="207" t="s">
        <v>426</v>
      </c>
      <c r="C43" s="230" t="e">
        <f ca="1">ROUND(IF('数据-取费表'!B22&lt;=1,C39*F22*'数据-取费表'!B21/2,C39*(POWER((1+F22),'数据-取费表'!B21/2)-1)),0)</f>
        <v>#VALUE!</v>
      </c>
      <c r="D43" s="230"/>
      <c r="E43" s="230"/>
      <c r="F43" s="231"/>
      <c r="G43" s="3517"/>
    </row>
    <row r="44" spans="1:7" ht="13.5" customHeight="1">
      <c r="A44" s="734" t="s">
        <v>348</v>
      </c>
      <c r="B44" s="207" t="s">
        <v>428</v>
      </c>
      <c r="C44" s="230" t="e">
        <f ca="1">ROUND(IF('数据-取费表'!B22&lt;=1,C40*F22*'数据-取费表'!B21/2,C40*(POWER((1+F22),'数据-取费表'!B21/2)-1)),4)</f>
        <v>#VALUE!</v>
      </c>
      <c r="D44" s="230"/>
      <c r="E44" s="230"/>
      <c r="F44" s="231"/>
      <c r="G44" s="351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93" t="s">
        <v>3181</v>
      </c>
      <c r="B1" s="3693"/>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94" t="s">
        <v>3232</v>
      </c>
      <c r="B1" s="3694"/>
      <c r="C1" s="3694"/>
      <c r="D1" s="3694"/>
      <c r="E1" s="3694"/>
      <c r="F1" s="3695"/>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45910</v>
      </c>
      <c r="B1" s="2930" t="s">
        <v>3376</v>
      </c>
      <c r="C1" s="2931"/>
      <c r="D1" s="2931"/>
      <c r="E1" s="2931"/>
      <c r="F1" s="2931"/>
      <c r="G1" s="2931"/>
      <c r="H1" s="2931"/>
      <c r="I1" s="2931"/>
      <c r="J1" s="2897"/>
      <c r="K1" s="2931" t="s">
        <v>454</v>
      </c>
      <c r="L1" s="2931"/>
      <c r="M1" s="2931"/>
      <c r="N1" s="2931"/>
      <c r="O1" s="2931"/>
      <c r="P1" s="2931"/>
      <c r="Q1" s="2897"/>
      <c r="R1" s="3696" t="s">
        <v>456</v>
      </c>
      <c r="S1" s="3697"/>
      <c r="T1" s="3697"/>
      <c r="U1" s="3697"/>
      <c r="V1" s="3697"/>
      <c r="W1" s="3697"/>
      <c r="X1" s="2897"/>
      <c r="Y1" s="3696" t="s">
        <v>457</v>
      </c>
      <c r="Z1" s="3697"/>
      <c r="AA1" s="3697"/>
      <c r="AB1" s="3697"/>
      <c r="AC1" s="3697"/>
      <c r="AD1" s="3697"/>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96" t="s">
        <v>2827</v>
      </c>
      <c r="S29" s="3697"/>
      <c r="T29" s="3697"/>
      <c r="U29" s="3697"/>
      <c r="V29" s="3697"/>
      <c r="W29" s="3697"/>
      <c r="X29" s="2897"/>
      <c r="Y29" s="3696" t="s">
        <v>2828</v>
      </c>
      <c r="Z29" s="3697"/>
      <c r="AA29" s="3697"/>
      <c r="AB29" s="3697"/>
      <c r="AC29" s="3697"/>
      <c r="AD29" s="3697"/>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1" t="s">
        <v>452</v>
      </c>
      <c r="C1" s="3701"/>
      <c r="D1" s="3701"/>
      <c r="E1" s="3701"/>
      <c r="F1" s="3701"/>
      <c r="G1" s="3697" t="s">
        <v>453</v>
      </c>
      <c r="H1" s="3697"/>
      <c r="I1" s="3697"/>
      <c r="J1" s="3697"/>
      <c r="K1" s="3697"/>
      <c r="L1" s="3697"/>
      <c r="N1" s="3697" t="s">
        <v>454</v>
      </c>
      <c r="O1" s="3697"/>
      <c r="P1" s="3697"/>
      <c r="Q1" s="3697"/>
      <c r="S1" s="3697" t="s">
        <v>455</v>
      </c>
      <c r="T1" s="3697"/>
      <c r="U1" s="3697"/>
      <c r="V1" s="3697"/>
      <c r="X1" s="3696" t="s">
        <v>456</v>
      </c>
      <c r="Y1" s="3697"/>
      <c r="Z1" s="3697"/>
      <c r="AA1" s="3697"/>
      <c r="AB1" s="3697"/>
      <c r="AD1" s="3696" t="s">
        <v>457</v>
      </c>
      <c r="AE1" s="3697"/>
      <c r="AF1" s="3697"/>
      <c r="AG1" s="3697"/>
      <c r="AH1" s="36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09" t="s">
        <v>2839</v>
      </c>
      <c r="B1" s="3709"/>
      <c r="C1" s="3709"/>
      <c r="D1" s="3709"/>
      <c r="E1" s="3709"/>
      <c r="F1" s="3709"/>
      <c r="G1" s="371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70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70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45910</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52" t="str">
        <f>IF(项目基本情况!B9="房地产市场价值","估价结果一览表","结果表-2")</f>
        <v>结果表-2</v>
      </c>
      <c r="B1" s="3352"/>
      <c r="C1" s="3352"/>
      <c r="D1" s="3352"/>
      <c r="E1" s="3352"/>
      <c r="F1" s="3352"/>
      <c r="G1" s="3352"/>
      <c r="H1" s="3352"/>
      <c r="I1" s="3352"/>
    </row>
    <row r="2" spans="1:9" ht="30" customHeight="1" thickTop="1">
      <c r="A2" s="3353" t="s">
        <v>928</v>
      </c>
      <c r="B2" s="3353" t="s">
        <v>929</v>
      </c>
      <c r="C2" s="3353" t="s">
        <v>930</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spans="1:9" ht="15">
      <c r="A3" s="3348"/>
      <c r="B3" s="3348"/>
      <c r="C3" s="3348"/>
      <c r="D3" s="801" t="s">
        <v>925</v>
      </c>
      <c r="E3" s="801" t="s">
        <v>931</v>
      </c>
      <c r="F3" s="801" t="s">
        <v>925</v>
      </c>
      <c r="G3" s="801" t="s">
        <v>926</v>
      </c>
      <c r="H3" s="801" t="s">
        <v>925</v>
      </c>
      <c r="I3" s="801" t="s">
        <v>926</v>
      </c>
    </row>
    <row r="4" spans="1:9" ht="15">
      <c r="A4" s="1403" t="str">
        <f>项目基本情况!S2</f>
        <v>房地产</v>
      </c>
      <c r="B4" s="801">
        <f>项目基本情况!C17</f>
        <v>2877.6400000000003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48" t="s">
        <v>927</v>
      </c>
      <c r="B5" s="3348"/>
      <c r="C5" s="3348"/>
      <c r="D5" s="3348" t="e">
        <f ca="1">结果表!D119</f>
        <v>#REF!</v>
      </c>
      <c r="E5" s="3348"/>
      <c r="F5" s="3348" t="e">
        <f ca="1">结果表!F119</f>
        <v>#REF!</v>
      </c>
      <c r="G5" s="3348"/>
      <c r="H5" s="3348" t="e">
        <f ca="1">结果表!H119</f>
        <v>#REF!</v>
      </c>
      <c r="I5" s="3348"/>
    </row>
    <row r="6" spans="1:9" ht="15.75">
      <c r="A6" s="3347" t="str">
        <f>结果表!A120</f>
        <v>估价师知悉的法定优先受偿款</v>
      </c>
      <c r="B6" s="3347"/>
      <c r="C6" s="3347"/>
      <c r="D6" s="3347">
        <f>结果表!D120</f>
        <v>0</v>
      </c>
      <c r="E6" s="3347"/>
      <c r="F6" s="3347"/>
      <c r="G6" s="3347"/>
      <c r="H6" s="3347"/>
      <c r="I6" s="3347"/>
    </row>
    <row r="7" spans="1:9" ht="15">
      <c r="A7" s="3348" t="s">
        <v>927</v>
      </c>
      <c r="B7" s="3348"/>
      <c r="C7" s="3348"/>
      <c r="D7" s="3349" t="str">
        <f>结果表!D121</f>
        <v>零元整</v>
      </c>
      <c r="E7" s="3350"/>
      <c r="F7" s="3350"/>
      <c r="G7" s="3350"/>
      <c r="H7" s="3350"/>
      <c r="I7" s="3351"/>
    </row>
    <row r="8" spans="1:9" ht="15.75">
      <c r="A8" s="3347" t="str">
        <f>结果表!A122</f>
        <v>房地产抵押价值</v>
      </c>
      <c r="B8" s="3347"/>
      <c r="C8" s="3347"/>
      <c r="D8" s="3347" t="e">
        <f ca="1">结果表!D122</f>
        <v>#REF!</v>
      </c>
      <c r="E8" s="3347"/>
      <c r="F8" s="3347"/>
      <c r="G8" s="3347"/>
      <c r="H8" s="3347"/>
      <c r="I8" s="3347"/>
    </row>
    <row r="9" spans="1:9" ht="15">
      <c r="A9" s="3348" t="s">
        <v>927</v>
      </c>
      <c r="B9" s="3348"/>
      <c r="C9" s="3348"/>
      <c r="D9" s="3348" t="e">
        <f ca="1">结果表!D123</f>
        <v>#REF!</v>
      </c>
      <c r="E9" s="3348"/>
      <c r="F9" s="3348"/>
      <c r="G9" s="3348"/>
      <c r="H9" s="3348"/>
      <c r="I9" s="3348"/>
    </row>
    <row r="10" spans="1:9" ht="15.75">
      <c r="A10" s="3347" t="str">
        <f>结果表!A124</f>
        <v/>
      </c>
      <c r="B10" s="3347"/>
      <c r="C10" s="3347"/>
      <c r="D10" s="3347" t="str">
        <f>结果表!D124</f>
        <v>——</v>
      </c>
      <c r="E10" s="3347"/>
      <c r="F10" s="3347"/>
      <c r="G10" s="3347"/>
      <c r="H10" s="3347"/>
      <c r="I10" s="3347"/>
    </row>
    <row r="11" spans="1:9" ht="15">
      <c r="A11" s="3348" t="s">
        <v>927</v>
      </c>
      <c r="B11" s="3348"/>
      <c r="C11" s="3348"/>
      <c r="D11" s="3348" t="e">
        <f>结果表!D125</f>
        <v>#VALUE!</v>
      </c>
      <c r="E11" s="3348"/>
      <c r="F11" s="3348"/>
      <c r="G11" s="3348"/>
      <c r="H11" s="3348"/>
      <c r="I11" s="3348"/>
    </row>
    <row r="12" spans="1:9" ht="15.75">
      <c r="A12" s="3347" t="str">
        <f>结果表!A126</f>
        <v/>
      </c>
      <c r="B12" s="3347"/>
      <c r="C12" s="3347"/>
      <c r="D12" s="3347" t="str">
        <f>结果表!D126</f>
        <v>——</v>
      </c>
      <c r="E12" s="3347"/>
      <c r="F12" s="3347"/>
      <c r="G12" s="3347"/>
      <c r="H12" s="3347"/>
      <c r="I12" s="3347"/>
    </row>
    <row r="13" spans="1:9" ht="15.75" thickBot="1">
      <c r="A13" s="3345" t="s">
        <v>927</v>
      </c>
      <c r="B13" s="3345"/>
      <c r="C13" s="3345"/>
      <c r="D13" s="3345" t="e">
        <f>结果表!D127</f>
        <v>#VALUE!</v>
      </c>
      <c r="E13" s="3345"/>
      <c r="F13" s="3345"/>
      <c r="G13" s="3345"/>
      <c r="H13" s="3345"/>
      <c r="I13" s="3345"/>
    </row>
    <row r="14" spans="1:9" ht="15" thickTop="1">
      <c r="A14" s="3346" t="s">
        <v>932</v>
      </c>
      <c r="B14" s="3346"/>
      <c r="C14" s="3346"/>
      <c r="D14" s="3346"/>
      <c r="E14" s="3346"/>
      <c r="F14" s="3346"/>
      <c r="G14" s="3346"/>
      <c r="H14" s="3346"/>
      <c r="I14" s="334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60" t="s">
        <v>949</v>
      </c>
      <c r="B1" s="3360"/>
      <c r="C1" s="3360"/>
      <c r="D1" s="3360"/>
    </row>
    <row r="2" spans="1:4" ht="18">
      <c r="A2" s="3361" t="s">
        <v>933</v>
      </c>
      <c r="B2" s="3361"/>
      <c r="C2" s="3361"/>
      <c r="D2" s="336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61" t="s">
        <v>939</v>
      </c>
      <c r="B6" s="3361"/>
      <c r="C6" s="3361"/>
      <c r="D6" s="336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62" t="s">
        <v>942</v>
      </c>
      <c r="B11" s="3354"/>
      <c r="C11" s="3354"/>
      <c r="D11" s="3354"/>
    </row>
    <row r="12" spans="1:4" ht="15.75">
      <c r="A12" s="33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9"/>
      <c r="C12" s="3359"/>
      <c r="D12" s="3359"/>
    </row>
    <row r="13" spans="1:4" ht="30" customHeight="1">
      <c r="A13" s="3354" t="str">
        <f>IF(项目基本情况!B8="抵押","3.抵押双方在办理抵押登记手续时，应使用本公司出具的正式《房地产评估报告》，特提醒报告使用者注意。","——")</f>
        <v>——</v>
      </c>
      <c r="B13" s="3359"/>
      <c r="C13" s="3359"/>
      <c r="D13" s="3359"/>
    </row>
    <row r="14" spans="1:4" ht="15.75" customHeight="1">
      <c r="A14" s="3354" t="str">
        <f>IF(项目基本情况!B8="抵押","4.本次评估估价师所知悉的法定优先受偿款情况说明如下：","——")</f>
        <v>——</v>
      </c>
      <c r="B14" s="3359"/>
      <c r="C14" s="3359"/>
      <c r="D14" s="3359"/>
    </row>
    <row r="15" spans="1:4" ht="42" customHeight="1">
      <c r="A15" s="3354" t="str">
        <f>IF(项目基本情况!B8="抵押","（1）"&amp;CONCATENATE(项目基本情况!L20,项目基本情况!L21,项目基本情况!L22),"——")</f>
        <v>——</v>
      </c>
      <c r="B15" s="3354"/>
      <c r="C15" s="3354"/>
      <c r="D15" s="3354"/>
    </row>
    <row r="16" spans="1:4" ht="30" customHeight="1">
      <c r="A16" s="3356" t="s">
        <v>943</v>
      </c>
      <c r="B16" s="3356"/>
      <c r="C16" s="3356"/>
      <c r="D16" s="3356"/>
    </row>
    <row r="17" spans="1:4" ht="144" customHeight="1">
      <c r="A17" s="3356" t="s">
        <v>944</v>
      </c>
      <c r="B17" s="3356"/>
      <c r="C17" s="3356"/>
      <c r="D17" s="3356"/>
    </row>
    <row r="18" spans="1:4" ht="15.75" customHeight="1">
      <c r="A18" s="3354" t="str">
        <f>IF(项目基本情况!B8="抵押",结果表!K120,"——")</f>
        <v>——</v>
      </c>
      <c r="B18" s="3354"/>
      <c r="C18" s="3354"/>
      <c r="D18" s="3354"/>
    </row>
    <row r="19" spans="1:4" ht="46.5" customHeight="1">
      <c r="A19" s="33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945</v>
      </c>
      <c r="B22" s="3358"/>
      <c r="C22" s="3358"/>
      <c r="D22" s="335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55">
        <v>42551</v>
      </c>
      <c r="D31" s="33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68" t="s">
        <v>956</v>
      </c>
      <c r="B15" s="3363" t="s">
        <v>109</v>
      </c>
      <c r="C15" s="3364"/>
    </row>
    <row r="16" spans="1:7" ht="13.5">
      <c r="A16" s="3369"/>
      <c r="B16" s="3363" t="s">
        <v>42</v>
      </c>
      <c r="C16" s="3364"/>
    </row>
    <row r="17" spans="1:3" ht="13.5">
      <c r="A17" s="3369"/>
      <c r="B17" s="3366" t="s">
        <v>957</v>
      </c>
      <c r="C17" s="1429" t="s">
        <v>956</v>
      </c>
    </row>
    <row r="18" spans="1:3" ht="13.5">
      <c r="A18" s="3369"/>
      <c r="B18" s="3366"/>
      <c r="C18" s="1429" t="s">
        <v>958</v>
      </c>
    </row>
    <row r="19" spans="1:3" ht="13.5">
      <c r="A19" s="3369"/>
      <c r="B19" s="3366"/>
      <c r="C19" s="1429" t="s">
        <v>959</v>
      </c>
    </row>
    <row r="20" spans="1:3" ht="13.5">
      <c r="A20" s="3370"/>
      <c r="B20" s="3365" t="s">
        <v>960</v>
      </c>
      <c r="C20" s="3364"/>
    </row>
    <row r="21" spans="1:3" ht="13.5">
      <c r="A21" s="1430" t="s">
        <v>961</v>
      </c>
      <c r="B21" s="1431"/>
      <c r="C21" s="1432"/>
    </row>
    <row r="22" spans="1:3" ht="13.5">
      <c r="A22" s="3367" t="s">
        <v>962</v>
      </c>
      <c r="B22" s="3365" t="s">
        <v>963</v>
      </c>
      <c r="C22" s="3364"/>
    </row>
    <row r="23" spans="1:3" ht="13.5">
      <c r="A23" s="3367"/>
      <c r="B23" s="3365" t="s">
        <v>964</v>
      </c>
      <c r="C23" s="3364"/>
    </row>
    <row r="24" spans="1:3" ht="13.5">
      <c r="A24" s="3367"/>
      <c r="B24" s="3365" t="s">
        <v>965</v>
      </c>
      <c r="C24" s="3364"/>
    </row>
    <row r="25" spans="1:3" ht="13.5">
      <c r="A25" s="3367"/>
      <c r="B25" s="3366" t="s">
        <v>966</v>
      </c>
      <c r="C25" s="1429" t="s">
        <v>967</v>
      </c>
    </row>
    <row r="26" spans="1:3" ht="13.5">
      <c r="A26" s="3367"/>
      <c r="B26" s="3366"/>
      <c r="C26" s="1429" t="s">
        <v>968</v>
      </c>
    </row>
    <row r="27" spans="1:3" ht="13.5">
      <c r="A27" s="3367"/>
      <c r="B27" s="3366"/>
      <c r="C27" s="1429" t="s">
        <v>969</v>
      </c>
    </row>
    <row r="28" spans="1:3" ht="13.5">
      <c r="A28" s="3367"/>
      <c r="B28" s="3366"/>
      <c r="C28" s="1429" t="s">
        <v>970</v>
      </c>
    </row>
    <row r="29" spans="1:3" ht="13.5">
      <c r="A29" s="3367"/>
      <c r="B29" s="3366"/>
      <c r="C29" s="1429" t="s">
        <v>971</v>
      </c>
    </row>
    <row r="30" spans="1:3" ht="13.5">
      <c r="A30" s="3367"/>
      <c r="B30" s="3366"/>
      <c r="C30" s="1429" t="s">
        <v>972</v>
      </c>
    </row>
    <row r="31" spans="1:3" ht="13.5">
      <c r="A31" s="3367"/>
      <c r="B31" s="3366"/>
      <c r="C31" s="1429" t="s">
        <v>973</v>
      </c>
    </row>
    <row r="32" spans="1:3" ht="13.5">
      <c r="A32" s="3367"/>
      <c r="B32" s="3366"/>
      <c r="C32" s="1429" t="s">
        <v>974</v>
      </c>
    </row>
    <row r="33" spans="1:3" ht="13.5">
      <c r="A33" s="3367"/>
      <c r="B33" s="336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71" t="s">
        <v>2160</v>
      </c>
      <c r="B17" s="3371"/>
      <c r="C17" s="3371"/>
      <c r="D17" s="3371"/>
      <c r="E17" s="3371"/>
      <c r="F17" s="3371"/>
      <c r="G17" s="3371"/>
      <c r="H17" s="3371"/>
    </row>
    <row r="18" spans="1:8" ht="24" customHeight="1">
      <c r="A18" s="3372" t="s">
        <v>2161</v>
      </c>
      <c r="B18" s="3372"/>
      <c r="C18" s="3372"/>
      <c r="D18" s="2160"/>
      <c r="E18" s="3373" t="s">
        <v>2162</v>
      </c>
      <c r="F18" s="3372"/>
      <c r="G18" s="337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商业租金</vt:lpstr>
      <vt:lpstr>办公租金</vt:lpstr>
      <vt:lpstr>Sheet4</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2025-09-18T09:19:38Z</dcterms:modified>
</cp:coreProperties>
</file>