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C:\Users\a\Desktop\天溪园20号楼-吴薇-中行\"/>
    </mc:Choice>
  </mc:AlternateContent>
  <xr:revisionPtr revIDLastSave="0" documentId="13_ncr:1_{6FD6605C-F58E-4CE5-ADE8-97CF5AB280CE}" xr6:coauthVersionLast="47" xr6:coauthVersionMax="47" xr10:uidLastSave="{00000000-0000-0000-0000-000000000000}"/>
  <bookViews>
    <workbookView xWindow="-108" yWindow="-108" windowWidth="20376" windowHeight="12216" tabRatio="899" firstSheet="15"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1层" sheetId="9" r:id="rId18"/>
    <sheet name="成本法" sheetId="68" state="hidden" r:id="rId19"/>
    <sheet name="假设开发法" sheetId="12" state="hidden" r:id="rId20"/>
    <sheet name="收益法" sheetId="15" state="hidden" r:id="rId21"/>
    <sheet name="比较法-商业" sheetId="33" r:id="rId22"/>
    <sheet name="收益法 (元)" sheetId="67" r:id="rId23"/>
    <sheet name="典型户型修正" sheetId="31" r:id="rId24"/>
    <sheet name="结果表2层" sheetId="84" state="hidden" r:id="rId25"/>
    <sheet name="比较法-商业2层" sheetId="83" state="hidden" r:id="rId26"/>
    <sheet name="收益法 (元) 2层" sheetId="81" state="hidden" r:id="rId27"/>
    <sheet name="案例" sheetId="80" r:id="rId28"/>
    <sheet name="2025-1-0212复估单" sheetId="82" r:id="rId29"/>
    <sheet name="收益法-酒店模型" sheetId="77" state="hidden" r:id="rId30"/>
    <sheet name="收益法（汇总）" sheetId="70" state="hidden" r:id="rId31"/>
    <sheet name="比较法-住宅" sheetId="21"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基准地价（汇总）" sheetId="76" state="hidden" r:id="rId39"/>
    <sheet name="成本法 (元) 1层" sheetId="86" r:id="rId40"/>
    <sheet name="基准地价修正1层" sheetId="85" r:id="rId41"/>
    <sheet name="成本法 (元)2层" sheetId="69" r:id="rId42"/>
    <sheet name="基准地价修正2层" sheetId="43"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r:id="rId49"/>
    <sheet name="地价" sheetId="71" r:id="rId50"/>
    <sheet name="区片价" sheetId="44" r:id="rId51"/>
    <sheet name="存贷款利率" sheetId="73" r:id="rId52"/>
  </sheets>
  <externalReferences>
    <externalReference r:id="rId53"/>
    <externalReference r:id="rId54"/>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1" hidden="1">'比较法-商业'!$A$1:$L$49</definedName>
    <definedName name="_xlnm._FilterDatabase" localSheetId="25" hidden="1">'比较法-商业2层'!$A$1:$L$49</definedName>
    <definedName name="_xlnm._FilterDatabase" localSheetId="31"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21">'比较法-商业'!$A$1:$K$54,'比较法-商业'!$A$57:$M$131</definedName>
    <definedName name="_xlnm.Print_Area" localSheetId="25">'比较法-商业2层'!$A$1:$K$54,'比较法-商业2层'!$A$57:$M$131</definedName>
    <definedName name="_xlnm.Print_Area" localSheetId="31">'比较法-住宅'!$A$1:$K$54,'比较法-住宅'!$A$57:$M$131</definedName>
    <definedName name="_xlnm.Print_Area" localSheetId="18">成本法!$A$1:$G$57</definedName>
    <definedName name="_xlnm.Print_Area" localSheetId="39">'成本法 (元) 1层'!$A$1:$G$57</definedName>
    <definedName name="_xlnm.Print_Area" localSheetId="41">'成本法 (元)2层'!$A$1:$G$57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40">基准地价修正1层!$A$1:$J$44,基准地价修正1层!$A$47:$H$101,基准地价修正1层!$R$1:$V$16</definedName>
    <definedName name="_xlnm.Print_Area" localSheetId="42">基准地价修正2层!$A$1:$J$44,基准地价修正2层!$A$47:$H$101,基准地价修正2层!$R$1:$V$16</definedName>
    <definedName name="_xlnm.Print_Area" localSheetId="19">假设开发法!$A$1:$K$32</definedName>
    <definedName name="_xlnm.Print_Area" localSheetId="17">结果表1层!$A$1:$I$127</definedName>
    <definedName name="_xlnm.Print_Area" localSheetId="24">结果表2层!$A$1:$I$127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6">'收益法 (元) 2层'!$A$1:$F$43,'收益法 (元) 2层'!$H$3:$M$29,'收益法 (元) 2层'!$A$45:$F$71,'收益法 (元) 2层'!$I$46:$N$65</definedName>
    <definedName name="_xlnm.Print_Area" localSheetId="30">'收益法（汇总）'!$A$1:$F$13</definedName>
    <definedName name="_xlnm.Print_Area" localSheetId="13">'数据-汇总表'!$A$1:$P$32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0">基准地价修正1层!$Q$19:$AD$19</definedName>
    <definedName name="季度">基准地价修正2层!$Q$19:$AD$19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5">'比较法-商业2层'!$B$116:$M$116</definedName>
    <definedName name="商业层高">'比较法-商业'!$B$116:$M$116</definedName>
    <definedName name="商业成新度" localSheetId="25">'比较法-商业2层'!$B$109:$M$109</definedName>
    <definedName name="商业成新度">'比较法-商业'!$B$109:$M$109</definedName>
    <definedName name="商业繁华度">定义!$L$1:$L$6</definedName>
    <definedName name="商业公共部分装修" localSheetId="25">'比较法-商业2层'!$B$107:$M$107</definedName>
    <definedName name="商业公共部分装修">'比较法-商业'!$B$107:$M$107</definedName>
    <definedName name="商业基础设施水平" localSheetId="25">'比较法-商业2层'!$B$112:$M$112</definedName>
    <definedName name="商业基础设施水平">'比较法-商业'!$B$112:$M$112</definedName>
    <definedName name="商业建筑结构" localSheetId="25">'比较法-商业2层'!$B$105:$M$105</definedName>
    <definedName name="商业建筑结构">'比较法-商业'!$B$105:$M$105</definedName>
    <definedName name="商业交易情况" localSheetId="25">'比较法-商业2层'!$A$61:$M$61</definedName>
    <definedName name="商业交易情况">'比较法-商业'!$A$61:$M$61</definedName>
    <definedName name="商业街名称">修正!$C$71:$C$138</definedName>
    <definedName name="商业进深比" localSheetId="25">'比较法-商业2层'!$B$120:$M$120</definedName>
    <definedName name="商业进深比">'比较法-商业'!$B$120:$M$120</definedName>
    <definedName name="商业类型" localSheetId="25">'比较法-商业2层'!$B$100:$M$100</definedName>
    <definedName name="商业类型">'比较法-商业'!$B$100:$M$100</definedName>
    <definedName name="商业临街状况" localSheetId="25">'比较法-商业2层'!$B$86:$M$86</definedName>
    <definedName name="商业临街状况">'比较法-商业'!$B$86:$M$86</definedName>
    <definedName name="商业楼层" localSheetId="25">'比较法-商业2层'!$B$92:$M$92</definedName>
    <definedName name="商业楼层">'比较法-商业'!$B$92:$M$92</definedName>
    <definedName name="商业内部装修" localSheetId="25">'比较法-商业2层'!$B$122:$M$122</definedName>
    <definedName name="商业内部装修">'比较法-商业'!$B$122:$M$122</definedName>
    <definedName name="商业人流量" localSheetId="25">'比较法-商业2层'!$B$90:$M$90</definedName>
    <definedName name="商业人流量">'比较法-商业'!$B$90:$M$90</definedName>
    <definedName name="商业业态" localSheetId="25">'比较法-商业2层'!$B$114:$M$114</definedName>
    <definedName name="商业业态">'比较法-商业'!$B$114:$M$114</definedName>
    <definedName name="商业用途" localSheetId="25">'比较法-商业2层'!$B$63:$M$63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B26" i="31"/>
  <c r="B27" i="31"/>
  <c r="B28" i="31"/>
  <c r="B25" i="31"/>
  <c r="A28" i="31"/>
  <c r="A26" i="31"/>
  <c r="A27" i="31"/>
  <c r="A25" i="31"/>
  <c r="B24" i="31"/>
  <c r="A24" i="31"/>
  <c r="D33" i="85" l="1"/>
  <c r="F48" i="86"/>
  <c r="C48" i="86"/>
  <c r="G41" i="86"/>
  <c r="F39" i="86"/>
  <c r="F38" i="86"/>
  <c r="E37" i="86"/>
  <c r="F36" i="86"/>
  <c r="F35" i="86"/>
  <c r="F30" i="86"/>
  <c r="C30" i="86" s="1"/>
  <c r="G22" i="86"/>
  <c r="F21" i="86"/>
  <c r="F40" i="86" s="1"/>
  <c r="F20" i="86"/>
  <c r="E19" i="86"/>
  <c r="C19" i="86"/>
  <c r="E10" i="86"/>
  <c r="E9" i="86"/>
  <c r="F7" i="86"/>
  <c r="H1" i="86"/>
  <c r="G1" i="86"/>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N101" i="85"/>
  <c r="M101" i="85"/>
  <c r="K101" i="85"/>
  <c r="J101" i="85"/>
  <c r="D101" i="85"/>
  <c r="B101" i="85"/>
  <c r="N100" i="85"/>
  <c r="M100" i="85"/>
  <c r="K100" i="85"/>
  <c r="J100" i="85" s="1"/>
  <c r="D100" i="85"/>
  <c r="B100" i="85"/>
  <c r="M99" i="85"/>
  <c r="N99" i="85" s="1"/>
  <c r="K99" i="85"/>
  <c r="J99" i="85" s="1"/>
  <c r="D99" i="85"/>
  <c r="B99" i="85"/>
  <c r="N98" i="85"/>
  <c r="M98" i="85"/>
  <c r="K98" i="85"/>
  <c r="J98" i="85" s="1"/>
  <c r="D98" i="85"/>
  <c r="N97" i="85"/>
  <c r="M97" i="85"/>
  <c r="K97" i="85"/>
  <c r="J97" i="85" s="1"/>
  <c r="H97" i="85"/>
  <c r="D97" i="85"/>
  <c r="B97" i="85"/>
  <c r="M96" i="85"/>
  <c r="N96" i="85" s="1"/>
  <c r="K96" i="85"/>
  <c r="J96" i="85" s="1"/>
  <c r="D96" i="85"/>
  <c r="N95" i="85"/>
  <c r="M95" i="85"/>
  <c r="K95" i="85"/>
  <c r="J95" i="85"/>
  <c r="D95" i="85"/>
  <c r="B95" i="85"/>
  <c r="N94" i="85"/>
  <c r="M94" i="85"/>
  <c r="K94" i="85"/>
  <c r="J94" i="85" s="1"/>
  <c r="D94" i="85"/>
  <c r="B94" i="85"/>
  <c r="M93" i="85"/>
  <c r="N93" i="85" s="1"/>
  <c r="K93" i="85"/>
  <c r="J93" i="85" s="1"/>
  <c r="F93" i="85"/>
  <c r="D93" i="85"/>
  <c r="N90" i="85"/>
  <c r="M90" i="85"/>
  <c r="K90" i="85"/>
  <c r="J90" i="85" s="1"/>
  <c r="H90" i="85"/>
  <c r="D90" i="85"/>
  <c r="B90" i="85"/>
  <c r="M89" i="85"/>
  <c r="N89" i="85" s="1"/>
  <c r="K89" i="85"/>
  <c r="J89" i="85" s="1"/>
  <c r="D89" i="85"/>
  <c r="N88" i="85"/>
  <c r="M88" i="85"/>
  <c r="K88" i="85"/>
  <c r="J88" i="85"/>
  <c r="D88" i="85"/>
  <c r="B88" i="85"/>
  <c r="N87" i="85"/>
  <c r="M87" i="85"/>
  <c r="K87" i="85"/>
  <c r="J87" i="85" s="1"/>
  <c r="H87" i="85"/>
  <c r="D87" i="85"/>
  <c r="B87" i="85"/>
  <c r="M86" i="85"/>
  <c r="N86" i="85" s="1"/>
  <c r="K86" i="85"/>
  <c r="J86" i="85" s="1"/>
  <c r="D86" i="85"/>
  <c r="E83" i="85" s="1"/>
  <c r="B81" i="85" s="1"/>
  <c r="B86" i="85"/>
  <c r="N85" i="85"/>
  <c r="M85" i="85"/>
  <c r="K85" i="85"/>
  <c r="J85" i="85" s="1"/>
  <c r="D85" i="85"/>
  <c r="B85" i="85"/>
  <c r="N84" i="85"/>
  <c r="M84" i="85"/>
  <c r="K84" i="85"/>
  <c r="J84" i="85"/>
  <c r="D84" i="85"/>
  <c r="B84" i="85"/>
  <c r="N83" i="85"/>
  <c r="M83" i="85"/>
  <c r="K83" i="85"/>
  <c r="J83" i="85" s="1"/>
  <c r="H83" i="85"/>
  <c r="F83" i="85"/>
  <c r="H88" i="85" s="1"/>
  <c r="D83" i="85"/>
  <c r="B83" i="85"/>
  <c r="N80" i="85"/>
  <c r="M80" i="85"/>
  <c r="K80" i="85"/>
  <c r="J80" i="85" s="1"/>
  <c r="D80" i="85"/>
  <c r="N79" i="85"/>
  <c r="M79" i="85"/>
  <c r="K79" i="85"/>
  <c r="J79" i="85" s="1"/>
  <c r="H79" i="85"/>
  <c r="D79" i="85"/>
  <c r="B79" i="85"/>
  <c r="M78" i="85"/>
  <c r="N78" i="85" s="1"/>
  <c r="K78" i="85"/>
  <c r="J78" i="85" s="1"/>
  <c r="D78" i="85"/>
  <c r="N77" i="85"/>
  <c r="M77" i="85"/>
  <c r="K77" i="85"/>
  <c r="J77" i="85"/>
  <c r="D77" i="85"/>
  <c r="B77" i="85"/>
  <c r="N76" i="85"/>
  <c r="M76" i="85"/>
  <c r="K76" i="85"/>
  <c r="J76" i="85" s="1"/>
  <c r="H76" i="85"/>
  <c r="D76" i="85"/>
  <c r="B76" i="85"/>
  <c r="M75" i="85"/>
  <c r="N75" i="85" s="1"/>
  <c r="K75" i="85"/>
  <c r="J75" i="85" s="1"/>
  <c r="D75" i="85"/>
  <c r="E72" i="85" s="1"/>
  <c r="B70" i="85" s="1"/>
  <c r="B75" i="85"/>
  <c r="N74" i="85"/>
  <c r="M74" i="85"/>
  <c r="K74" i="85"/>
  <c r="J74" i="85" s="1"/>
  <c r="D74" i="85"/>
  <c r="B74" i="85"/>
  <c r="N73" i="85"/>
  <c r="M73" i="85"/>
  <c r="K73" i="85"/>
  <c r="J73" i="85"/>
  <c r="D73" i="85"/>
  <c r="B73" i="85"/>
  <c r="N72" i="85"/>
  <c r="M72" i="85"/>
  <c r="K72" i="85"/>
  <c r="J72" i="85" s="1"/>
  <c r="H72" i="85"/>
  <c r="F72" i="85"/>
  <c r="H77" i="85" s="1"/>
  <c r="D72" i="85"/>
  <c r="B72" i="85"/>
  <c r="N69" i="85"/>
  <c r="M69" i="85"/>
  <c r="K69" i="85"/>
  <c r="J69" i="85" s="1"/>
  <c r="D69" i="85"/>
  <c r="B69" i="85"/>
  <c r="N68" i="85"/>
  <c r="M68" i="85"/>
  <c r="K68" i="85"/>
  <c r="J68" i="85"/>
  <c r="D68" i="85"/>
  <c r="B68" i="85"/>
  <c r="N67" i="85"/>
  <c r="M67" i="85"/>
  <c r="K67" i="85"/>
  <c r="J67" i="85" s="1"/>
  <c r="H67" i="85"/>
  <c r="D67" i="85"/>
  <c r="B67" i="85"/>
  <c r="M66" i="85"/>
  <c r="N66" i="85" s="1"/>
  <c r="K66" i="85"/>
  <c r="J66" i="85" s="1"/>
  <c r="D66" i="85"/>
  <c r="N65" i="85"/>
  <c r="M65" i="85"/>
  <c r="K65" i="85"/>
  <c r="J65" i="85"/>
  <c r="D65" i="85"/>
  <c r="B65" i="85"/>
  <c r="N64" i="85"/>
  <c r="M64" i="85"/>
  <c r="K64" i="85"/>
  <c r="J64" i="85" s="1"/>
  <c r="H64" i="85"/>
  <c r="D64" i="85"/>
  <c r="N63" i="85"/>
  <c r="M63" i="85"/>
  <c r="K63" i="85"/>
  <c r="J63" i="85" s="1"/>
  <c r="D63" i="85"/>
  <c r="B63" i="85"/>
  <c r="N62" i="85"/>
  <c r="M62" i="85"/>
  <c r="K62" i="85"/>
  <c r="J62" i="85"/>
  <c r="D62" i="85"/>
  <c r="B62" i="85"/>
  <c r="N61" i="85"/>
  <c r="M61" i="85"/>
  <c r="K61" i="85"/>
  <c r="J61" i="85" s="1"/>
  <c r="H61" i="85"/>
  <c r="F61" i="85"/>
  <c r="H68" i="85" s="1"/>
  <c r="D61" i="85"/>
  <c r="B61" i="85"/>
  <c r="N58" i="85"/>
  <c r="M58" i="85"/>
  <c r="K58" i="85"/>
  <c r="B58" i="85"/>
  <c r="N57" i="85"/>
  <c r="M57" i="85"/>
  <c r="K57" i="85"/>
  <c r="J57" i="85"/>
  <c r="D57" i="85" s="1"/>
  <c r="B57" i="85"/>
  <c r="N56" i="85"/>
  <c r="M56" i="85"/>
  <c r="K56" i="85"/>
  <c r="J56" i="85" s="1"/>
  <c r="D56" i="85"/>
  <c r="B56" i="85"/>
  <c r="M55" i="85"/>
  <c r="N55" i="85" s="1"/>
  <c r="K55" i="85"/>
  <c r="N54" i="85"/>
  <c r="M54" i="85"/>
  <c r="K54" i="85"/>
  <c r="J54" i="85"/>
  <c r="D54" i="85"/>
  <c r="B54" i="85"/>
  <c r="N53" i="85"/>
  <c r="M53" i="85"/>
  <c r="K53" i="85"/>
  <c r="J53" i="85" s="1"/>
  <c r="D53" i="85"/>
  <c r="N52" i="85"/>
  <c r="M52" i="85"/>
  <c r="K52" i="85"/>
  <c r="B52" i="85"/>
  <c r="N51" i="85"/>
  <c r="M51" i="85"/>
  <c r="K51" i="85"/>
  <c r="J51" i="85"/>
  <c r="D51" i="85"/>
  <c r="B51" i="85"/>
  <c r="M50" i="85"/>
  <c r="N50" i="85" s="1"/>
  <c r="K50" i="85"/>
  <c r="J50" i="85" s="1"/>
  <c r="B50" i="85"/>
  <c r="H42" i="85"/>
  <c r="H41" i="85"/>
  <c r="F41" i="85"/>
  <c r="H40" i="85"/>
  <c r="H39" i="85"/>
  <c r="H38" i="85"/>
  <c r="H37" i="85"/>
  <c r="P32" i="85"/>
  <c r="P29" i="85"/>
  <c r="P28" i="85"/>
  <c r="P26" i="85"/>
  <c r="P25" i="85"/>
  <c r="M24" i="85"/>
  <c r="J24" i="85"/>
  <c r="I24" i="85"/>
  <c r="G24" i="85"/>
  <c r="E24" i="85"/>
  <c r="O32" i="85" s="1"/>
  <c r="O23" i="85"/>
  <c r="M23" i="85"/>
  <c r="I23" i="85"/>
  <c r="G23" i="85"/>
  <c r="P27" i="85" s="1"/>
  <c r="C23" i="85"/>
  <c r="C22" i="85"/>
  <c r="L21" i="85"/>
  <c r="C20" i="85"/>
  <c r="G18" i="85"/>
  <c r="G17" i="85"/>
  <c r="C17" i="85"/>
  <c r="C13" i="85"/>
  <c r="AI10" i="85"/>
  <c r="AH10" i="85"/>
  <c r="AA10" i="85"/>
  <c r="Y10" i="85"/>
  <c r="C10" i="85"/>
  <c r="C11" i="85" s="1"/>
  <c r="AJ9" i="85"/>
  <c r="AJ10" i="85" s="1"/>
  <c r="AI9" i="85"/>
  <c r="AH9" i="85"/>
  <c r="AG9" i="85"/>
  <c r="AG10" i="85" s="1"/>
  <c r="AF9" i="85"/>
  <c r="AF10" i="85" s="1"/>
  <c r="AE9" i="85"/>
  <c r="AE10" i="85" s="1"/>
  <c r="AD9" i="85"/>
  <c r="AD10" i="85" s="1"/>
  <c r="AC9" i="85"/>
  <c r="AC10" i="85" s="1"/>
  <c r="AB9" i="85"/>
  <c r="AB10" i="85" s="1"/>
  <c r="AA9" i="85"/>
  <c r="Z9" i="85"/>
  <c r="Z10" i="85" s="1"/>
  <c r="C9" i="85"/>
  <c r="X7" i="85"/>
  <c r="C7" i="85"/>
  <c r="S6" i="85"/>
  <c r="G3" i="85"/>
  <c r="G26" i="85" s="1"/>
  <c r="I2" i="85"/>
  <c r="M7" i="85" s="1"/>
  <c r="G2" i="85"/>
  <c r="D1" i="85"/>
  <c r="A120" i="84"/>
  <c r="E111" i="84"/>
  <c r="H112" i="84" s="1"/>
  <c r="E109" i="84"/>
  <c r="A124" i="84" s="1"/>
  <c r="E107" i="84"/>
  <c r="A122" i="84" s="1"/>
  <c r="H106" i="84"/>
  <c r="H105" i="84"/>
  <c r="H104" i="84"/>
  <c r="H103" i="84"/>
  <c r="D120" i="84" s="1"/>
  <c r="D101" i="84"/>
  <c r="C101" i="84"/>
  <c r="D93" i="84"/>
  <c r="C91" i="84"/>
  <c r="E90" i="84"/>
  <c r="D89" i="84"/>
  <c r="C89" i="84" s="1"/>
  <c r="C87" i="84" s="1"/>
  <c r="D78" i="84"/>
  <c r="H77" i="84"/>
  <c r="D77" i="84"/>
  <c r="C77" i="84" s="1"/>
  <c r="C74" i="84" s="1"/>
  <c r="C76" i="84"/>
  <c r="D68" i="84"/>
  <c r="F59" i="84"/>
  <c r="E59" i="84"/>
  <c r="N55" i="84" s="1"/>
  <c r="N56" i="84"/>
  <c r="M56" i="84"/>
  <c r="K56" i="84"/>
  <c r="J56" i="84"/>
  <c r="F56" i="84"/>
  <c r="O55" i="84"/>
  <c r="K55" i="84"/>
  <c r="J55" i="84"/>
  <c r="J57" i="84" s="1"/>
  <c r="J59" i="84" s="1"/>
  <c r="J61" i="84" s="1"/>
  <c r="I55" i="84"/>
  <c r="F55" i="84"/>
  <c r="O53" i="84" s="1"/>
  <c r="O54" i="84"/>
  <c r="N54" i="84"/>
  <c r="F54" i="84"/>
  <c r="N53" i="84"/>
  <c r="F53" i="84"/>
  <c r="F52" i="84"/>
  <c r="K49" i="84"/>
  <c r="F48" i="84"/>
  <c r="O52" i="84" s="1"/>
  <c r="E48" i="84"/>
  <c r="N52" i="84" s="1"/>
  <c r="D48" i="84"/>
  <c r="M52" i="84" s="1"/>
  <c r="M47" i="84"/>
  <c r="C35" i="84"/>
  <c r="G118" i="84" s="1"/>
  <c r="C34" i="84"/>
  <c r="E118" i="84" s="1"/>
  <c r="F33" i="84"/>
  <c r="D27" i="84"/>
  <c r="C25" i="84"/>
  <c r="C24" i="84"/>
  <c r="M18" i="84"/>
  <c r="B118" i="84" s="1"/>
  <c r="D17" i="84"/>
  <c r="C17" i="84"/>
  <c r="C18" i="84" s="1"/>
  <c r="D18" i="84" s="1"/>
  <c r="L4" i="84"/>
  <c r="K4" i="84"/>
  <c r="H1" i="84"/>
  <c r="B130" i="83"/>
  <c r="B128" i="83"/>
  <c r="B126" i="83"/>
  <c r="G125" i="83"/>
  <c r="D125" i="83"/>
  <c r="E125" i="83" s="1"/>
  <c r="F125" i="83" s="1"/>
  <c r="E123" i="83"/>
  <c r="F123" i="83" s="1"/>
  <c r="G123" i="83" s="1"/>
  <c r="H123" i="83" s="1"/>
  <c r="I123" i="83" s="1"/>
  <c r="J123" i="83" s="1"/>
  <c r="K123" i="83" s="1"/>
  <c r="L123" i="83" s="1"/>
  <c r="M123" i="83" s="1"/>
  <c r="D123" i="83"/>
  <c r="D121" i="83"/>
  <c r="E121" i="83" s="1"/>
  <c r="F121" i="83" s="1"/>
  <c r="G121" i="83" s="1"/>
  <c r="H121" i="83" s="1"/>
  <c r="I121" i="83" s="1"/>
  <c r="J121" i="83" s="1"/>
  <c r="K121" i="83" s="1"/>
  <c r="L121" i="83" s="1"/>
  <c r="M121" i="83" s="1"/>
  <c r="D117" i="83"/>
  <c r="E117" i="83" s="1"/>
  <c r="F117" i="83" s="1"/>
  <c r="G117" i="83" s="1"/>
  <c r="I115" i="83"/>
  <c r="J115" i="83" s="1"/>
  <c r="K115" i="83" s="1"/>
  <c r="L115" i="83" s="1"/>
  <c r="M115" i="83" s="1"/>
  <c r="E115" i="83"/>
  <c r="F115" i="83" s="1"/>
  <c r="G115" i="83" s="1"/>
  <c r="H115" i="83" s="1"/>
  <c r="D115" i="83"/>
  <c r="G113" i="83"/>
  <c r="H113" i="83" s="1"/>
  <c r="I113" i="83" s="1"/>
  <c r="J113" i="83" s="1"/>
  <c r="K113" i="83" s="1"/>
  <c r="L113" i="83" s="1"/>
  <c r="M113" i="83" s="1"/>
  <c r="D113" i="83"/>
  <c r="E113" i="83" s="1"/>
  <c r="F113" i="83" s="1"/>
  <c r="E111" i="83"/>
  <c r="F111" i="83" s="1"/>
  <c r="G111" i="83" s="1"/>
  <c r="H111" i="83" s="1"/>
  <c r="I111" i="83" s="1"/>
  <c r="J111" i="83" s="1"/>
  <c r="K111" i="83" s="1"/>
  <c r="L111" i="83" s="1"/>
  <c r="M111" i="83" s="1"/>
  <c r="D111" i="83"/>
  <c r="G109" i="83"/>
  <c r="F109" i="83"/>
  <c r="E109" i="83"/>
  <c r="D109" i="83"/>
  <c r="C109" i="83"/>
  <c r="H108" i="83"/>
  <c r="I108" i="83" s="1"/>
  <c r="J108" i="83" s="1"/>
  <c r="K108" i="83" s="1"/>
  <c r="L108" i="83" s="1"/>
  <c r="M108" i="83" s="1"/>
  <c r="D108" i="83"/>
  <c r="E108" i="83" s="1"/>
  <c r="F108" i="83" s="1"/>
  <c r="G108" i="83" s="1"/>
  <c r="D106" i="83"/>
  <c r="E106" i="83" s="1"/>
  <c r="F106" i="83" s="1"/>
  <c r="G106" i="83" s="1"/>
  <c r="H106" i="83" s="1"/>
  <c r="I106" i="83" s="1"/>
  <c r="J106" i="83" s="1"/>
  <c r="K106" i="83" s="1"/>
  <c r="L106" i="83" s="1"/>
  <c r="M106" i="83" s="1"/>
  <c r="I104" i="83"/>
  <c r="J104" i="83" s="1"/>
  <c r="E104" i="83"/>
  <c r="F104" i="83" s="1"/>
  <c r="G104" i="83" s="1"/>
  <c r="H104" i="83" s="1"/>
  <c r="D104" i="83"/>
  <c r="M102" i="83"/>
  <c r="L102" i="83"/>
  <c r="K102" i="83"/>
  <c r="J102" i="83"/>
  <c r="I102" i="83"/>
  <c r="H102" i="83"/>
  <c r="G102" i="83"/>
  <c r="F102" i="83"/>
  <c r="E102" i="83"/>
  <c r="D102" i="83"/>
  <c r="C102" i="83"/>
  <c r="F101" i="83"/>
  <c r="G101" i="83" s="1"/>
  <c r="H101" i="83" s="1"/>
  <c r="I101" i="83" s="1"/>
  <c r="J101" i="83" s="1"/>
  <c r="K101" i="83" s="1"/>
  <c r="L101" i="83" s="1"/>
  <c r="M101" i="83" s="1"/>
  <c r="D101" i="83"/>
  <c r="E101" i="83" s="1"/>
  <c r="B98" i="83"/>
  <c r="B96" i="83"/>
  <c r="H30" i="83" s="1"/>
  <c r="B94" i="83"/>
  <c r="B92" i="83"/>
  <c r="D91" i="83"/>
  <c r="E91" i="83" s="1"/>
  <c r="F91" i="83" s="1"/>
  <c r="G91" i="83" s="1"/>
  <c r="H91" i="83" s="1"/>
  <c r="I91" i="83" s="1"/>
  <c r="J91" i="83" s="1"/>
  <c r="K91" i="83" s="1"/>
  <c r="L91" i="83" s="1"/>
  <c r="M91" i="83" s="1"/>
  <c r="B90" i="83"/>
  <c r="B88" i="83"/>
  <c r="H87" i="83"/>
  <c r="I87" i="83" s="1"/>
  <c r="J87" i="83" s="1"/>
  <c r="K87" i="83" s="1"/>
  <c r="L87" i="83" s="1"/>
  <c r="M87" i="83" s="1"/>
  <c r="D87" i="83"/>
  <c r="E87" i="83" s="1"/>
  <c r="F87" i="83" s="1"/>
  <c r="G87" i="83" s="1"/>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E69" i="83"/>
  <c r="F69" i="83" s="1"/>
  <c r="G69" i="83" s="1"/>
  <c r="H69" i="83" s="1"/>
  <c r="I69" i="83" s="1"/>
  <c r="J69" i="83" s="1"/>
  <c r="K69" i="83" s="1"/>
  <c r="L69" i="83" s="1"/>
  <c r="M69" i="83" s="1"/>
  <c r="D69" i="83"/>
  <c r="M67" i="83"/>
  <c r="L67" i="83"/>
  <c r="K67" i="83"/>
  <c r="J67" i="83"/>
  <c r="I67" i="83"/>
  <c r="H67" i="83"/>
  <c r="G67" i="83"/>
  <c r="F67" i="83"/>
  <c r="E67" i="83"/>
  <c r="D67" i="83"/>
  <c r="C67" i="83"/>
  <c r="C63" i="83"/>
  <c r="I54" i="83"/>
  <c r="J54" i="83" s="1"/>
  <c r="G54" i="83"/>
  <c r="H54" i="83" s="1"/>
  <c r="E54" i="83"/>
  <c r="F54" i="83" s="1"/>
  <c r="P49" i="83"/>
  <c r="P48" i="83"/>
  <c r="K48" i="83"/>
  <c r="V47" i="83"/>
  <c r="T47" i="83"/>
  <c r="R47" i="83"/>
  <c r="P47" i="83"/>
  <c r="Z46" i="83"/>
  <c r="Q46" i="83"/>
  <c r="J46" i="83"/>
  <c r="AC46" i="83" s="1"/>
  <c r="H46" i="83"/>
  <c r="AB46" i="83" s="1"/>
  <c r="F46" i="83"/>
  <c r="AA46" i="83" s="1"/>
  <c r="Q45" i="83"/>
  <c r="Z45" i="83" s="1"/>
  <c r="J45" i="83"/>
  <c r="AC45" i="83" s="1"/>
  <c r="H45" i="83"/>
  <c r="AB45" i="83" s="1"/>
  <c r="F45" i="83"/>
  <c r="AA45" i="83" s="1"/>
  <c r="U44" i="83"/>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W41" i="83" s="1"/>
  <c r="H41" i="83"/>
  <c r="AB41" i="83" s="1"/>
  <c r="F41" i="83"/>
  <c r="AA41" i="83" s="1"/>
  <c r="Q40" i="83"/>
  <c r="Z40" i="83" s="1"/>
  <c r="J40" i="83"/>
  <c r="AC40" i="83" s="1"/>
  <c r="H40" i="83"/>
  <c r="AB40" i="83" s="1"/>
  <c r="F40" i="83"/>
  <c r="AA40" i="83" s="1"/>
  <c r="Q39" i="83"/>
  <c r="Z39" i="83" s="1"/>
  <c r="J39" i="83"/>
  <c r="AC39" i="83" s="1"/>
  <c r="H39" i="83"/>
  <c r="AB39" i="83" s="1"/>
  <c r="F39" i="83"/>
  <c r="S39" i="83" s="1"/>
  <c r="Z38" i="83"/>
  <c r="Q38" i="83"/>
  <c r="J38" i="83"/>
  <c r="AC38" i="83" s="1"/>
  <c r="H38" i="83"/>
  <c r="AB38" i="83" s="1"/>
  <c r="F38" i="83"/>
  <c r="AA38" i="83" s="1"/>
  <c r="Q37" i="83"/>
  <c r="Z37" i="83" s="1"/>
  <c r="J37" i="83"/>
  <c r="AC37" i="83" s="1"/>
  <c r="H37" i="83"/>
  <c r="AB37" i="83" s="1"/>
  <c r="F37" i="83"/>
  <c r="AA37" i="83" s="1"/>
  <c r="Q36" i="83"/>
  <c r="Z36" i="83" s="1"/>
  <c r="Q35" i="83"/>
  <c r="Z35" i="83" s="1"/>
  <c r="J35" i="83"/>
  <c r="AC35" i="83" s="1"/>
  <c r="H35" i="83"/>
  <c r="AB35" i="83" s="1"/>
  <c r="F35" i="83"/>
  <c r="S35" i="83" s="1"/>
  <c r="Z34" i="83"/>
  <c r="Q34" i="83"/>
  <c r="J34" i="83"/>
  <c r="AC34" i="83" s="1"/>
  <c r="H34" i="83"/>
  <c r="AB34" i="83" s="1"/>
  <c r="F34" i="83"/>
  <c r="AA34" i="83" s="1"/>
  <c r="W33" i="83"/>
  <c r="S33" i="83"/>
  <c r="Q33" i="83"/>
  <c r="Z33" i="83" s="1"/>
  <c r="J33" i="83"/>
  <c r="AC33" i="83" s="1"/>
  <c r="F33" i="83"/>
  <c r="AA33" i="83" s="1"/>
  <c r="C33" i="83"/>
  <c r="H33" i="83" s="1"/>
  <c r="Q32" i="83"/>
  <c r="Z32" i="83" s="1"/>
  <c r="J32" i="83"/>
  <c r="W32" i="83" s="1"/>
  <c r="H32" i="83"/>
  <c r="AB32" i="83" s="1"/>
  <c r="F32" i="83"/>
  <c r="S32" i="83" s="1"/>
  <c r="Q31" i="83"/>
  <c r="Z31" i="83" s="1"/>
  <c r="J31" i="83"/>
  <c r="AC31" i="83" s="1"/>
  <c r="H31" i="83"/>
  <c r="U31" i="83" s="1"/>
  <c r="F31" i="83"/>
  <c r="AA31" i="83" s="1"/>
  <c r="AC30" i="83"/>
  <c r="W30" i="83"/>
  <c r="Q30" i="83"/>
  <c r="Z30" i="83" s="1"/>
  <c r="J30" i="83"/>
  <c r="F30" i="83"/>
  <c r="S30" i="83" s="1"/>
  <c r="Q29" i="83"/>
  <c r="Z29" i="83" s="1"/>
  <c r="J29" i="83"/>
  <c r="AC29" i="83" s="1"/>
  <c r="H29" i="83"/>
  <c r="AB29" i="83" s="1"/>
  <c r="F29" i="83"/>
  <c r="AA29" i="83" s="1"/>
  <c r="AC28" i="83"/>
  <c r="AA28" i="83"/>
  <c r="W28" i="83"/>
  <c r="Q28" i="83"/>
  <c r="Z28" i="83" s="1"/>
  <c r="J28" i="83"/>
  <c r="H28" i="83"/>
  <c r="AB28" i="83" s="1"/>
  <c r="F28" i="83"/>
  <c r="S28" i="83" s="1"/>
  <c r="Z27" i="83"/>
  <c r="U27" i="83"/>
  <c r="Q27" i="83"/>
  <c r="J27" i="83"/>
  <c r="AC27" i="83" s="1"/>
  <c r="H27" i="83"/>
  <c r="AB27" i="83" s="1"/>
  <c r="F27" i="83"/>
  <c r="AA27" i="83" s="1"/>
  <c r="AB26" i="83"/>
  <c r="Q26" i="83"/>
  <c r="Z26" i="83" s="1"/>
  <c r="J26" i="83"/>
  <c r="W26" i="83" s="1"/>
  <c r="H26" i="83"/>
  <c r="U26" i="83" s="1"/>
  <c r="F26" i="83"/>
  <c r="AA26" i="83" s="1"/>
  <c r="AA25" i="83"/>
  <c r="Q25" i="83"/>
  <c r="Z25" i="83" s="1"/>
  <c r="J25" i="83"/>
  <c r="AC25" i="83" s="1"/>
  <c r="H25" i="83"/>
  <c r="AB25" i="83" s="1"/>
  <c r="F25" i="83"/>
  <c r="S25" i="83" s="1"/>
  <c r="AC23" i="83"/>
  <c r="Z23" i="83"/>
  <c r="Q23" i="83"/>
  <c r="J23" i="83"/>
  <c r="W23" i="83" s="1"/>
  <c r="H23" i="83"/>
  <c r="F23" i="83"/>
  <c r="S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U8" i="83"/>
  <c r="J8" i="83"/>
  <c r="H8" i="83"/>
  <c r="AB8" i="83" s="1"/>
  <c r="F8" i="83"/>
  <c r="S8" i="83" s="1"/>
  <c r="I7" i="83"/>
  <c r="J7" i="83" s="1"/>
  <c r="G7" i="83"/>
  <c r="H7" i="83" s="1"/>
  <c r="E7" i="83"/>
  <c r="F7" i="83" s="1"/>
  <c r="C7" i="83"/>
  <c r="C58" i="83" s="1"/>
  <c r="D58" i="83" s="1"/>
  <c r="E58" i="83" s="1"/>
  <c r="F58" i="83" s="1"/>
  <c r="G58" i="83" s="1"/>
  <c r="H58" i="83" s="1"/>
  <c r="I58" i="83" s="1"/>
  <c r="J58" i="83" s="1"/>
  <c r="K58" i="83" s="1"/>
  <c r="L58" i="83" s="1"/>
  <c r="M58" i="83" s="1"/>
  <c r="N58" i="83" s="1"/>
  <c r="O58" i="83" s="1"/>
  <c r="D3" i="83"/>
  <c r="N10" i="82"/>
  <c r="G10" i="82"/>
  <c r="T9" i="82"/>
  <c r="S9" i="82"/>
  <c r="U9" i="82" s="1"/>
  <c r="R9" i="82"/>
  <c r="P9" i="82"/>
  <c r="O9" i="82"/>
  <c r="R8" i="82"/>
  <c r="T8" i="82" s="1"/>
  <c r="P8" i="82"/>
  <c r="O8" i="82"/>
  <c r="T7" i="82"/>
  <c r="S7" i="82"/>
  <c r="U7" i="82" s="1"/>
  <c r="R7" i="82"/>
  <c r="P7" i="82"/>
  <c r="O7" i="82"/>
  <c r="T6" i="82"/>
  <c r="S6" i="82"/>
  <c r="P6" i="82"/>
  <c r="O6" i="82"/>
  <c r="U6" i="82" s="1"/>
  <c r="T5" i="82"/>
  <c r="S5" i="82"/>
  <c r="U5" i="82" s="1"/>
  <c r="P5" i="82"/>
  <c r="O5" i="82"/>
  <c r="T4" i="82"/>
  <c r="S4" i="82"/>
  <c r="U4" i="82" s="1"/>
  <c r="P4" i="82"/>
  <c r="O4" i="82"/>
  <c r="T3" i="82"/>
  <c r="S3" i="82"/>
  <c r="P3" i="82"/>
  <c r="O3" i="82"/>
  <c r="U3" i="82" s="1"/>
  <c r="T2" i="82"/>
  <c r="S2" i="82"/>
  <c r="U2" i="82" s="1"/>
  <c r="P2" i="82"/>
  <c r="O2" i="82"/>
  <c r="D3" i="31"/>
  <c r="E3" i="31"/>
  <c r="F3" i="31"/>
  <c r="G3" i="31"/>
  <c r="H3" i="31"/>
  <c r="I3" i="31"/>
  <c r="J3" i="31"/>
  <c r="D4" i="31"/>
  <c r="E4" i="31"/>
  <c r="F4" i="31"/>
  <c r="G4" i="31"/>
  <c r="H4" i="31"/>
  <c r="I4" i="31"/>
  <c r="J4" i="31"/>
  <c r="C4" i="31"/>
  <c r="C3" i="31"/>
  <c r="Q72" i="81"/>
  <c r="Q59" i="81"/>
  <c r="K59" i="81"/>
  <c r="P74" i="81" s="1"/>
  <c r="F59" i="81"/>
  <c r="Q58" i="81"/>
  <c r="Q51" i="81"/>
  <c r="J50" i="81"/>
  <c r="M47" i="81"/>
  <c r="D46" i="81"/>
  <c r="F34" i="81"/>
  <c r="F62" i="81" s="1"/>
  <c r="F33" i="81"/>
  <c r="F61" i="81" s="1"/>
  <c r="F32" i="81"/>
  <c r="F60" i="81" s="1"/>
  <c r="F31" i="81"/>
  <c r="F28" i="81"/>
  <c r="C28" i="81"/>
  <c r="F23" i="81"/>
  <c r="D24" i="81" s="1"/>
  <c r="D23" i="81"/>
  <c r="D22" i="81"/>
  <c r="F21" i="81"/>
  <c r="M20" i="81"/>
  <c r="F20" i="81"/>
  <c r="M19" i="81"/>
  <c r="M18" i="81"/>
  <c r="F18" i="81"/>
  <c r="M17" i="81"/>
  <c r="F17" i="81"/>
  <c r="F15" i="81"/>
  <c r="I7" i="33"/>
  <c r="G7" i="33"/>
  <c r="E7" i="33"/>
  <c r="D104" i="33"/>
  <c r="E104" i="33" s="1"/>
  <c r="F104" i="33" s="1"/>
  <c r="G104" i="33" s="1"/>
  <c r="H104" i="33" s="1"/>
  <c r="I104" i="33" s="1"/>
  <c r="J104" i="33" s="1"/>
  <c r="C33" i="33"/>
  <c r="B58" i="1"/>
  <c r="B21" i="1"/>
  <c r="N18" i="1"/>
  <c r="N19" i="1" s="1"/>
  <c r="N6" i="1" s="1"/>
  <c r="F19" i="6"/>
  <c r="G14" i="73"/>
  <c r="F14" i="73"/>
  <c r="E14" i="73"/>
  <c r="D2" i="83"/>
  <c r="D9" i="86"/>
  <c r="E2" i="86"/>
  <c r="F27" i="86"/>
  <c r="Z7" i="85" l="1"/>
  <c r="E26" i="85"/>
  <c r="C36" i="33"/>
  <c r="C36" i="83"/>
  <c r="Y6" i="1"/>
  <c r="J49" i="67"/>
  <c r="J49" i="81"/>
  <c r="J51" i="81" s="1"/>
  <c r="F45" i="86"/>
  <c r="C9" i="86"/>
  <c r="C40" i="86"/>
  <c r="C21" i="86"/>
  <c r="C29" i="86" s="1"/>
  <c r="D27" i="86" s="1"/>
  <c r="E11" i="85"/>
  <c r="E8" i="85"/>
  <c r="E10" i="85"/>
  <c r="J55" i="85"/>
  <c r="D55" i="85"/>
  <c r="H101" i="85"/>
  <c r="H95" i="85"/>
  <c r="H98" i="85"/>
  <c r="H99" i="85"/>
  <c r="H96" i="85"/>
  <c r="H93" i="85"/>
  <c r="H100" i="85"/>
  <c r="H94" i="85"/>
  <c r="M1" i="85"/>
  <c r="M5" i="85"/>
  <c r="C6" i="85" s="1"/>
  <c r="E17" i="85"/>
  <c r="D52" i="85"/>
  <c r="J52" i="85"/>
  <c r="D58" i="85"/>
  <c r="J58" i="85"/>
  <c r="N12" i="85"/>
  <c r="N11" i="85"/>
  <c r="M12" i="85"/>
  <c r="N10" i="85"/>
  <c r="M8" i="85"/>
  <c r="N6" i="85"/>
  <c r="N3" i="85"/>
  <c r="M10" i="85"/>
  <c r="N9" i="85"/>
  <c r="M6" i="85"/>
  <c r="N4" i="85"/>
  <c r="N2" i="85"/>
  <c r="M9" i="85"/>
  <c r="N7" i="85"/>
  <c r="N5" i="85"/>
  <c r="F50" i="85" s="1"/>
  <c r="M4" i="85"/>
  <c r="M2" i="85"/>
  <c r="N1" i="85"/>
  <c r="N8" i="85"/>
  <c r="M3" i="85"/>
  <c r="E9" i="85"/>
  <c r="M11" i="85"/>
  <c r="H21" i="85"/>
  <c r="M21" i="85"/>
  <c r="F26" i="85"/>
  <c r="D26" i="85" s="1"/>
  <c r="C27" i="85"/>
  <c r="C25" i="85" s="1"/>
  <c r="Q32" i="85"/>
  <c r="S3" i="85"/>
  <c r="S5" i="85"/>
  <c r="C21" i="85"/>
  <c r="I21" i="85"/>
  <c r="O21" i="85"/>
  <c r="E44" i="85"/>
  <c r="C44" i="85" s="1"/>
  <c r="C24" i="85"/>
  <c r="I18" i="85"/>
  <c r="M32" i="85"/>
  <c r="F39" i="85"/>
  <c r="E61" i="85"/>
  <c r="B59" i="85" s="1"/>
  <c r="H116" i="85"/>
  <c r="F42" i="85"/>
  <c r="F40" i="85"/>
  <c r="F38" i="85"/>
  <c r="F37" i="85"/>
  <c r="N21" i="85"/>
  <c r="J21" i="85"/>
  <c r="E21" i="85"/>
  <c r="S2" i="85"/>
  <c r="H26" i="85"/>
  <c r="S4" i="85"/>
  <c r="D21" i="85"/>
  <c r="K21" i="85"/>
  <c r="J26" i="85"/>
  <c r="N32" i="85"/>
  <c r="E93" i="85"/>
  <c r="B91" i="85" s="1"/>
  <c r="B116" i="85"/>
  <c r="D50" i="85"/>
  <c r="H66" i="85"/>
  <c r="H75" i="85"/>
  <c r="H78" i="85"/>
  <c r="H86" i="85"/>
  <c r="H89" i="85"/>
  <c r="H63" i="85"/>
  <c r="H69" i="85"/>
  <c r="H74" i="85"/>
  <c r="H80" i="85"/>
  <c r="H85" i="85"/>
  <c r="H62" i="85"/>
  <c r="H65" i="85"/>
  <c r="H73" i="85"/>
  <c r="H84" i="85"/>
  <c r="F118" i="84"/>
  <c r="F119" i="84" s="1"/>
  <c r="C92" i="84"/>
  <c r="C94" i="84"/>
  <c r="D118" i="84"/>
  <c r="D119" i="84" s="1"/>
  <c r="D121" i="84"/>
  <c r="K120" i="84"/>
  <c r="H111" i="84"/>
  <c r="D126" i="84" s="1"/>
  <c r="D127" i="84" s="1"/>
  <c r="A126" i="84"/>
  <c r="H109" i="84"/>
  <c r="AC7" i="83"/>
  <c r="W7" i="83"/>
  <c r="AA7" i="83"/>
  <c r="S7" i="83"/>
  <c r="U7" i="83"/>
  <c r="AB7" i="83"/>
  <c r="U15" i="83"/>
  <c r="AA8" i="83"/>
  <c r="W15" i="83"/>
  <c r="W19" i="83"/>
  <c r="U25" i="83"/>
  <c r="S26" i="83"/>
  <c r="AA32" i="83"/>
  <c r="AA35" i="83"/>
  <c r="W37" i="83"/>
  <c r="AA39" i="83"/>
  <c r="AC41" i="83"/>
  <c r="S10" i="83"/>
  <c r="U11" i="83"/>
  <c r="W12" i="83"/>
  <c r="S14" i="83"/>
  <c r="U10" i="83"/>
  <c r="W11" i="83"/>
  <c r="S13" i="83"/>
  <c r="U14" i="83"/>
  <c r="U9" i="83"/>
  <c r="W10" i="83"/>
  <c r="S12" i="83"/>
  <c r="U13" i="83"/>
  <c r="W14" i="83"/>
  <c r="W17" i="83"/>
  <c r="W21" i="83"/>
  <c r="W9" i="83"/>
  <c r="S11" i="83"/>
  <c r="U12" i="83"/>
  <c r="W13" i="83"/>
  <c r="AA23" i="83"/>
  <c r="AC26" i="83"/>
  <c r="U29" i="83"/>
  <c r="AA30" i="83"/>
  <c r="AB31" i="83"/>
  <c r="AC32" i="83"/>
  <c r="U40" i="83"/>
  <c r="AB30" i="83"/>
  <c r="U30" i="83"/>
  <c r="S17" i="83"/>
  <c r="S19" i="83"/>
  <c r="S21" i="83"/>
  <c r="AB33" i="83"/>
  <c r="U33" i="83"/>
  <c r="S43" i="83"/>
  <c r="W45" i="83"/>
  <c r="S15" i="83"/>
  <c r="S9" i="83"/>
  <c r="U17" i="83"/>
  <c r="U19" i="83"/>
  <c r="U21" i="83"/>
  <c r="AB23" i="83"/>
  <c r="U23" i="83"/>
  <c r="W27" i="83"/>
  <c r="S29" i="83"/>
  <c r="W31" i="83"/>
  <c r="S34" i="83"/>
  <c r="U35" i="83"/>
  <c r="S38" i="83"/>
  <c r="U39" i="83"/>
  <c r="W40" i="83"/>
  <c r="S42" i="83"/>
  <c r="U43" i="83"/>
  <c r="W44" i="83"/>
  <c r="S46" i="83"/>
  <c r="U34" i="83"/>
  <c r="W35" i="83"/>
  <c r="S37" i="83"/>
  <c r="U38" i="83"/>
  <c r="W39" i="83"/>
  <c r="S41" i="83"/>
  <c r="U42" i="83"/>
  <c r="W43" i="83"/>
  <c r="S45" i="83"/>
  <c r="U46" i="83"/>
  <c r="W25" i="83"/>
  <c r="S27" i="83"/>
  <c r="U28" i="83"/>
  <c r="W29" i="83"/>
  <c r="S31" i="83"/>
  <c r="U32" i="83"/>
  <c r="W34" i="83"/>
  <c r="U37" i="83"/>
  <c r="W38" i="83"/>
  <c r="S40" i="83"/>
  <c r="U41" i="83"/>
  <c r="W42" i="83"/>
  <c r="S44" i="83"/>
  <c r="U45" i="83"/>
  <c r="W46" i="83"/>
  <c r="S8" i="82"/>
  <c r="U8" i="82" s="1"/>
  <c r="P61" i="81"/>
  <c r="I12" i="79"/>
  <c r="C36" i="86"/>
  <c r="E36" i="83" l="1"/>
  <c r="F36" i="83" s="1"/>
  <c r="G36" i="83"/>
  <c r="H36" i="83" s="1"/>
  <c r="I36" i="83"/>
  <c r="J36" i="83" s="1"/>
  <c r="I36" i="33"/>
  <c r="G36" i="33"/>
  <c r="E36" i="33"/>
  <c r="C47" i="86"/>
  <c r="D45" i="86" s="1"/>
  <c r="H58" i="85"/>
  <c r="H52" i="85"/>
  <c r="H55" i="85"/>
  <c r="H50" i="85"/>
  <c r="H54" i="85"/>
  <c r="H57" i="85"/>
  <c r="H51" i="85"/>
  <c r="H53" i="85"/>
  <c r="H56" i="85"/>
  <c r="D5" i="85"/>
  <c r="C5" i="85"/>
  <c r="E50" i="85"/>
  <c r="B48" i="85" s="1"/>
  <c r="C28" i="85" s="1"/>
  <c r="I122" i="85"/>
  <c r="J122" i="85" s="1"/>
  <c r="K122" i="85" s="1"/>
  <c r="L122" i="85" s="1"/>
  <c r="M122" i="85" s="1"/>
  <c r="I121" i="85"/>
  <c r="J121" i="85" s="1"/>
  <c r="K121" i="85" s="1"/>
  <c r="L121" i="85" s="1"/>
  <c r="M121" i="85" s="1"/>
  <c r="I120" i="85"/>
  <c r="J120" i="85" s="1"/>
  <c r="K120" i="85" s="1"/>
  <c r="L120" i="85" s="1"/>
  <c r="M120" i="85" s="1"/>
  <c r="I119" i="85"/>
  <c r="J119" i="85" s="1"/>
  <c r="K119" i="85" s="1"/>
  <c r="L119" i="85" s="1"/>
  <c r="M119" i="85" s="1"/>
  <c r="I118" i="85"/>
  <c r="J118" i="85" s="1"/>
  <c r="K118" i="85" s="1"/>
  <c r="L118" i="85" s="1"/>
  <c r="M118" i="85" s="1"/>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G121" i="85"/>
  <c r="H121" i="85" s="1"/>
  <c r="B120" i="85"/>
  <c r="C120" i="85" s="1"/>
  <c r="B121" i="85"/>
  <c r="C121" i="85" s="1"/>
  <c r="B122" i="85"/>
  <c r="C122" i="85" s="1"/>
  <c r="B118" i="85"/>
  <c r="C118" i="85" s="1"/>
  <c r="B119" i="85"/>
  <c r="C119" i="85" s="1"/>
  <c r="G21" i="85"/>
  <c r="D124" i="84"/>
  <c r="D125" i="84" s="1"/>
  <c r="H110" i="84"/>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C36" i="83" l="1"/>
  <c r="V48" i="83" s="1"/>
  <c r="I48" i="83" s="1"/>
  <c r="I52" i="83" s="1"/>
  <c r="J52" i="83" s="1"/>
  <c r="W36" i="83"/>
  <c r="AB36" i="83"/>
  <c r="T48" i="83" s="1"/>
  <c r="G48" i="83" s="1"/>
  <c r="G52" i="83" s="1"/>
  <c r="H52" i="83" s="1"/>
  <c r="U36" i="83"/>
  <c r="AA36" i="83"/>
  <c r="R48" i="83" s="1"/>
  <c r="S36" i="83"/>
  <c r="T15" i="85"/>
  <c r="V15" i="85" s="1"/>
  <c r="T13" i="85"/>
  <c r="V13" i="85" s="1"/>
  <c r="T16" i="85"/>
  <c r="V16" i="85" s="1"/>
  <c r="T9" i="85"/>
  <c r="V9" i="85" s="1"/>
  <c r="T5" i="85"/>
  <c r="V5" i="85" s="1"/>
  <c r="T3" i="85"/>
  <c r="V3" i="85" s="1"/>
  <c r="C33" i="85"/>
  <c r="T7" i="85"/>
  <c r="V7" i="85" s="1"/>
  <c r="T11" i="85"/>
  <c r="V11" i="85" s="1"/>
  <c r="T8" i="85"/>
  <c r="V8" i="85" s="1"/>
  <c r="T6" i="85"/>
  <c r="V6" i="85" s="1"/>
  <c r="T10" i="85"/>
  <c r="V10" i="85" s="1"/>
  <c r="T4" i="85"/>
  <c r="V4" i="85" s="1"/>
  <c r="T2" i="85"/>
  <c r="V2" i="85" s="1"/>
  <c r="T14" i="85"/>
  <c r="V14" i="85" s="1"/>
  <c r="T12" i="85"/>
  <c r="V12" i="85" s="1"/>
  <c r="C41" i="85"/>
  <c r="C39" i="85"/>
  <c r="C37" i="85"/>
  <c r="C40" i="85"/>
  <c r="C42" i="85"/>
  <c r="C38" i="85"/>
  <c r="D116" i="85"/>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R49" i="83" l="1"/>
  <c r="C48" i="83" s="1"/>
  <c r="E48" i="83"/>
  <c r="E52" i="83" s="1"/>
  <c r="F52" i="83" s="1"/>
  <c r="G53" i="83"/>
  <c r="H53" i="83" s="1"/>
  <c r="E33" i="85"/>
  <c r="C6" i="86"/>
  <c r="E40" i="85"/>
  <c r="G40" i="85"/>
  <c r="I40" i="85" s="1"/>
  <c r="G37" i="85"/>
  <c r="I37" i="85" s="1"/>
  <c r="E37" i="85"/>
  <c r="G38" i="85"/>
  <c r="I38" i="85" s="1"/>
  <c r="E38" i="85"/>
  <c r="G39" i="85"/>
  <c r="I39" i="85" s="1"/>
  <c r="E39" i="85"/>
  <c r="E34" i="85"/>
  <c r="C34" i="85"/>
  <c r="G42" i="85"/>
  <c r="I42" i="85" s="1"/>
  <c r="E42" i="85"/>
  <c r="E41" i="85"/>
  <c r="G41" i="85"/>
  <c r="I41" i="85" s="1"/>
  <c r="E53" i="83"/>
  <c r="F53" i="83" s="1"/>
  <c r="C49" i="83"/>
  <c r="I53" i="83"/>
  <c r="J53" i="83" s="1"/>
  <c r="AR8" i="79"/>
  <c r="AD33" i="79"/>
  <c r="AR34" i="79"/>
  <c r="AR35" i="79" s="1"/>
  <c r="AR36" i="79" s="1"/>
  <c r="AD35" i="79"/>
  <c r="C60" i="78"/>
  <c r="D60" i="78" s="1"/>
  <c r="B55" i="78"/>
  <c r="D55" i="78" s="1"/>
  <c r="D53" i="78"/>
  <c r="D52" i="78"/>
  <c r="D51" i="78" s="1"/>
  <c r="B51" i="78"/>
  <c r="B56" i="78" s="1"/>
  <c r="C30" i="85" l="1"/>
  <c r="B2" i="85" s="1"/>
  <c r="B3" i="85" s="1"/>
  <c r="C31" i="85"/>
  <c r="B3" i="83"/>
  <c r="B2" i="83"/>
  <c r="C51" i="78"/>
  <c r="C56" i="78" s="1"/>
  <c r="C58" i="78" s="1"/>
  <c r="B62" i="78"/>
  <c r="B54" i="78"/>
  <c r="D54" i="78" s="1"/>
  <c r="D56" i="78" s="1"/>
  <c r="C19" i="84"/>
  <c r="C20" i="84"/>
  <c r="C102" i="84" l="1"/>
  <c r="C103" i="84"/>
  <c r="D58" i="78"/>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l="1"/>
  <c r="S35" i="79"/>
  <c r="AG35" i="79" s="1"/>
  <c r="S34" i="79"/>
  <c r="AG34" i="79" s="1"/>
  <c r="S33" i="79"/>
  <c r="AG33" i="79" s="1"/>
  <c r="T40" i="79"/>
  <c r="U46" i="79"/>
  <c r="AI46" i="79" s="1"/>
  <c r="AD47" i="79"/>
  <c r="S48" i="79"/>
  <c r="AG48" i="79" s="1"/>
  <c r="U50" i="79"/>
  <c r="AI50" i="79" s="1"/>
  <c r="AD51" i="79"/>
  <c r="AR18" i="79"/>
  <c r="AR19" i="79" s="1"/>
  <c r="AR20" i="79" s="1"/>
  <c r="AR21" i="79" s="1"/>
  <c r="AR22" i="79" s="1"/>
  <c r="AR23" i="79" s="1"/>
  <c r="AR24" i="79" s="1"/>
  <c r="T33" i="79"/>
  <c r="T34" i="79"/>
  <c r="T35" i="79"/>
  <c r="W22" i="79"/>
  <c r="AK22" i="79" s="1"/>
  <c r="AH22" i="79"/>
  <c r="AD37" i="79"/>
  <c r="AD36" i="79"/>
  <c r="AD38" i="79"/>
  <c r="AR40" i="79"/>
  <c r="AR41" i="79" s="1"/>
  <c r="AR42" i="79" s="1"/>
  <c r="AR43" i="79" s="1"/>
  <c r="AR44" i="79" s="1"/>
  <c r="AR45" i="79" s="1"/>
  <c r="AR46" i="79" s="1"/>
  <c r="AR47" i="79" s="1"/>
  <c r="AR48" i="79" s="1"/>
  <c r="AR49" i="79" s="1"/>
  <c r="AR50" i="79" s="1"/>
  <c r="AR51" i="79" s="1"/>
  <c r="AR52" i="79" s="1"/>
  <c r="AA31" i="79"/>
  <c r="AD31" i="79" s="1"/>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3" i="79" l="1"/>
  <c r="AK13" i="79" s="1"/>
  <c r="AH13" i="79"/>
  <c r="AH33" i="79"/>
  <c r="W33" i="79"/>
  <c r="AK33" i="79" s="1"/>
  <c r="W23" i="79"/>
  <c r="AK23" i="79" s="1"/>
  <c r="AH23" i="79"/>
  <c r="W12" i="79"/>
  <c r="AK12" i="79" s="1"/>
  <c r="AH12" i="79"/>
  <c r="W21" i="79"/>
  <c r="AK21" i="79" s="1"/>
  <c r="AH21" i="79"/>
  <c r="W47" i="79"/>
  <c r="AK47" i="79" s="1"/>
  <c r="AH47" i="79"/>
  <c r="W45" i="79"/>
  <c r="AK45" i="79" s="1"/>
  <c r="AH45" i="79"/>
  <c r="W15" i="79"/>
  <c r="AK15" i="79" s="1"/>
  <c r="AH15" i="79"/>
  <c r="W48" i="79"/>
  <c r="AK48" i="79" s="1"/>
  <c r="AH48" i="79"/>
  <c r="W49" i="79"/>
  <c r="AK49" i="79" s="1"/>
  <c r="AH49" i="79"/>
  <c r="W38" i="79"/>
  <c r="AK38" i="79" s="1"/>
  <c r="AH38" i="79"/>
  <c r="W11" i="79"/>
  <c r="AK11" i="79" s="1"/>
  <c r="AH11" i="79"/>
  <c r="W17" i="79"/>
  <c r="AK17" i="79" s="1"/>
  <c r="AH17" i="79"/>
  <c r="W10" i="79"/>
  <c r="AK10" i="79" s="1"/>
  <c r="AH10" i="79"/>
  <c r="W18" i="79"/>
  <c r="AK18" i="79" s="1"/>
  <c r="AH18" i="79"/>
  <c r="W20" i="79"/>
  <c r="AK20" i="79" s="1"/>
  <c r="AH20" i="79"/>
  <c r="W35" i="79"/>
  <c r="AK35" i="79" s="1"/>
  <c r="AH35" i="79"/>
  <c r="W43" i="79"/>
  <c r="AK43" i="79" s="1"/>
  <c r="AH43"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AH34" i="79"/>
  <c r="W34" i="79"/>
  <c r="AK34"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C63" i="71" s="1"/>
  <c r="N62" i="71"/>
  <c r="Q61" i="71"/>
  <c r="F62" i="71" s="1"/>
  <c r="F63" i="71"/>
  <c r="F64" i="71" s="1"/>
  <c r="V64" i="71" s="1"/>
  <c r="P61" i="71"/>
  <c r="E62" i="7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AB38" i="71" s="1"/>
  <c r="P38" i="71"/>
  <c r="O38" i="71"/>
  <c r="N38" i="71"/>
  <c r="Q37" i="71"/>
  <c r="P37" i="71"/>
  <c r="O37" i="71"/>
  <c r="N37" i="71"/>
  <c r="B38" i="71" s="1"/>
  <c r="D37" i="71"/>
  <c r="Q36" i="71"/>
  <c r="P36" i="71"/>
  <c r="O36" i="71"/>
  <c r="N36" i="71"/>
  <c r="Q35" i="71"/>
  <c r="P35" i="71"/>
  <c r="O35" i="71"/>
  <c r="N35" i="71"/>
  <c r="Q34" i="71"/>
  <c r="AB34" i="71" s="1"/>
  <c r="P34" i="71"/>
  <c r="O34" i="71"/>
  <c r="N34" i="71"/>
  <c r="Q33" i="71"/>
  <c r="F34" i="71" s="1"/>
  <c r="P33" i="71"/>
  <c r="E34" i="71" s="1"/>
  <c r="E35" i="71" s="1"/>
  <c r="E36" i="71" s="1"/>
  <c r="U36" i="71" s="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N68" i="71"/>
  <c r="C30" i="71"/>
  <c r="Y29" i="71"/>
  <c r="Z29" i="71" s="1"/>
  <c r="C35" i="71"/>
  <c r="C38" i="71"/>
  <c r="D38" i="71" s="1"/>
  <c r="X38" i="71"/>
  <c r="B28" i="71"/>
  <c r="B27" i="71" s="1"/>
  <c r="B26" i="71"/>
  <c r="D30" i="71"/>
  <c r="C43" i="71"/>
  <c r="C44" i="71" s="1"/>
  <c r="D44" i="71" s="1"/>
  <c r="C51" i="71"/>
  <c r="P28" i="71"/>
  <c r="E28" i="71" s="1"/>
  <c r="U56" i="71"/>
  <c r="E63" i="71"/>
  <c r="E64" i="71"/>
  <c r="U64" i="71" s="1"/>
  <c r="U68" i="71"/>
  <c r="E67" i="71"/>
  <c r="Q28" i="71"/>
  <c r="C59" i="71"/>
  <c r="D58" i="71"/>
  <c r="D62" i="71"/>
  <c r="Q67" i="71"/>
  <c r="Q68" i="71"/>
  <c r="C71" i="71"/>
  <c r="E71" i="71"/>
  <c r="E70" i="71" s="1"/>
  <c r="D72" i="71"/>
  <c r="E75" i="71"/>
  <c r="E74" i="71" s="1"/>
  <c r="C79" i="71"/>
  <c r="E79" i="71"/>
  <c r="E78" i="71" s="1"/>
  <c r="D80" i="71"/>
  <c r="C83" i="71"/>
  <c r="C87" i="71"/>
  <c r="S28" i="71"/>
  <c r="D83" i="71"/>
  <c r="C82" i="71"/>
  <c r="D82" i="71"/>
  <c r="D79" i="71"/>
  <c r="C78" i="71"/>
  <c r="D78" i="71" s="1"/>
  <c r="D71" i="71"/>
  <c r="C70" i="71"/>
  <c r="D70" i="71"/>
  <c r="C60" i="71"/>
  <c r="D60" i="71" s="1"/>
  <c r="D59" i="71"/>
  <c r="P67" i="71"/>
  <c r="E6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H18" i="35"/>
  <c r="AB18" i="35" s="1"/>
  <c r="J18" i="35"/>
  <c r="W18" i="35" s="1"/>
  <c r="H21" i="37"/>
  <c r="F21" i="37"/>
  <c r="AA21" i="37" s="1"/>
  <c r="H21" i="34"/>
  <c r="AB21" i="34" s="1"/>
  <c r="H21" i="33"/>
  <c r="F21" i="33"/>
  <c r="AA21" i="33" s="1"/>
  <c r="E83" i="21"/>
  <c r="F83" i="21" s="1"/>
  <c r="H1" i="69"/>
  <c r="AC25" i="40"/>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L154" i="3" s="1"/>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0" i="31"/>
  <c r="S30" i="31" s="1"/>
  <c r="R31" i="31"/>
  <c r="R32" i="31"/>
  <c r="R33" i="31"/>
  <c r="S33" i="31" s="1"/>
  <c r="R34" i="31"/>
  <c r="S34" i="31" s="1"/>
  <c r="R35" i="31"/>
  <c r="R36" i="31"/>
  <c r="R37" i="31"/>
  <c r="S37" i="31" s="1"/>
  <c r="R38" i="31"/>
  <c r="S38" i="31" s="1"/>
  <c r="R39" i="31"/>
  <c r="R40" i="31"/>
  <c r="R41" i="31"/>
  <c r="S41" i="31" s="1"/>
  <c r="R42" i="31"/>
  <c r="S42" i="31" s="1"/>
  <c r="R43" i="31"/>
  <c r="R44" i="31"/>
  <c r="R45" i="31"/>
  <c r="S45" i="31" s="1"/>
  <c r="R46" i="31"/>
  <c r="S46" i="31" s="1"/>
  <c r="R47" i="31"/>
  <c r="R48" i="31"/>
  <c r="R49" i="31"/>
  <c r="S49" i="31" s="1"/>
  <c r="R50" i="31"/>
  <c r="S50" i="31" s="1"/>
  <c r="R51" i="31"/>
  <c r="R52" i="31"/>
  <c r="R53" i="31"/>
  <c r="S53" i="31" s="1"/>
  <c r="R54" i="31"/>
  <c r="S54" i="31" s="1"/>
  <c r="R55" i="31"/>
  <c r="R56" i="31"/>
  <c r="R57" i="31"/>
  <c r="S57" i="31" s="1"/>
  <c r="R58" i="31"/>
  <c r="S58" i="31" s="1"/>
  <c r="R59" i="31"/>
  <c r="R60" i="31"/>
  <c r="R61" i="31"/>
  <c r="S61" i="31" s="1"/>
  <c r="R62" i="31"/>
  <c r="S62" i="31" s="1"/>
  <c r="R63" i="31"/>
  <c r="R64" i="31"/>
  <c r="R65" i="31"/>
  <c r="S65" i="31" s="1"/>
  <c r="R66" i="31"/>
  <c r="S66" i="31" s="1"/>
  <c r="R67" i="31"/>
  <c r="R68" i="31"/>
  <c r="R69" i="31"/>
  <c r="S69" i="31" s="1"/>
  <c r="R70" i="31"/>
  <c r="S70" i="31" s="1"/>
  <c r="R71" i="31"/>
  <c r="R72" i="31"/>
  <c r="R73" i="31"/>
  <c r="S73" i="31" s="1"/>
  <c r="R74" i="31"/>
  <c r="S74" i="31" s="1"/>
  <c r="R75" i="31"/>
  <c r="R76" i="31"/>
  <c r="R77" i="31"/>
  <c r="S77" i="31" s="1"/>
  <c r="R78" i="31"/>
  <c r="R79" i="31"/>
  <c r="R80" i="31"/>
  <c r="R81" i="31"/>
  <c r="S81" i="31" s="1"/>
  <c r="R82" i="31"/>
  <c r="S82" i="31" s="1"/>
  <c r="R83" i="31"/>
  <c r="R84" i="31"/>
  <c r="R85" i="31"/>
  <c r="S85" i="31" s="1"/>
  <c r="R86" i="31"/>
  <c r="S86" i="31" s="1"/>
  <c r="R87" i="31"/>
  <c r="R88" i="31"/>
  <c r="R89" i="31"/>
  <c r="S89" i="31" s="1"/>
  <c r="R90" i="31"/>
  <c r="S90" i="31" s="1"/>
  <c r="R91" i="31"/>
  <c r="R92" i="31"/>
  <c r="R93" i="31"/>
  <c r="S93" i="31" s="1"/>
  <c r="R94" i="31"/>
  <c r="S94" i="31" s="1"/>
  <c r="R95" i="31"/>
  <c r="R96" i="31"/>
  <c r="R97" i="31"/>
  <c r="S97" i="31" s="1"/>
  <c r="R98" i="31"/>
  <c r="S98" i="31" s="1"/>
  <c r="R99" i="31"/>
  <c r="R100" i="31"/>
  <c r="R101" i="31"/>
  <c r="S101" i="31" s="1"/>
  <c r="R102" i="31"/>
  <c r="S102" i="31" s="1"/>
  <c r="R103" i="31"/>
  <c r="R104" i="31"/>
  <c r="R105" i="31"/>
  <c r="S105" i="31" s="1"/>
  <c r="R106" i="31"/>
  <c r="S106" i="31" s="1"/>
  <c r="R107" i="31"/>
  <c r="R108" i="31"/>
  <c r="R109" i="31"/>
  <c r="S109" i="31" s="1"/>
  <c r="R110" i="31"/>
  <c r="S110" i="31" s="1"/>
  <c r="R111" i="31"/>
  <c r="R112" i="31"/>
  <c r="R113" i="31"/>
  <c r="S113" i="31" s="1"/>
  <c r="R114" i="31"/>
  <c r="S114" i="31" s="1"/>
  <c r="R115" i="31"/>
  <c r="R116" i="31"/>
  <c r="R117" i="31"/>
  <c r="S117" i="31" s="1"/>
  <c r="R118" i="31"/>
  <c r="S118" i="31" s="1"/>
  <c r="R119" i="31"/>
  <c r="R120" i="31"/>
  <c r="R121" i="31"/>
  <c r="S121" i="31" s="1"/>
  <c r="R122" i="31"/>
  <c r="S122" i="31" s="1"/>
  <c r="R123" i="31"/>
  <c r="R124" i="31"/>
  <c r="R125" i="31"/>
  <c r="S125" i="31" s="1"/>
  <c r="R126" i="31"/>
  <c r="S126" i="31" s="1"/>
  <c r="R127" i="31"/>
  <c r="R128" i="31"/>
  <c r="R129" i="31"/>
  <c r="S129" i="31" s="1"/>
  <c r="R130" i="31"/>
  <c r="R131" i="31"/>
  <c r="R132" i="31"/>
  <c r="R133" i="31"/>
  <c r="S133" i="31" s="1"/>
  <c r="R134" i="31"/>
  <c r="S134" i="31" s="1"/>
  <c r="R135" i="31"/>
  <c r="R136" i="31"/>
  <c r="R137" i="31"/>
  <c r="S137" i="31" s="1"/>
  <c r="R138" i="31"/>
  <c r="S138" i="31" s="1"/>
  <c r="R139" i="31"/>
  <c r="R140" i="31"/>
  <c r="R141" i="31"/>
  <c r="S141" i="31" s="1"/>
  <c r="R142" i="31"/>
  <c r="S142" i="31" s="1"/>
  <c r="R143" i="31"/>
  <c r="R144" i="31"/>
  <c r="R145" i="31"/>
  <c r="S145" i="31" s="1"/>
  <c r="R146" i="31"/>
  <c r="S146" i="31" s="1"/>
  <c r="R147" i="31"/>
  <c r="R148" i="31"/>
  <c r="R149" i="31"/>
  <c r="S149" i="31" s="1"/>
  <c r="R150" i="31"/>
  <c r="S150" i="31" s="1"/>
  <c r="R151" i="31"/>
  <c r="R152" i="31"/>
  <c r="R153" i="31"/>
  <c r="S153" i="31" s="1"/>
  <c r="R154" i="31"/>
  <c r="S154" i="31" s="1"/>
  <c r="R155" i="31"/>
  <c r="R156" i="31"/>
  <c r="R157" i="31"/>
  <c r="S157" i="31" s="1"/>
  <c r="R158" i="31"/>
  <c r="S158" i="31" s="1"/>
  <c r="R159" i="31"/>
  <c r="R160" i="31"/>
  <c r="R161" i="31"/>
  <c r="S161" i="31" s="1"/>
  <c r="R162" i="31"/>
  <c r="R163" i="31"/>
  <c r="R164" i="31"/>
  <c r="R165" i="31"/>
  <c r="S165" i="31" s="1"/>
  <c r="R166" i="31"/>
  <c r="S166" i="31" s="1"/>
  <c r="R167" i="31"/>
  <c r="R168" i="31"/>
  <c r="R169" i="31"/>
  <c r="S169" i="31" s="1"/>
  <c r="R170" i="31"/>
  <c r="S170" i="31" s="1"/>
  <c r="R171" i="31"/>
  <c r="R172" i="31"/>
  <c r="R173" i="31"/>
  <c r="S173" i="31" s="1"/>
  <c r="R174" i="31"/>
  <c r="S174" i="31" s="1"/>
  <c r="R175" i="31"/>
  <c r="R176" i="31"/>
  <c r="R177" i="31"/>
  <c r="S177" i="31" s="1"/>
  <c r="R178" i="31"/>
  <c r="S178" i="31" s="1"/>
  <c r="R179" i="31"/>
  <c r="R180" i="31"/>
  <c r="R181" i="31"/>
  <c r="S181" i="31" s="1"/>
  <c r="R182" i="31"/>
  <c r="S182" i="31" s="1"/>
  <c r="R183" i="31"/>
  <c r="R184" i="31"/>
  <c r="R185" i="31"/>
  <c r="S185" i="31" s="1"/>
  <c r="R186" i="31"/>
  <c r="S186" i="31" s="1"/>
  <c r="R187" i="31"/>
  <c r="R188" i="31"/>
  <c r="R189" i="31"/>
  <c r="S189" i="31" s="1"/>
  <c r="R190" i="31"/>
  <c r="S190" i="31" s="1"/>
  <c r="R191" i="31"/>
  <c r="R192" i="31"/>
  <c r="R193" i="31"/>
  <c r="S193" i="31" s="1"/>
  <c r="R194" i="31"/>
  <c r="R195" i="31"/>
  <c r="R196" i="31"/>
  <c r="R197" i="31"/>
  <c r="S197" i="31" s="1"/>
  <c r="R198" i="31"/>
  <c r="S198" i="31" s="1"/>
  <c r="R199" i="31"/>
  <c r="R200" i="31"/>
  <c r="R201" i="31"/>
  <c r="S201" i="31" s="1"/>
  <c r="R202" i="31"/>
  <c r="S202" i="31" s="1"/>
  <c r="R203" i="31"/>
  <c r="R204" i="31"/>
  <c r="R205" i="31"/>
  <c r="S205" i="31" s="1"/>
  <c r="R206" i="31"/>
  <c r="S206" i="31" s="1"/>
  <c r="R207" i="31"/>
  <c r="R208" i="31"/>
  <c r="R209" i="31"/>
  <c r="S209" i="31" s="1"/>
  <c r="R210" i="31"/>
  <c r="S210" i="31" s="1"/>
  <c r="R211" i="31"/>
  <c r="R212" i="31"/>
  <c r="R213" i="31"/>
  <c r="S213" i="31" s="1"/>
  <c r="R214" i="31"/>
  <c r="S214" i="31" s="1"/>
  <c r="R215" i="31"/>
  <c r="R216" i="31"/>
  <c r="R217" i="31"/>
  <c r="S217" i="31" s="1"/>
  <c r="R218" i="31"/>
  <c r="S218" i="31" s="1"/>
  <c r="R219" i="31"/>
  <c r="R220" i="31"/>
  <c r="R221" i="31"/>
  <c r="S221" i="31" s="1"/>
  <c r="R222" i="31"/>
  <c r="S222" i="31" s="1"/>
  <c r="R223" i="31"/>
  <c r="R224" i="31"/>
  <c r="R225" i="31"/>
  <c r="S225" i="31" s="1"/>
  <c r="R226" i="31"/>
  <c r="S226" i="31" s="1"/>
  <c r="R227" i="31"/>
  <c r="R228" i="31"/>
  <c r="R229" i="31"/>
  <c r="S229" i="31" s="1"/>
  <c r="R230" i="31"/>
  <c r="S230" i="31" s="1"/>
  <c r="R231" i="31"/>
  <c r="R232" i="31"/>
  <c r="R233" i="31"/>
  <c r="S233" i="31" s="1"/>
  <c r="R234" i="31"/>
  <c r="S234" i="31" s="1"/>
  <c r="R235" i="31"/>
  <c r="R236" i="31"/>
  <c r="R237" i="31"/>
  <c r="S237" i="31" s="1"/>
  <c r="R238" i="31"/>
  <c r="S238" i="31" s="1"/>
  <c r="R239" i="31"/>
  <c r="R240" i="31"/>
  <c r="R241" i="31"/>
  <c r="S241" i="31" s="1"/>
  <c r="R242" i="31"/>
  <c r="R243" i="31"/>
  <c r="R244" i="31"/>
  <c r="R245" i="31"/>
  <c r="S245" i="31" s="1"/>
  <c r="R246" i="31"/>
  <c r="S246" i="31" s="1"/>
  <c r="R247" i="31"/>
  <c r="R248" i="31"/>
  <c r="R249" i="31"/>
  <c r="S249" i="31" s="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R289" i="31"/>
  <c r="S289" i="31" s="1"/>
  <c r="R290" i="31"/>
  <c r="S290" i="31" s="1"/>
  <c r="R291" i="31"/>
  <c r="S291" i="31" s="1"/>
  <c r="R292" i="3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R428" i="31"/>
  <c r="S428" i="31" s="1"/>
  <c r="R429" i="31"/>
  <c r="S429" i="31" s="1"/>
  <c r="R430" i="31"/>
  <c r="S430" i="31" s="1"/>
  <c r="R431" i="31"/>
  <c r="R432" i="31"/>
  <c r="S432" i="31" s="1"/>
  <c r="R433" i="31"/>
  <c r="S433" i="31" s="1"/>
  <c r="R434" i="31"/>
  <c r="S434" i="31" s="1"/>
  <c r="R435" i="31"/>
  <c r="R436" i="31"/>
  <c r="S436" i="31" s="1"/>
  <c r="R437" i="31"/>
  <c r="R438" i="31"/>
  <c r="S438" i="31" s="1"/>
  <c r="R439" i="31"/>
  <c r="R440" i="31"/>
  <c r="S440" i="31" s="1"/>
  <c r="R441" i="31"/>
  <c r="S441" i="31" s="1"/>
  <c r="R442" i="31"/>
  <c r="R443" i="31"/>
  <c r="R444" i="31"/>
  <c r="S444" i="31" s="1"/>
  <c r="R445" i="31"/>
  <c r="S445" i="31" s="1"/>
  <c r="R446" i="31"/>
  <c r="S446" i="31" s="1"/>
  <c r="R447" i="31"/>
  <c r="R448" i="31"/>
  <c r="S448" i="31" s="1"/>
  <c r="R449" i="31"/>
  <c r="S449" i="31" s="1"/>
  <c r="R450" i="31"/>
  <c r="S450" i="31" s="1"/>
  <c r="R451" i="31"/>
  <c r="R452" i="31"/>
  <c r="S452" i="31" s="1"/>
  <c r="R453" i="31"/>
  <c r="S453" i="31" s="1"/>
  <c r="R454" i="31"/>
  <c r="S454" i="31" s="1"/>
  <c r="R455" i="31"/>
  <c r="R456" i="31"/>
  <c r="S456" i="31" s="1"/>
  <c r="R457" i="31"/>
  <c r="S457" i="31" s="1"/>
  <c r="R458" i="31"/>
  <c r="S458" i="31" s="1"/>
  <c r="R459" i="31"/>
  <c r="R460" i="31"/>
  <c r="S460" i="31" s="1"/>
  <c r="R461" i="31"/>
  <c r="S461" i="31" s="1"/>
  <c r="R462" i="31"/>
  <c r="S462" i="31" s="1"/>
  <c r="R463" i="31"/>
  <c r="R464" i="31"/>
  <c r="S464" i="31" s="1"/>
  <c r="R465" i="31"/>
  <c r="S465" i="31" s="1"/>
  <c r="R466" i="31"/>
  <c r="S466" i="31" s="1"/>
  <c r="R467" i="31"/>
  <c r="R468" i="31"/>
  <c r="R469" i="31"/>
  <c r="S469" i="31" s="1"/>
  <c r="R470" i="31"/>
  <c r="S470" i="31" s="1"/>
  <c r="R471" i="31"/>
  <c r="R472" i="31"/>
  <c r="R473" i="31"/>
  <c r="S473" i="31" s="1"/>
  <c r="R474" i="31"/>
  <c r="S474" i="31" s="1"/>
  <c r="R475" i="31"/>
  <c r="R476" i="31"/>
  <c r="R477" i="31"/>
  <c r="S477" i="31" s="1"/>
  <c r="R478" i="31"/>
  <c r="S478" i="31" s="1"/>
  <c r="R479" i="31"/>
  <c r="R480" i="31"/>
  <c r="R481" i="31"/>
  <c r="S481" i="31" s="1"/>
  <c r="R482" i="31"/>
  <c r="S482" i="31" s="1"/>
  <c r="R483" i="31"/>
  <c r="R484" i="31"/>
  <c r="R485" i="31"/>
  <c r="S485" i="31" s="1"/>
  <c r="R486" i="31"/>
  <c r="S486" i="31" s="1"/>
  <c r="R487" i="31"/>
  <c r="R488" i="31"/>
  <c r="R489" i="31"/>
  <c r="S489" i="31" s="1"/>
  <c r="R490" i="31"/>
  <c r="S490" i="31" s="1"/>
  <c r="R491" i="31"/>
  <c r="R492" i="31"/>
  <c r="R493" i="31"/>
  <c r="S493" i="31" s="1"/>
  <c r="R494" i="31"/>
  <c r="S494" i="31" s="1"/>
  <c r="R495" i="31"/>
  <c r="R496" i="31"/>
  <c r="R497" i="31"/>
  <c r="S497" i="31" s="1"/>
  <c r="R498" i="31"/>
  <c r="S498" i="31" s="1"/>
  <c r="R499" i="31"/>
  <c r="R500" i="31"/>
  <c r="S500" i="31" s="1"/>
  <c r="R501" i="31"/>
  <c r="S501" i="31" s="1"/>
  <c r="R502" i="31"/>
  <c r="S502" i="31" s="1"/>
  <c r="R503" i="31"/>
  <c r="R504" i="31"/>
  <c r="R505" i="31"/>
  <c r="S505" i="31" s="1"/>
  <c r="R506" i="31"/>
  <c r="S506" i="31" s="1"/>
  <c r="R507" i="31"/>
  <c r="R508" i="31"/>
  <c r="R509" i="31"/>
  <c r="S509" i="31" s="1"/>
  <c r="R510" i="31"/>
  <c r="S510" i="31" s="1"/>
  <c r="R511" i="31"/>
  <c r="R512" i="31"/>
  <c r="R513" i="31"/>
  <c r="S513" i="31" s="1"/>
  <c r="R514" i="31"/>
  <c r="S514" i="31" s="1"/>
  <c r="R515" i="31"/>
  <c r="R516" i="31"/>
  <c r="R517" i="31"/>
  <c r="S517" i="31" s="1"/>
  <c r="R518" i="31"/>
  <c r="S518" i="31" s="1"/>
  <c r="R519" i="31"/>
  <c r="R520" i="31"/>
  <c r="R521" i="31"/>
  <c r="S521" i="31" s="1"/>
  <c r="R522" i="31"/>
  <c r="S522" i="31" s="1"/>
  <c r="R523" i="31"/>
  <c r="R524"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G15" i="4"/>
  <c r="F12" i="1" s="1"/>
  <c r="G12" i="1" s="1"/>
  <c r="F15" i="4"/>
  <c r="F11" i="1" s="1"/>
  <c r="G11" i="1" s="1"/>
  <c r="D15" i="4"/>
  <c r="F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5" i="3" s="1"/>
  <c r="BN14" i="3"/>
  <c r="BN15" i="3"/>
  <c r="BN16" i="3"/>
  <c r="BL16" i="3" s="1"/>
  <c r="BN17" i="3"/>
  <c r="BP13" i="3"/>
  <c r="BP14" i="3"/>
  <c r="BP15" i="3"/>
  <c r="BP16" i="3"/>
  <c r="BP17" i="3"/>
  <c r="E19" i="6"/>
  <c r="E21" i="6"/>
  <c r="K8" i="1"/>
  <c r="M8" i="1" s="1"/>
  <c r="F23" i="15"/>
  <c r="D24" i="15" s="1"/>
  <c r="E22" i="6"/>
  <c r="E23" i="6"/>
  <c r="K10" i="1" s="1"/>
  <c r="M10" i="1" s="1"/>
  <c r="O10" i="1" s="1"/>
  <c r="P10" i="1" s="1"/>
  <c r="E24" i="6"/>
  <c r="E25" i="6"/>
  <c r="E26" i="6"/>
  <c r="BB13" i="3"/>
  <c r="BC13" i="3"/>
  <c r="BD13" i="3"/>
  <c r="BE13" i="3"/>
  <c r="BF13" i="3"/>
  <c r="BF5" i="3" s="1"/>
  <c r="BG13" i="3"/>
  <c r="BH13" i="3"/>
  <c r="BI13" i="3"/>
  <c r="BJ13" i="3"/>
  <c r="BK13" i="3"/>
  <c r="BB14" i="3"/>
  <c r="BC14" i="3"/>
  <c r="BD14" i="3"/>
  <c r="BE14" i="3"/>
  <c r="BF14" i="3"/>
  <c r="BG14" i="3"/>
  <c r="BH14" i="3"/>
  <c r="BI14" i="3"/>
  <c r="BJ14" i="3"/>
  <c r="BK14" i="3"/>
  <c r="BB15" i="3"/>
  <c r="BA15" i="3" s="1"/>
  <c r="BC15" i="3"/>
  <c r="BD15" i="3"/>
  <c r="BE15" i="3"/>
  <c r="BF15" i="3"/>
  <c r="BG15" i="3"/>
  <c r="BH15" i="3"/>
  <c r="BI15" i="3"/>
  <c r="BJ15" i="3"/>
  <c r="BK15" i="3"/>
  <c r="BB16" i="3"/>
  <c r="BA16" i="3" s="1"/>
  <c r="AZ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4" i="31"/>
  <c r="S392" i="31"/>
  <c r="S384" i="31"/>
  <c r="S376" i="31"/>
  <c r="S368" i="31"/>
  <c r="S360" i="31"/>
  <c r="S352" i="31"/>
  <c r="S344" i="31"/>
  <c r="S336" i="31"/>
  <c r="S328" i="31"/>
  <c r="S424" i="31"/>
  <c r="S292" i="31"/>
  <c r="S288" i="31"/>
  <c r="S284" i="31"/>
  <c r="S280" i="31"/>
  <c r="S276" i="31"/>
  <c r="S272" i="31"/>
  <c r="S268" i="31"/>
  <c r="S264" i="31"/>
  <c r="S260" i="31"/>
  <c r="S256" i="31"/>
  <c r="S252" i="31"/>
  <c r="S251" i="31"/>
  <c r="S248" i="31"/>
  <c r="S247" i="31"/>
  <c r="S244" i="31"/>
  <c r="S243" i="31"/>
  <c r="S242" i="31"/>
  <c r="S240" i="31"/>
  <c r="S239" i="31"/>
  <c r="S236" i="31"/>
  <c r="S235" i="31"/>
  <c r="S232" i="31"/>
  <c r="S231" i="31"/>
  <c r="S228" i="31"/>
  <c r="S227" i="31"/>
  <c r="S224" i="31"/>
  <c r="S223" i="31"/>
  <c r="S427" i="31"/>
  <c r="S220" i="31"/>
  <c r="S219" i="31"/>
  <c r="S216" i="31"/>
  <c r="S215" i="31"/>
  <c r="S212" i="31"/>
  <c r="S211" i="31"/>
  <c r="S208" i="31"/>
  <c r="S207" i="31"/>
  <c r="S204" i="31"/>
  <c r="S203" i="31"/>
  <c r="S200" i="31"/>
  <c r="S199" i="31"/>
  <c r="S196" i="31"/>
  <c r="S195" i="31"/>
  <c r="S194" i="31"/>
  <c r="S192" i="31"/>
  <c r="S191" i="31"/>
  <c r="S188" i="31"/>
  <c r="S187" i="31"/>
  <c r="S184" i="31"/>
  <c r="S183" i="31"/>
  <c r="S180" i="31"/>
  <c r="S179" i="31"/>
  <c r="S176" i="31"/>
  <c r="S175" i="31"/>
  <c r="S172" i="31"/>
  <c r="S171" i="31"/>
  <c r="S168" i="31"/>
  <c r="S167" i="31"/>
  <c r="S164" i="31"/>
  <c r="S163" i="31"/>
  <c r="S162" i="31"/>
  <c r="S160" i="31"/>
  <c r="S159" i="31"/>
  <c r="S156" i="31"/>
  <c r="S155" i="31"/>
  <c r="S152" i="31"/>
  <c r="S151" i="31"/>
  <c r="S148" i="31"/>
  <c r="S147" i="31"/>
  <c r="S144" i="31"/>
  <c r="S143" i="31"/>
  <c r="S140" i="31"/>
  <c r="S139" i="31"/>
  <c r="S136" i="31"/>
  <c r="S135" i="31"/>
  <c r="S132" i="31"/>
  <c r="S131" i="31"/>
  <c r="S130" i="31"/>
  <c r="S128" i="31"/>
  <c r="S127" i="31"/>
  <c r="S124" i="31"/>
  <c r="S123" i="31"/>
  <c r="S496" i="31"/>
  <c r="S495" i="31"/>
  <c r="S492" i="31"/>
  <c r="S491" i="31"/>
  <c r="S488" i="31"/>
  <c r="S487" i="31"/>
  <c r="S484" i="31"/>
  <c r="S483" i="31"/>
  <c r="S480" i="31"/>
  <c r="S479" i="31"/>
  <c r="S476" i="31"/>
  <c r="S475" i="31"/>
  <c r="S472" i="31"/>
  <c r="S471" i="31"/>
  <c r="S468" i="31"/>
  <c r="S443" i="31"/>
  <c r="S442" i="31"/>
  <c r="S439" i="31"/>
  <c r="S437" i="31"/>
  <c r="S435" i="31"/>
  <c r="S431" i="31"/>
  <c r="S120" i="31"/>
  <c r="S119" i="31"/>
  <c r="S116" i="31"/>
  <c r="S115" i="31"/>
  <c r="S112" i="31"/>
  <c r="S504" i="31"/>
  <c r="S467" i="31"/>
  <c r="S463" i="31"/>
  <c r="S459" i="31"/>
  <c r="S455" i="31"/>
  <c r="S451" i="31"/>
  <c r="S52" i="31"/>
  <c r="S51" i="31"/>
  <c r="S48" i="31"/>
  <c r="S47" i="31"/>
  <c r="S44" i="31"/>
  <c r="S43" i="31"/>
  <c r="S40" i="31"/>
  <c r="S39" i="31"/>
  <c r="S36" i="31"/>
  <c r="S35" i="31"/>
  <c r="S32" i="31"/>
  <c r="S76" i="31"/>
  <c r="S75" i="31"/>
  <c r="S72" i="31"/>
  <c r="S71" i="31"/>
  <c r="S68" i="31"/>
  <c r="S67" i="31"/>
  <c r="S64" i="31"/>
  <c r="S63" i="31"/>
  <c r="S60" i="31"/>
  <c r="S59" i="31"/>
  <c r="S56" i="31"/>
  <c r="S55" i="31"/>
  <c r="S96" i="31"/>
  <c r="S95" i="31"/>
  <c r="S92" i="31"/>
  <c r="S91" i="31"/>
  <c r="S88" i="31"/>
  <c r="S87" i="31"/>
  <c r="S84" i="31"/>
  <c r="S83" i="31"/>
  <c r="S80" i="31"/>
  <c r="S79" i="31"/>
  <c r="S78" i="31"/>
  <c r="S31" i="31"/>
  <c r="S99" i="31"/>
  <c r="S100" i="31"/>
  <c r="S103" i="31"/>
  <c r="S104" i="31"/>
  <c r="S107" i="31"/>
  <c r="S108" i="31"/>
  <c r="S111" i="31"/>
  <c r="S447" i="31"/>
  <c r="S507" i="31"/>
  <c r="S508" i="31"/>
  <c r="S511" i="31"/>
  <c r="S512"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c r="S515" i="31"/>
  <c r="S516" i="31"/>
  <c r="S519" i="31"/>
  <c r="S520" i="31"/>
  <c r="S523" i="31"/>
  <c r="S524"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D100" i="40"/>
  <c r="E100" i="40" s="1"/>
  <c r="F100" i="40" s="1"/>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c r="Q37" i="40"/>
  <c r="Z37" i="40" s="1"/>
  <c r="Q36" i="40"/>
  <c r="Z36" i="40" s="1"/>
  <c r="Q35" i="40"/>
  <c r="Z35" i="40" s="1"/>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F13" i="37" s="1"/>
  <c r="S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Q25" i="37"/>
  <c r="Z25" i="37"/>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H25" i="36" s="1"/>
  <c r="B73" i="36"/>
  <c r="J24" i="36"/>
  <c r="AC24" i="36" s="1"/>
  <c r="B71" i="36"/>
  <c r="H23" i="36" s="1"/>
  <c r="D70" i="36"/>
  <c r="H22" i="36"/>
  <c r="AB22" i="36" s="1"/>
  <c r="D68" i="36"/>
  <c r="E68" i="36" s="1"/>
  <c r="F68" i="36" s="1"/>
  <c r="G68" i="36"/>
  <c r="D64" i="36"/>
  <c r="E64" i="36" s="1"/>
  <c r="F64" i="36" s="1"/>
  <c r="G64" i="36" s="1"/>
  <c r="J16" i="36"/>
  <c r="W16" i="36" s="1"/>
  <c r="D62" i="36"/>
  <c r="E62" i="36"/>
  <c r="F62" i="36" s="1"/>
  <c r="G62" i="36" s="1"/>
  <c r="B59" i="36"/>
  <c r="B57" i="36"/>
  <c r="H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s="1"/>
  <c r="Q10" i="36"/>
  <c r="Z10" i="36"/>
  <c r="F10" i="36"/>
  <c r="AA10" i="36" s="1"/>
  <c r="Q9" i="36"/>
  <c r="Z9" i="36" s="1"/>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c r="AB36" i="35" s="1"/>
  <c r="B99" i="35"/>
  <c r="B97" i="35"/>
  <c r="H34" i="35" s="1"/>
  <c r="B77" i="35"/>
  <c r="J25" i="35" s="1"/>
  <c r="B75" i="35"/>
  <c r="J24" i="35" s="1"/>
  <c r="AC24" i="35" s="1"/>
  <c r="B73" i="35"/>
  <c r="J23" i="35" s="1"/>
  <c r="AC23" i="35" s="1"/>
  <c r="H23" i="35"/>
  <c r="U23" i="35" s="1"/>
  <c r="B57" i="35"/>
  <c r="F11" i="35" s="1"/>
  <c r="S11" i="35" s="1"/>
  <c r="B61" i="35"/>
  <c r="B59" i="35"/>
  <c r="F12" i="35" s="1"/>
  <c r="B131" i="34"/>
  <c r="F47" i="34" s="1"/>
  <c r="B129" i="34"/>
  <c r="J46" i="34" s="1"/>
  <c r="B127" i="34"/>
  <c r="B99" i="34"/>
  <c r="B97" i="34"/>
  <c r="B95" i="34"/>
  <c r="B93" i="34"/>
  <c r="B75" i="34"/>
  <c r="B73" i="34"/>
  <c r="B71" i="34"/>
  <c r="J12" i="34" s="1"/>
  <c r="W12" i="34" s="1"/>
  <c r="B130" i="33"/>
  <c r="B128" i="33"/>
  <c r="B126" i="33"/>
  <c r="J44" i="33" s="1"/>
  <c r="B98" i="33"/>
  <c r="F31" i="33" s="1"/>
  <c r="B96" i="33"/>
  <c r="B94" i="33"/>
  <c r="B74" i="33"/>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J12" i="35"/>
  <c r="W12" i="35" s="1"/>
  <c r="H12" i="35"/>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E54" i="21"/>
  <c r="F54" i="21" s="1"/>
  <c r="I54" i="21"/>
  <c r="J54" i="21" s="1"/>
  <c r="G54" i="21"/>
  <c r="H54" i="21" s="1"/>
  <c r="D125" i="21"/>
  <c r="E125" i="21"/>
  <c r="F125" i="21" s="1"/>
  <c r="G125" i="21" s="1"/>
  <c r="D123" i="21"/>
  <c r="E123" i="21" s="1"/>
  <c r="F123" i="21" s="1"/>
  <c r="G123" i="21" s="1"/>
  <c r="H123" i="21" s="1"/>
  <c r="I123" i="21" s="1"/>
  <c r="J123" i="21" s="1"/>
  <c r="K123" i="21" s="1"/>
  <c r="L123" i="21" s="1"/>
  <c r="F42" i="21"/>
  <c r="AA42" i="2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J30" i="21" s="1"/>
  <c r="B94" i="21"/>
  <c r="J29" i="21" s="1"/>
  <c r="AC29" i="21"/>
  <c r="B92" i="21"/>
  <c r="J28" i="21" s="1"/>
  <c r="W28" i="21" s="1"/>
  <c r="B90" i="21"/>
  <c r="B74" i="21"/>
  <c r="B72" i="21"/>
  <c r="H13" i="21" s="1"/>
  <c r="B70" i="21"/>
  <c r="F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W35" i="21" s="1"/>
  <c r="Q35" i="21"/>
  <c r="Z35" i="21" s="1"/>
  <c r="Q36" i="21"/>
  <c r="Z36" i="21"/>
  <c r="Q37" i="21"/>
  <c r="Z37" i="21" s="1"/>
  <c r="J38" i="21"/>
  <c r="W38" i="21" s="1"/>
  <c r="Q38" i="21"/>
  <c r="Z38" i="21" s="1"/>
  <c r="J39" i="21"/>
  <c r="AC39" i="21"/>
  <c r="Q39" i="21"/>
  <c r="Z39" i="21" s="1"/>
  <c r="H40" i="21"/>
  <c r="AB40" i="21" s="1"/>
  <c r="Q40" i="21"/>
  <c r="Z40" i="21" s="1"/>
  <c r="Q41" i="21"/>
  <c r="Z41" i="21"/>
  <c r="Q42" i="21"/>
  <c r="Z42" i="21" s="1"/>
  <c r="J43" i="21"/>
  <c r="AC43" i="21" s="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c r="AB41" i="21"/>
  <c r="S41" i="21"/>
  <c r="AA41" i="21"/>
  <c r="F45" i="39"/>
  <c r="S45" i="39"/>
  <c r="J45" i="39"/>
  <c r="W45" i="39" s="1"/>
  <c r="J44" i="39"/>
  <c r="AC44" i="39"/>
  <c r="F36" i="39"/>
  <c r="H36" i="39"/>
  <c r="J35" i="39"/>
  <c r="AC35" i="39" s="1"/>
  <c r="F35" i="39"/>
  <c r="AA35" i="39"/>
  <c r="U9" i="39"/>
  <c r="W40" i="39"/>
  <c r="U30" i="37"/>
  <c r="W31" i="37"/>
  <c r="E103" i="37"/>
  <c r="F103" i="37" s="1"/>
  <c r="G103" i="37" s="1"/>
  <c r="H103" i="37" s="1"/>
  <c r="I103" i="37" s="1"/>
  <c r="J103" i="37" s="1"/>
  <c r="K103" i="37" s="1"/>
  <c r="L103" i="37" s="1"/>
  <c r="M103" i="37" s="1"/>
  <c r="F29" i="36"/>
  <c r="AA29" i="36" s="1"/>
  <c r="F16" i="36"/>
  <c r="AA16" i="36" s="1"/>
  <c r="W28" i="36"/>
  <c r="J33" i="36"/>
  <c r="AC33" i="36" s="1"/>
  <c r="H22" i="35"/>
  <c r="AB22" i="35" s="1"/>
  <c r="W28" i="35"/>
  <c r="U31" i="35"/>
  <c r="S31" i="35"/>
  <c r="F36" i="34"/>
  <c r="J35" i="34"/>
  <c r="H39" i="33"/>
  <c r="AB39" i="33" s="1"/>
  <c r="U35" i="33"/>
  <c r="S40" i="33"/>
  <c r="W39" i="33"/>
  <c r="H39" i="37"/>
  <c r="AB39" i="37" s="1"/>
  <c r="S27" i="35"/>
  <c r="F11" i="40"/>
  <c r="AA11" i="40" s="1"/>
  <c r="H11" i="40"/>
  <c r="AB11" i="40"/>
  <c r="W8" i="40"/>
  <c r="AB39" i="40"/>
  <c r="U9" i="40"/>
  <c r="S34" i="40"/>
  <c r="U38" i="40"/>
  <c r="U34" i="40"/>
  <c r="S38" i="40"/>
  <c r="F42" i="39"/>
  <c r="AA42" i="39" s="1"/>
  <c r="F41" i="39"/>
  <c r="S41" i="39" s="1"/>
  <c r="H40" i="39"/>
  <c r="AB40" i="39" s="1"/>
  <c r="H39" i="39"/>
  <c r="U39" i="39" s="1"/>
  <c r="H34" i="39"/>
  <c r="U34" i="39" s="1"/>
  <c r="E108" i="39"/>
  <c r="F31" i="39"/>
  <c r="AA31" i="39" s="1"/>
  <c r="H19" i="39"/>
  <c r="AB19" i="39" s="1"/>
  <c r="F19" i="39"/>
  <c r="AA19" i="39" s="1"/>
  <c r="H17" i="39"/>
  <c r="AB17" i="39" s="1"/>
  <c r="F17" i="39"/>
  <c r="AA17" i="39" s="1"/>
  <c r="J23" i="40"/>
  <c r="AC23" i="40"/>
  <c r="F21" i="40"/>
  <c r="AA21" i="40" s="1"/>
  <c r="J21" i="40"/>
  <c r="W21" i="40" s="1"/>
  <c r="H42" i="39"/>
  <c r="AB42" i="39" s="1"/>
  <c r="J34" i="39"/>
  <c r="AC34" i="39" s="1"/>
  <c r="F108" i="39"/>
  <c r="G108" i="39" s="1"/>
  <c r="H108" i="39" s="1"/>
  <c r="I108" i="39" s="1"/>
  <c r="J108" i="39" s="1"/>
  <c r="K108" i="39" s="1"/>
  <c r="L108" i="39" s="1"/>
  <c r="M108" i="39" s="1"/>
  <c r="J31" i="39"/>
  <c r="F100" i="39"/>
  <c r="G100" i="39" s="1"/>
  <c r="H27" i="39"/>
  <c r="U27" i="39" s="1"/>
  <c r="J19" i="39"/>
  <c r="AC19" i="39" s="1"/>
  <c r="J17" i="39"/>
  <c r="J27" i="39"/>
  <c r="AC27" i="39" s="1"/>
  <c r="F27" i="39"/>
  <c r="F11" i="21"/>
  <c r="S11" i="21" s="1"/>
  <c r="S40" i="21"/>
  <c r="U34" i="21"/>
  <c r="H11" i="39"/>
  <c r="S40" i="39"/>
  <c r="H32" i="33"/>
  <c r="AB32" i="33" s="1"/>
  <c r="H11" i="21"/>
  <c r="U11" i="21" s="1"/>
  <c r="J11" i="21"/>
  <c r="W11" i="21" s="1"/>
  <c r="H37" i="40"/>
  <c r="U37" i="40" s="1"/>
  <c r="H36" i="40"/>
  <c r="AB36" i="40" s="1"/>
  <c r="F35" i="40"/>
  <c r="AA35" i="40"/>
  <c r="H23" i="40"/>
  <c r="AB23" i="40" s="1"/>
  <c r="H17" i="40"/>
  <c r="U17" i="40" s="1"/>
  <c r="J15" i="40"/>
  <c r="W15" i="40" s="1"/>
  <c r="J11" i="40"/>
  <c r="AC12" i="34"/>
  <c r="AB12" i="36"/>
  <c r="W32" i="40"/>
  <c r="S44" i="39"/>
  <c r="J34" i="36"/>
  <c r="W34" i="36" s="1"/>
  <c r="J30" i="35"/>
  <c r="W30" i="35" s="1"/>
  <c r="H30" i="35"/>
  <c r="AB30" i="35" s="1"/>
  <c r="F22" i="35"/>
  <c r="AA22" i="35" s="1"/>
  <c r="H10" i="35"/>
  <c r="U10" i="35" s="1"/>
  <c r="F33" i="36"/>
  <c r="AA33" i="36"/>
  <c r="W30" i="36"/>
  <c r="H16" i="36"/>
  <c r="AB16" i="36" s="1"/>
  <c r="E85" i="36"/>
  <c r="F85" i="36" s="1"/>
  <c r="G85" i="36" s="1"/>
  <c r="H85" i="36" s="1"/>
  <c r="I85" i="36" s="1"/>
  <c r="J85" i="36" s="1"/>
  <c r="K85" i="36" s="1"/>
  <c r="L85" i="36" s="1"/>
  <c r="M85" i="36" s="1"/>
  <c r="J29" i="36"/>
  <c r="AC29" i="36" s="1"/>
  <c r="F24" i="36"/>
  <c r="AA24" i="36"/>
  <c r="F34" i="36"/>
  <c r="S34" i="36" s="1"/>
  <c r="F14" i="35"/>
  <c r="AA14" i="35" s="1"/>
  <c r="F23" i="35"/>
  <c r="AA23" i="35" s="1"/>
  <c r="J32" i="35"/>
  <c r="AC32" i="35" s="1"/>
  <c r="J16" i="35"/>
  <c r="AC16" i="35" s="1"/>
  <c r="H16" i="35"/>
  <c r="U16" i="35"/>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S41" i="33" s="1"/>
  <c r="AA41" i="33"/>
  <c r="S38"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AB17" i="34"/>
  <c r="G113" i="33"/>
  <c r="H113" i="33" s="1"/>
  <c r="I113" i="33" s="1"/>
  <c r="J113" i="33" s="1"/>
  <c r="K113" i="33" s="1"/>
  <c r="L113" i="33"/>
  <c r="M113" i="33" s="1"/>
  <c r="H37" i="33"/>
  <c r="AB37" i="33"/>
  <c r="H15" i="33"/>
  <c r="AB15" i="33" s="1"/>
  <c r="H11" i="33"/>
  <c r="AB11" i="33" s="1"/>
  <c r="F28" i="40"/>
  <c r="AA28" i="40"/>
  <c r="AA42" i="34"/>
  <c r="S42" i="34"/>
  <c r="AC38" i="34"/>
  <c r="AA38" i="34"/>
  <c r="J37" i="34"/>
  <c r="AC37" i="34" s="1"/>
  <c r="J11" i="33"/>
  <c r="W11" i="33" s="1"/>
  <c r="M123" i="21"/>
  <c r="J42" i="21"/>
  <c r="AC42" i="21"/>
  <c r="H42" i="21"/>
  <c r="U42" i="21"/>
  <c r="J44" i="34"/>
  <c r="F44" i="34"/>
  <c r="J10" i="35"/>
  <c r="AC10" i="35" s="1"/>
  <c r="F14" i="21"/>
  <c r="S14" i="21" s="1"/>
  <c r="H28" i="21"/>
  <c r="AB28" i="21" s="1"/>
  <c r="F28" i="21"/>
  <c r="AA28" i="21"/>
  <c r="AC30" i="21"/>
  <c r="J44" i="21"/>
  <c r="AC44" i="21" s="1"/>
  <c r="H44" i="21"/>
  <c r="U44" i="21" s="1"/>
  <c r="F44" i="21"/>
  <c r="AA44" i="21" s="1"/>
  <c r="H46" i="21"/>
  <c r="U46" i="21" s="1"/>
  <c r="J46" i="21"/>
  <c r="F46" i="21"/>
  <c r="AA46" i="21"/>
  <c r="H28" i="33"/>
  <c r="U28" i="33"/>
  <c r="F28" i="33"/>
  <c r="AA28" i="33"/>
  <c r="J28" i="33"/>
  <c r="W28" i="33"/>
  <c r="F33" i="35"/>
  <c r="S33" i="35"/>
  <c r="J33" i="35"/>
  <c r="AC33" i="35" s="1"/>
  <c r="F30" i="35"/>
  <c r="S30" i="35" s="1"/>
  <c r="G89" i="35"/>
  <c r="H89" i="35" s="1"/>
  <c r="I89" i="35" s="1"/>
  <c r="J89" i="35" s="1"/>
  <c r="K89" i="35" s="1"/>
  <c r="L89" i="35" s="1"/>
  <c r="M89" i="35" s="1"/>
  <c r="H10" i="36"/>
  <c r="AB10" i="36" s="1"/>
  <c r="J14" i="36"/>
  <c r="AC14" i="36"/>
  <c r="H14" i="36"/>
  <c r="U14" i="36" s="1"/>
  <c r="F28" i="36"/>
  <c r="AA28" i="36" s="1"/>
  <c r="J13" i="21"/>
  <c r="AC13" i="21" s="1"/>
  <c r="H27" i="21"/>
  <c r="AB27" i="21" s="1"/>
  <c r="H29" i="21"/>
  <c r="U29" i="21" s="1"/>
  <c r="J31" i="21"/>
  <c r="AC31" i="21" s="1"/>
  <c r="F31" i="21"/>
  <c r="S31" i="21"/>
  <c r="F45" i="21"/>
  <c r="AA45" i="21" s="1"/>
  <c r="F27" i="33"/>
  <c r="AA27" i="33" s="1"/>
  <c r="J13" i="33"/>
  <c r="H13" i="33"/>
  <c r="U13" i="33" s="1"/>
  <c r="F13" i="33"/>
  <c r="S13" i="33" s="1"/>
  <c r="J29" i="33"/>
  <c r="H29" i="33"/>
  <c r="U29" i="33"/>
  <c r="F29" i="33"/>
  <c r="S29" i="33" s="1"/>
  <c r="J31" i="33"/>
  <c r="H31" i="33"/>
  <c r="H45" i="33"/>
  <c r="U45" i="33"/>
  <c r="J45" i="33"/>
  <c r="W45" i="33" s="1"/>
  <c r="F45" i="33"/>
  <c r="AA45" i="33"/>
  <c r="J14" i="34"/>
  <c r="W14" i="34" s="1"/>
  <c r="F14" i="34"/>
  <c r="H14" i="34"/>
  <c r="H30" i="34"/>
  <c r="F30" i="34"/>
  <c r="S30" i="34" s="1"/>
  <c r="J30" i="34"/>
  <c r="H32" i="34"/>
  <c r="F32" i="34"/>
  <c r="J32" i="34"/>
  <c r="W32" i="34" s="1"/>
  <c r="H46" i="34"/>
  <c r="U46" i="34"/>
  <c r="F46" i="34"/>
  <c r="H11" i="35"/>
  <c r="AB11" i="35" s="1"/>
  <c r="J11" i="35"/>
  <c r="W11" i="35" s="1"/>
  <c r="AC11" i="35"/>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c r="H36" i="37"/>
  <c r="AB36" i="37"/>
  <c r="F107" i="37"/>
  <c r="J37" i="37"/>
  <c r="AC37" i="37" s="1"/>
  <c r="H37" i="37"/>
  <c r="U37" i="37"/>
  <c r="H40" i="37"/>
  <c r="U40" i="37" s="1"/>
  <c r="J40" i="37"/>
  <c r="AC40" i="37"/>
  <c r="F40" i="37"/>
  <c r="AA40" i="37" s="1"/>
  <c r="H14" i="33"/>
  <c r="U14" i="33" s="1"/>
  <c r="H30" i="33"/>
  <c r="AB30" i="33"/>
  <c r="F30" i="33"/>
  <c r="J30" i="33"/>
  <c r="J46" i="33"/>
  <c r="AC46" i="33" s="1"/>
  <c r="F46" i="33"/>
  <c r="AA46" i="33" s="1"/>
  <c r="H46" i="33"/>
  <c r="AB46" i="33"/>
  <c r="J13" i="34"/>
  <c r="W13" i="34" s="1"/>
  <c r="J29" i="34"/>
  <c r="F29" i="34"/>
  <c r="S29" i="34" s="1"/>
  <c r="H29" i="34"/>
  <c r="AB29" i="34" s="1"/>
  <c r="H45" i="34"/>
  <c r="U45" i="34" s="1"/>
  <c r="J45" i="34"/>
  <c r="W45" i="34"/>
  <c r="F45" i="34"/>
  <c r="S45" i="34" s="1"/>
  <c r="F13" i="35"/>
  <c r="J13" i="35"/>
  <c r="AC13" i="35" s="1"/>
  <c r="H13" i="35"/>
  <c r="U13" i="35" s="1"/>
  <c r="W25" i="35"/>
  <c r="F25" i="35"/>
  <c r="S25" i="35" s="1"/>
  <c r="H25" i="35"/>
  <c r="AB25" i="35" s="1"/>
  <c r="J35" i="35"/>
  <c r="AC35" i="35" s="1"/>
  <c r="F35" i="35"/>
  <c r="AA35" i="35"/>
  <c r="H35" i="35"/>
  <c r="J25" i="36"/>
  <c r="W25" i="36" s="1"/>
  <c r="F25" i="36"/>
  <c r="S25" i="36" s="1"/>
  <c r="AB25" i="36"/>
  <c r="H13" i="37"/>
  <c r="AB13" i="37" s="1"/>
  <c r="J13" i="37"/>
  <c r="W13" i="37" s="1"/>
  <c r="F28" i="37"/>
  <c r="AA28" i="37" s="1"/>
  <c r="J28" i="37"/>
  <c r="AC28" i="37" s="1"/>
  <c r="H28" i="37"/>
  <c r="H38" i="37"/>
  <c r="AB38" i="37" s="1"/>
  <c r="F38" i="37"/>
  <c r="S38" i="37" s="1"/>
  <c r="F43" i="39"/>
  <c r="AA43" i="39" s="1"/>
  <c r="J14" i="39"/>
  <c r="AC14" i="39" s="1"/>
  <c r="F14" i="39"/>
  <c r="H14" i="39"/>
  <c r="AB14" i="39" s="1"/>
  <c r="F12" i="40"/>
  <c r="S12" i="40" s="1"/>
  <c r="H12" i="40"/>
  <c r="AB12" i="40" s="1"/>
  <c r="H30" i="40"/>
  <c r="AB30" i="40"/>
  <c r="F33" i="40"/>
  <c r="AA33" i="40" s="1"/>
  <c r="H33" i="40"/>
  <c r="J35" i="40"/>
  <c r="AC35" i="40" s="1"/>
  <c r="J37" i="40"/>
  <c r="AC37" i="40"/>
  <c r="H13" i="40"/>
  <c r="U13" i="40" s="1"/>
  <c r="J13" i="40"/>
  <c r="W13" i="40" s="1"/>
  <c r="F13" i="40"/>
  <c r="AA13" i="40" s="1"/>
  <c r="F14" i="37"/>
  <c r="AA14" i="37" s="1"/>
  <c r="S14" i="37"/>
  <c r="F27" i="37"/>
  <c r="AA27" i="37" s="1"/>
  <c r="F13" i="39"/>
  <c r="H13" i="39"/>
  <c r="H14" i="40"/>
  <c r="AB14" i="40"/>
  <c r="J14" i="40"/>
  <c r="W14" i="40" s="1"/>
  <c r="F14" i="40"/>
  <c r="AA14" i="40" s="1"/>
  <c r="J14" i="37"/>
  <c r="J27" i="37"/>
  <c r="AC27" i="37" s="1"/>
  <c r="U46" i="33"/>
  <c r="J36" i="37"/>
  <c r="AC36" i="37" s="1"/>
  <c r="J10" i="36"/>
  <c r="AC10" i="36" s="1"/>
  <c r="S11" i="36"/>
  <c r="AB46" i="34"/>
  <c r="S45" i="33"/>
  <c r="AB45" i="33"/>
  <c r="AC28" i="21"/>
  <c r="BA586" i="3"/>
  <c r="F17" i="21"/>
  <c r="AA17" i="21" s="1"/>
  <c r="H17" i="21"/>
  <c r="AB17" i="21" s="1"/>
  <c r="F15" i="21"/>
  <c r="S15" i="21" s="1"/>
  <c r="J41" i="39"/>
  <c r="W41" i="39" s="1"/>
  <c r="W44" i="39"/>
  <c r="S35" i="39"/>
  <c r="G544" i="3"/>
  <c r="G540" i="3"/>
  <c r="G535" i="3"/>
  <c r="G532" i="3"/>
  <c r="G531" i="3"/>
  <c r="G527" i="3"/>
  <c r="G523" i="3"/>
  <c r="G518" i="3"/>
  <c r="G510" i="3"/>
  <c r="G508" i="3"/>
  <c r="G504" i="3"/>
  <c r="G496" i="3"/>
  <c r="G584" i="3"/>
  <c r="G580"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80" i="3"/>
  <c r="BA578" i="3"/>
  <c r="BA574" i="3"/>
  <c r="AZ574" i="3" s="1"/>
  <c r="BA572" i="3"/>
  <c r="AZ572" i="3" s="1"/>
  <c r="BA570" i="3"/>
  <c r="AZ570" i="3" s="1"/>
  <c r="BA566" i="3"/>
  <c r="BA564" i="3"/>
  <c r="BA562" i="3"/>
  <c r="BA558" i="3"/>
  <c r="BA556" i="3"/>
  <c r="AZ556" i="3" s="1"/>
  <c r="BA554" i="3"/>
  <c r="AZ554" i="3" s="1"/>
  <c r="BA552" i="3"/>
  <c r="AZ552" i="3" s="1"/>
  <c r="BA548" i="3"/>
  <c r="BA546" i="3"/>
  <c r="BA544" i="3"/>
  <c r="BA542" i="3"/>
  <c r="BA540" i="3"/>
  <c r="BA538" i="3"/>
  <c r="AZ538" i="3"/>
  <c r="BA536" i="3"/>
  <c r="AZ536" i="3"/>
  <c r="BA534" i="3"/>
  <c r="AZ534" i="3"/>
  <c r="BA532" i="3"/>
  <c r="BA530" i="3"/>
  <c r="BA528" i="3"/>
  <c r="AZ528" i="3" s="1"/>
  <c r="BA526" i="3"/>
  <c r="BA524" i="3"/>
  <c r="BA522" i="3"/>
  <c r="AZ522" i="3" s="1"/>
  <c r="BA520" i="3"/>
  <c r="BA518" i="3"/>
  <c r="AZ518" i="3" s="1"/>
  <c r="BA516" i="3"/>
  <c r="AZ516" i="3" s="1"/>
  <c r="BA514" i="3"/>
  <c r="BA512" i="3"/>
  <c r="AZ512" i="3" s="1"/>
  <c r="BA510" i="3"/>
  <c r="AZ510" i="3" s="1"/>
  <c r="BA508" i="3"/>
  <c r="BA506" i="3"/>
  <c r="BA504" i="3"/>
  <c r="BA502" i="3"/>
  <c r="BA500" i="3"/>
  <c r="BA498" i="3"/>
  <c r="AZ498" i="3"/>
  <c r="BA496" i="3"/>
  <c r="AZ496" i="3" s="1"/>
  <c r="BA494" i="3"/>
  <c r="BA587" i="3"/>
  <c r="BA583" i="3"/>
  <c r="BA581" i="3"/>
  <c r="BA579" i="3"/>
  <c r="BA577" i="3"/>
  <c r="BA575" i="3"/>
  <c r="AZ575" i="3" s="1"/>
  <c r="BA573" i="3"/>
  <c r="BA571" i="3"/>
  <c r="BA569" i="3"/>
  <c r="BA567" i="3"/>
  <c r="BA565" i="3"/>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BA499" i="3"/>
  <c r="BA497" i="3"/>
  <c r="AZ497" i="3" s="1"/>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s="1"/>
  <c r="BQ565" i="3"/>
  <c r="BL565" i="3" s="1"/>
  <c r="AZ565" i="3"/>
  <c r="BQ563" i="3"/>
  <c r="BL563" i="3" s="1"/>
  <c r="AZ563" i="3" s="1"/>
  <c r="BQ561" i="3"/>
  <c r="BL561" i="3"/>
  <c r="AZ561" i="3" s="1"/>
  <c r="BQ559" i="3"/>
  <c r="BL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BQ537" i="3"/>
  <c r="BL537" i="3" s="1"/>
  <c r="BQ535" i="3"/>
  <c r="BL535" i="3" s="1"/>
  <c r="AZ535" i="3" s="1"/>
  <c r="BQ533" i="3"/>
  <c r="BL533" i="3"/>
  <c r="AZ533" i="3" s="1"/>
  <c r="BQ531" i="3"/>
  <c r="BL531" i="3" s="1"/>
  <c r="BQ529" i="3"/>
  <c r="BL529" i="3" s="1"/>
  <c r="BQ527" i="3"/>
  <c r="BL527" i="3" s="1"/>
  <c r="AZ527" i="3"/>
  <c r="BQ525" i="3"/>
  <c r="BL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AZ511" i="3" s="1"/>
  <c r="BA509" i="3"/>
  <c r="AC509" i="3"/>
  <c r="G509" i="3" s="1"/>
  <c r="BQ509" i="3"/>
  <c r="BL509" i="3" s="1"/>
  <c r="BL508" i="3"/>
  <c r="AZ508" i="3"/>
  <c r="G507" i="3"/>
  <c r="G505" i="3"/>
  <c r="G503" i="3"/>
  <c r="G501" i="3"/>
  <c r="G499" i="3"/>
  <c r="G497" i="3"/>
  <c r="G495" i="3"/>
  <c r="BQ507" i="3"/>
  <c r="BQ505" i="3"/>
  <c r="BL505" i="3" s="1"/>
  <c r="AZ505" i="3" s="1"/>
  <c r="BQ503" i="3"/>
  <c r="BL503" i="3" s="1"/>
  <c r="BQ501" i="3"/>
  <c r="BL501" i="3" s="1"/>
  <c r="BQ499" i="3"/>
  <c r="BL499" i="3" s="1"/>
  <c r="AZ499" i="3" s="1"/>
  <c r="BQ497" i="3"/>
  <c r="BL497" i="3" s="1"/>
  <c r="BQ495" i="3"/>
  <c r="BL495" i="3"/>
  <c r="BQ493" i="3"/>
  <c r="S503"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c r="F36" i="37"/>
  <c r="AA36" i="37" s="1"/>
  <c r="F37" i="37"/>
  <c r="AA37" i="37"/>
  <c r="F31" i="40"/>
  <c r="AA31" i="40" s="1"/>
  <c r="H31" i="40"/>
  <c r="U31" i="40"/>
  <c r="F32" i="40"/>
  <c r="S32" i="40" s="1"/>
  <c r="H32" i="40"/>
  <c r="AB32" i="40" s="1"/>
  <c r="J36" i="40"/>
  <c r="W36" i="40" s="1"/>
  <c r="H19" i="37"/>
  <c r="AB19" i="37" s="1"/>
  <c r="F123" i="33"/>
  <c r="G123" i="33" s="1"/>
  <c r="H123" i="33" s="1"/>
  <c r="I123" i="33" s="1"/>
  <c r="J123" i="33" s="1"/>
  <c r="K123" i="33" s="1"/>
  <c r="L123" i="33" s="1"/>
  <c r="M123" i="33" s="1"/>
  <c r="H42" i="33"/>
  <c r="AB42" i="33" s="1"/>
  <c r="J43" i="33"/>
  <c r="AC43" i="33"/>
  <c r="U14" i="40"/>
  <c r="W23" i="35"/>
  <c r="U39" i="37"/>
  <c r="AA13" i="33"/>
  <c r="AC45" i="33"/>
  <c r="U19" i="21"/>
  <c r="W44" i="21"/>
  <c r="AB38" i="21"/>
  <c r="F43" i="33"/>
  <c r="AA43" i="33" s="1"/>
  <c r="W15" i="34"/>
  <c r="AC15" i="34"/>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W23" i="39"/>
  <c r="U45" i="39"/>
  <c r="AB45" i="39"/>
  <c r="AB44" i="39"/>
  <c r="U44" i="39"/>
  <c r="H37" i="39"/>
  <c r="AB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AZ120" i="3" s="1"/>
  <c r="G121" i="3"/>
  <c r="BA123" i="3"/>
  <c r="BL124" i="3"/>
  <c r="G125" i="3"/>
  <c r="BA127" i="3"/>
  <c r="AZ127" i="3"/>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AZ155" i="3" s="1"/>
  <c r="BL156" i="3"/>
  <c r="AZ156" i="3"/>
  <c r="G157" i="3"/>
  <c r="BA159" i="3"/>
  <c r="BL160" i="3"/>
  <c r="G161" i="3"/>
  <c r="BA163" i="3"/>
  <c r="AZ163" i="3"/>
  <c r="BL164" i="3"/>
  <c r="AZ164" i="3" s="1"/>
  <c r="G165" i="3"/>
  <c r="BA167" i="3"/>
  <c r="BL168" i="3"/>
  <c r="G169" i="3"/>
  <c r="BA171" i="3"/>
  <c r="AZ171" i="3"/>
  <c r="BL172" i="3"/>
  <c r="G173" i="3"/>
  <c r="BA175" i="3"/>
  <c r="BL176" i="3"/>
  <c r="AZ176" i="3" s="1"/>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144" i="3"/>
  <c r="AZ184" i="3"/>
  <c r="AZ97" i="3"/>
  <c r="G534" i="3"/>
  <c r="G530" i="3"/>
  <c r="G522" i="3"/>
  <c r="G516" i="3"/>
  <c r="G512" i="3"/>
  <c r="G506" i="3"/>
  <c r="G498" i="3"/>
  <c r="G494" i="3"/>
  <c r="G16" i="3"/>
  <c r="G15" i="3"/>
  <c r="C26" i="31" s="1"/>
  <c r="BA304" i="3"/>
  <c r="BA305" i="3"/>
  <c r="BL305" i="3"/>
  <c r="G306" i="3"/>
  <c r="G309" i="3"/>
  <c r="BL310" i="3"/>
  <c r="BA312" i="3"/>
  <c r="BA313" i="3"/>
  <c r="BL313" i="3"/>
  <c r="G314" i="3"/>
  <c r="G317" i="3"/>
  <c r="BL318" i="3"/>
  <c r="BA320" i="3"/>
  <c r="BA321" i="3"/>
  <c r="BL321" i="3"/>
  <c r="G322" i="3"/>
  <c r="G325" i="3"/>
  <c r="BL326" i="3"/>
  <c r="AZ326" i="3" s="1"/>
  <c r="BA328" i="3"/>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166" i="3"/>
  <c r="AZ500" i="3"/>
  <c r="BL303" i="3"/>
  <c r="AZ303" i="3" s="1"/>
  <c r="G304" i="3"/>
  <c r="BA306" i="3"/>
  <c r="BL307" i="3"/>
  <c r="AZ307" i="3" s="1"/>
  <c r="G308" i="3"/>
  <c r="BA310" i="3"/>
  <c r="AZ310" i="3"/>
  <c r="BL311" i="3"/>
  <c r="AZ311" i="3" s="1"/>
  <c r="G312" i="3"/>
  <c r="BA314" i="3"/>
  <c r="AZ314" i="3"/>
  <c r="BL315" i="3"/>
  <c r="G316" i="3"/>
  <c r="BA318" i="3"/>
  <c r="AZ318" i="3" s="1"/>
  <c r="BL319" i="3"/>
  <c r="AZ319" i="3" s="1"/>
  <c r="G320" i="3"/>
  <c r="BA322" i="3"/>
  <c r="AZ322" i="3" s="1"/>
  <c r="BL323" i="3"/>
  <c r="G324" i="3"/>
  <c r="BA326" i="3"/>
  <c r="BL327" i="3"/>
  <c r="G328" i="3"/>
  <c r="BA330" i="3"/>
  <c r="BL331" i="3"/>
  <c r="AZ331" i="3" s="1"/>
  <c r="G332" i="3"/>
  <c r="BA334" i="3"/>
  <c r="AZ334" i="3" s="1"/>
  <c r="BL335" i="3"/>
  <c r="G336" i="3"/>
  <c r="BA338" i="3"/>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29" i="3"/>
  <c r="AZ233" i="3"/>
  <c r="AZ249" i="3"/>
  <c r="BA379" i="3"/>
  <c r="BL380" i="3"/>
  <c r="AZ380" i="3" s="1"/>
  <c r="G381" i="3"/>
  <c r="BA383" i="3"/>
  <c r="AZ383" i="3" s="1"/>
  <c r="BL384" i="3"/>
  <c r="G385" i="3"/>
  <c r="BA387" i="3"/>
  <c r="BL388" i="3"/>
  <c r="G389" i="3"/>
  <c r="BA391" i="3"/>
  <c r="AZ391" i="3" s="1"/>
  <c r="BL392" i="3"/>
  <c r="G393" i="3"/>
  <c r="AZ275" i="3"/>
  <c r="BO5" i="3"/>
  <c r="BM5" i="3"/>
  <c r="BH5" i="3"/>
  <c r="BD5" i="3"/>
  <c r="AZ341" i="3"/>
  <c r="G548" i="3"/>
  <c r="G538" i="3"/>
  <c r="G520" i="3"/>
  <c r="G502" i="3"/>
  <c r="BS5" i="3"/>
  <c r="BP5" i="3"/>
  <c r="BK5" i="3"/>
  <c r="BI5" i="3"/>
  <c r="BG5" i="3"/>
  <c r="BE5" i="3"/>
  <c r="BC5" i="3"/>
  <c r="G17" i="3"/>
  <c r="BA17" i="3"/>
  <c r="BT5" i="3"/>
  <c r="AZ356" i="3"/>
  <c r="BR5" i="3"/>
  <c r="AZ392" i="3"/>
  <c r="AZ509" i="3"/>
  <c r="BL493" i="3"/>
  <c r="AZ493" i="3"/>
  <c r="U36" i="40"/>
  <c r="F83" i="43"/>
  <c r="H85" i="43" s="1"/>
  <c r="F50" i="43"/>
  <c r="H54" i="43" s="1"/>
  <c r="F72" i="43"/>
  <c r="H75" i="43" s="1"/>
  <c r="U17" i="39"/>
  <c r="S14" i="35"/>
  <c r="U43" i="21"/>
  <c r="U35" i="21"/>
  <c r="AC35" i="21"/>
  <c r="AC11" i="39"/>
  <c r="AZ501" i="3"/>
  <c r="W37" i="37"/>
  <c r="W44" i="34"/>
  <c r="AC44" i="34"/>
  <c r="S15" i="37"/>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c r="J27" i="40"/>
  <c r="AC27" i="40"/>
  <c r="F27" i="40"/>
  <c r="S27" i="40"/>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74" i="3"/>
  <c r="AZ110" i="3"/>
  <c r="F23" i="39"/>
  <c r="AA23" i="39"/>
  <c r="H27" i="36"/>
  <c r="U27" i="36" s="1"/>
  <c r="F27" i="36"/>
  <c r="AA27" i="36" s="1"/>
  <c r="H33" i="34"/>
  <c r="U33" i="34"/>
  <c r="F32" i="37"/>
  <c r="AA32"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586" i="3"/>
  <c r="W12" i="33"/>
  <c r="AC12" i="33"/>
  <c r="AA32" i="36"/>
  <c r="S32" i="36"/>
  <c r="AZ473" i="3"/>
  <c r="BL14" i="3"/>
  <c r="U30" i="33"/>
  <c r="AC13" i="34"/>
  <c r="W28" i="37"/>
  <c r="S19" i="39"/>
  <c r="F12" i="33"/>
  <c r="S12" i="33" s="1"/>
  <c r="H12" i="39"/>
  <c r="AB12" i="39"/>
  <c r="F39" i="40"/>
  <c r="BA14" i="3"/>
  <c r="AZ367" i="3"/>
  <c r="AZ189"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S28" i="40"/>
  <c r="AA27" i="40"/>
  <c r="U21" i="40"/>
  <c r="AB19" i="40"/>
  <c r="U37" i="39"/>
  <c r="S43"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AB31" i="37"/>
  <c r="W30" i="37"/>
  <c r="S36" i="37"/>
  <c r="AA38" i="37"/>
  <c r="U32" i="37"/>
  <c r="W38" i="37"/>
  <c r="AC35"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U9" i="33"/>
  <c r="J10" i="33"/>
  <c r="W10" i="33" s="1"/>
  <c r="H10" i="33"/>
  <c r="U10" i="33" s="1"/>
  <c r="AB14" i="33"/>
  <c r="W43" i="21"/>
  <c r="W36" i="21"/>
  <c r="W41" i="21"/>
  <c r="AB39" i="21"/>
  <c r="AA43" i="21"/>
  <c r="S39" i="21"/>
  <c r="AA38" i="21"/>
  <c r="AA36" i="21"/>
  <c r="AC40" i="21"/>
  <c r="J15" i="21"/>
  <c r="AC15" i="21" s="1"/>
  <c r="W15" i="21"/>
  <c r="F77" i="21"/>
  <c r="G77" i="21"/>
  <c r="F23" i="21"/>
  <c r="AA23" i="21" s="1"/>
  <c r="S23" i="21"/>
  <c r="E85" i="21"/>
  <c r="AA14" i="21"/>
  <c r="D120" i="9"/>
  <c r="D121" i="9" s="1"/>
  <c r="D7" i="52" s="1"/>
  <c r="F34" i="67"/>
  <c r="F62" i="67" s="1"/>
  <c r="M20" i="67"/>
  <c r="F34" i="15"/>
  <c r="F62" i="15" s="1"/>
  <c r="G13" i="3"/>
  <c r="BL17" i="3"/>
  <c r="AZ17" i="3"/>
  <c r="BL13" i="3"/>
  <c r="J56" i="9"/>
  <c r="J57" i="9" s="1"/>
  <c r="J59" i="9" s="1"/>
  <c r="J61" i="9" s="1"/>
  <c r="A24" i="51"/>
  <c r="B18" i="72" s="1"/>
  <c r="U29" i="34"/>
  <c r="E5" i="6"/>
  <c r="E32" i="6"/>
  <c r="K1" i="12"/>
  <c r="E19" i="69"/>
  <c r="E19" i="68"/>
  <c r="E19" i="11"/>
  <c r="E1" i="73"/>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G1" i="15"/>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0" i="34"/>
  <c r="AB45"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W46" i="33"/>
  <c r="U39" i="33"/>
  <c r="U38" i="33"/>
  <c r="AB34" i="33"/>
  <c r="S30" i="33"/>
  <c r="AA30"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46" i="21"/>
  <c r="U40" i="21"/>
  <c r="AB31" i="21"/>
  <c r="U31" i="21"/>
  <c r="U13" i="21"/>
  <c r="AB13" i="21"/>
  <c r="S35" i="21"/>
  <c r="J37" i="21"/>
  <c r="W37" i="21" s="1"/>
  <c r="H15" i="21"/>
  <c r="U15" i="21"/>
  <c r="J17" i="21"/>
  <c r="AC17" i="21" s="1"/>
  <c r="AC19" i="21"/>
  <c r="W39"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W13"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28" i="67"/>
  <c r="F32" i="67"/>
  <c r="F60" i="67" s="1"/>
  <c r="F28" i="15"/>
  <c r="AA39" i="40"/>
  <c r="S39" i="40"/>
  <c r="AA12" i="33"/>
  <c r="J32" i="39"/>
  <c r="W32" i="39" s="1"/>
  <c r="H32" i="39"/>
  <c r="AB32" i="39" s="1"/>
  <c r="AA32" i="39"/>
  <c r="S32" i="39"/>
  <c r="AB21" i="39"/>
  <c r="U21" i="39"/>
  <c r="AC17" i="37"/>
  <c r="S17" i="37"/>
  <c r="J19" i="37"/>
  <c r="W19" i="37" s="1"/>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U25" i="33"/>
  <c r="AB25" i="33"/>
  <c r="S25" i="33"/>
  <c r="AA25" i="33"/>
  <c r="J25" i="33"/>
  <c r="AC25" i="33" s="1"/>
  <c r="AB23" i="33"/>
  <c r="U23" i="33"/>
  <c r="F23" i="33"/>
  <c r="H19" i="33"/>
  <c r="AB19" i="33" s="1"/>
  <c r="G81" i="33"/>
  <c r="H17" i="33"/>
  <c r="U17" i="33" s="1"/>
  <c r="F17" i="33"/>
  <c r="S17" i="33" s="1"/>
  <c r="W17" i="33"/>
  <c r="AC17" i="33"/>
  <c r="S37" i="21"/>
  <c r="AB15" i="21"/>
  <c r="J23" i="21"/>
  <c r="W23" i="21" s="1"/>
  <c r="F85" i="21"/>
  <c r="G85" i="21" s="1"/>
  <c r="H23" i="21"/>
  <c r="S13" i="21"/>
  <c r="D6" i="52"/>
  <c r="AP7" i="1"/>
  <c r="AB9" i="21"/>
  <c r="U9" i="21"/>
  <c r="W9" i="21"/>
  <c r="AC9" i="21"/>
  <c r="U32" i="39"/>
  <c r="AC32" i="39"/>
  <c r="AC23" i="37"/>
  <c r="J11" i="37"/>
  <c r="AC11" i="37" s="1"/>
  <c r="H70" i="34"/>
  <c r="I70" i="34" s="1"/>
  <c r="J70" i="34" s="1"/>
  <c r="K70" i="34"/>
  <c r="L70" i="34" s="1"/>
  <c r="M70" i="34" s="1"/>
  <c r="J11" i="34"/>
  <c r="W11" i="34" s="1"/>
  <c r="AC27" i="33"/>
  <c r="W25" i="33"/>
  <c r="U19" i="33"/>
  <c r="AA17" i="33"/>
  <c r="U23" i="21"/>
  <c r="AB23" i="21"/>
  <c r="H109" i="9"/>
  <c r="H112" i="9"/>
  <c r="D21" i="53"/>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6" i="15"/>
  <c r="F40" i="15"/>
  <c r="F20" i="31"/>
  <c r="F8" i="15"/>
  <c r="F9" i="15"/>
  <c r="M9" i="15"/>
  <c r="E11" i="76"/>
  <c r="E9" i="76"/>
  <c r="B9" i="76"/>
  <c r="L47" i="15"/>
  <c r="B7" i="76"/>
  <c r="F37" i="15"/>
  <c r="B11" i="76"/>
  <c r="B12" i="76"/>
  <c r="E2" i="69"/>
  <c r="AO13" i="1"/>
  <c r="E7" i="76"/>
  <c r="E2" i="68"/>
  <c r="F16" i="15"/>
  <c r="M28" i="15"/>
  <c r="F3" i="73"/>
  <c r="E8" i="76"/>
  <c r="J15" i="15"/>
  <c r="M26" i="15"/>
  <c r="B8" i="76"/>
  <c r="F4" i="73"/>
  <c r="E13" i="76"/>
  <c r="M6" i="15"/>
  <c r="E10" i="76"/>
  <c r="F36" i="15"/>
  <c r="D6" i="73"/>
  <c r="F42" i="15"/>
  <c r="F13" i="15"/>
  <c r="E12" i="76"/>
  <c r="F7" i="73"/>
  <c r="M23" i="15"/>
  <c r="F5" i="73"/>
  <c r="F6" i="73"/>
  <c r="B13" i="76"/>
  <c r="F26" i="15"/>
  <c r="M8" i="15"/>
  <c r="M22" i="15"/>
  <c r="B10" i="76"/>
  <c r="C76" i="15"/>
  <c r="F38" i="15"/>
  <c r="L48" i="15"/>
  <c r="M24" i="15"/>
  <c r="E20" i="6" l="1"/>
  <c r="B7" i="1"/>
  <c r="E7" i="1" s="1"/>
  <c r="G1" i="81"/>
  <c r="G7" i="1"/>
  <c r="BB5" i="3"/>
  <c r="C51" i="10"/>
  <c r="A13" i="51" s="1"/>
  <c r="B11" i="72" s="1"/>
  <c r="A118" i="84"/>
  <c r="A2" i="84"/>
  <c r="D51" i="43"/>
  <c r="D55" i="43"/>
  <c r="C18" i="9"/>
  <c r="D18" i="9" s="1"/>
  <c r="AC11" i="33"/>
  <c r="S33" i="33"/>
  <c r="S36" i="33"/>
  <c r="W33" i="33"/>
  <c r="AZ14" i="3"/>
  <c r="G29" i="6"/>
  <c r="C21" i="68"/>
  <c r="G26" i="12"/>
  <c r="G22" i="68"/>
  <c r="G22" i="69"/>
  <c r="G1" i="67"/>
  <c r="G1" i="68"/>
  <c r="K6" i="1"/>
  <c r="BA13" i="3"/>
  <c r="B13" i="53"/>
  <c r="B29" i="72" s="1"/>
  <c r="AC44" i="33"/>
  <c r="W44" i="33"/>
  <c r="S47" i="34"/>
  <c r="AA47" i="34"/>
  <c r="AB34" i="35"/>
  <c r="U34" i="35"/>
  <c r="M18" i="15"/>
  <c r="M18" i="67"/>
  <c r="F30" i="11"/>
  <c r="C48" i="11" s="1"/>
  <c r="AC39" i="34"/>
  <c r="S32" i="37"/>
  <c r="AA34" i="33"/>
  <c r="AZ345" i="3"/>
  <c r="AZ337" i="3"/>
  <c r="AZ143" i="3"/>
  <c r="AZ376" i="3"/>
  <c r="AZ327" i="3"/>
  <c r="AZ324" i="3"/>
  <c r="AZ309" i="3"/>
  <c r="U11" i="33"/>
  <c r="AC36" i="34"/>
  <c r="AZ583" i="3"/>
  <c r="AZ520" i="3"/>
  <c r="AZ502" i="3"/>
  <c r="W31" i="33"/>
  <c r="AC31" i="33"/>
  <c r="W22" i="35"/>
  <c r="BL587" i="3"/>
  <c r="AZ587" i="3" s="1"/>
  <c r="BJ5" i="3"/>
  <c r="BA585" i="3"/>
  <c r="J37" i="39"/>
  <c r="F37" i="39"/>
  <c r="AA38" i="39"/>
  <c r="S38" i="39"/>
  <c r="AB36" i="33"/>
  <c r="U32" i="21"/>
  <c r="S32" i="21"/>
  <c r="AB45" i="21"/>
  <c r="AA19" i="33"/>
  <c r="S21" i="39"/>
  <c r="F54" i="9"/>
  <c r="F32" i="15"/>
  <c r="F60" i="15" s="1"/>
  <c r="F52" i="9"/>
  <c r="F30" i="68"/>
  <c r="F48" i="68" s="1"/>
  <c r="AC37" i="33"/>
  <c r="S20" i="36"/>
  <c r="AC34" i="33"/>
  <c r="U12" i="40"/>
  <c r="AC5" i="3"/>
  <c r="AZ389" i="3"/>
  <c r="AZ372" i="3"/>
  <c r="AZ320" i="3"/>
  <c r="AZ304" i="3"/>
  <c r="AZ203" i="3"/>
  <c r="W16" i="35"/>
  <c r="AZ523" i="3"/>
  <c r="AZ571" i="3"/>
  <c r="AZ579" i="3"/>
  <c r="AC11" i="40"/>
  <c r="W11" i="40"/>
  <c r="S36" i="39"/>
  <c r="AA36" i="39"/>
  <c r="H25" i="37"/>
  <c r="F25" i="37"/>
  <c r="J25" i="37"/>
  <c r="U8" i="39"/>
  <c r="AB8" i="39"/>
  <c r="AC23" i="21"/>
  <c r="D68" i="9"/>
  <c r="F30" i="69"/>
  <c r="F48" i="69" s="1"/>
  <c r="F31" i="12"/>
  <c r="C31" i="12" s="1"/>
  <c r="AB20" i="35"/>
  <c r="AA19" i="40"/>
  <c r="U13" i="37"/>
  <c r="F29" i="6"/>
  <c r="AZ379" i="3"/>
  <c r="AZ346" i="3"/>
  <c r="AZ313" i="3"/>
  <c r="AZ306" i="3"/>
  <c r="AZ525" i="3"/>
  <c r="AZ531" i="3"/>
  <c r="AZ524" i="3"/>
  <c r="AZ558" i="3"/>
  <c r="S28" i="34"/>
  <c r="BL585" i="3"/>
  <c r="J14" i="21"/>
  <c r="H14" i="21"/>
  <c r="B72" i="43"/>
  <c r="C15" i="39"/>
  <c r="AB34" i="34"/>
  <c r="U34" i="34"/>
  <c r="AC27" i="35"/>
  <c r="W27" i="35"/>
  <c r="AB26" i="37"/>
  <c r="U26" i="37"/>
  <c r="W12" i="40"/>
  <c r="AC12" i="40"/>
  <c r="AZ513" i="3"/>
  <c r="U33" i="40"/>
  <c r="AB33" i="40"/>
  <c r="S44" i="34"/>
  <c r="AA44" i="34"/>
  <c r="S29" i="35"/>
  <c r="AA29" i="35"/>
  <c r="U12" i="35"/>
  <c r="AB12" i="35"/>
  <c r="J14" i="33"/>
  <c r="F14" i="33"/>
  <c r="F44" i="33"/>
  <c r="H44" i="33"/>
  <c r="F13" i="34"/>
  <c r="H13" i="34"/>
  <c r="U13" i="34" s="1"/>
  <c r="H31" i="34"/>
  <c r="J31" i="34"/>
  <c r="F31" i="34"/>
  <c r="H47" i="34"/>
  <c r="J47" i="34"/>
  <c r="AZ540" i="3"/>
  <c r="H30" i="21"/>
  <c r="F12" i="36"/>
  <c r="C25" i="39"/>
  <c r="U33" i="33"/>
  <c r="AB36" i="39"/>
  <c r="U36" i="39"/>
  <c r="B79" i="43"/>
  <c r="J12" i="36"/>
  <c r="J43" i="39"/>
  <c r="H43" i="39"/>
  <c r="U30" i="36"/>
  <c r="AB30" i="36"/>
  <c r="BL532" i="3"/>
  <c r="AZ532" i="3" s="1"/>
  <c r="BL524" i="3"/>
  <c r="BL504" i="3"/>
  <c r="AZ504" i="3" s="1"/>
  <c r="J27" i="21"/>
  <c r="F27" i="21"/>
  <c r="F26" i="33"/>
  <c r="H26" i="33"/>
  <c r="AA34" i="39"/>
  <c r="S34" i="39"/>
  <c r="AC31" i="40"/>
  <c r="W31" i="40"/>
  <c r="BL564" i="3"/>
  <c r="AZ564" i="3" s="1"/>
  <c r="BA560" i="3"/>
  <c r="AZ560" i="3" s="1"/>
  <c r="BL550" i="3"/>
  <c r="BL544" i="3"/>
  <c r="AZ544" i="3" s="1"/>
  <c r="BL542" i="3"/>
  <c r="AZ542" i="3" s="1"/>
  <c r="BL526" i="3"/>
  <c r="BL506" i="3"/>
  <c r="AZ506" i="3" s="1"/>
  <c r="AZ387" i="3"/>
  <c r="AZ374" i="3"/>
  <c r="AZ362" i="3"/>
  <c r="AZ338" i="3"/>
  <c r="AZ390" i="3"/>
  <c r="AZ371" i="3"/>
  <c r="AZ351" i="3"/>
  <c r="AZ336" i="3"/>
  <c r="AZ305" i="3"/>
  <c r="AZ360" i="3"/>
  <c r="AZ539" i="3"/>
  <c r="AZ529" i="3"/>
  <c r="AZ537" i="3"/>
  <c r="AZ526" i="3"/>
  <c r="AZ546" i="3"/>
  <c r="S14" i="34"/>
  <c r="AA14" i="34"/>
  <c r="F30" i="21"/>
  <c r="J9" i="33"/>
  <c r="J9" i="34"/>
  <c r="AB31" i="36"/>
  <c r="U31" i="36"/>
  <c r="J39" i="37"/>
  <c r="F39" i="37"/>
  <c r="S39" i="37" s="1"/>
  <c r="S9" i="40"/>
  <c r="AA9" i="40"/>
  <c r="BA584" i="3"/>
  <c r="AZ584" i="3" s="1"/>
  <c r="BL582" i="3"/>
  <c r="AZ582" i="3" s="1"/>
  <c r="BL580" i="3"/>
  <c r="AZ580" i="3" s="1"/>
  <c r="BA576" i="3"/>
  <c r="AZ576" i="3" s="1"/>
  <c r="G570" i="3"/>
  <c r="BA568" i="3"/>
  <c r="AZ568" i="3" s="1"/>
  <c r="BL566" i="3"/>
  <c r="AZ566" i="3" s="1"/>
  <c r="AZ469" i="3"/>
  <c r="AZ228" i="3"/>
  <c r="G587" i="3"/>
  <c r="AZ402" i="3"/>
  <c r="AZ451" i="3"/>
  <c r="AZ217" i="3"/>
  <c r="AZ404" i="3"/>
  <c r="AZ405" i="3"/>
  <c r="AZ407" i="3"/>
  <c r="AZ419" i="3"/>
  <c r="AZ448" i="3"/>
  <c r="AZ476" i="3"/>
  <c r="AZ480" i="3"/>
  <c r="BA551" i="3"/>
  <c r="AZ551" i="3" s="1"/>
  <c r="BA550" i="3"/>
  <c r="AZ550" i="3" s="1"/>
  <c r="BL548" i="3"/>
  <c r="AZ548" i="3" s="1"/>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AZ468" i="3" s="1"/>
  <c r="BL471" i="3"/>
  <c r="BL475" i="3"/>
  <c r="BA477" i="3"/>
  <c r="BA478" i="3"/>
  <c r="AZ478" i="3" s="1"/>
  <c r="BA481" i="3"/>
  <c r="G484" i="3"/>
  <c r="BA488" i="3"/>
  <c r="AZ488" i="3" s="1"/>
  <c r="BA491" i="3"/>
  <c r="BL324" i="3"/>
  <c r="BL328" i="3"/>
  <c r="AZ328" i="3" s="1"/>
  <c r="G329" i="3"/>
  <c r="BA335" i="3"/>
  <c r="AZ335" i="3" s="1"/>
  <c r="BA339" i="3"/>
  <c r="AZ339" i="3" s="1"/>
  <c r="G343" i="3"/>
  <c r="G347" i="3"/>
  <c r="BA348" i="3"/>
  <c r="BA350" i="3"/>
  <c r="AZ350" i="3" s="1"/>
  <c r="BA354" i="3"/>
  <c r="BA366" i="3"/>
  <c r="AZ366" i="3" s="1"/>
  <c r="BL375" i="3"/>
  <c r="AZ375" i="3" s="1"/>
  <c r="BL385" i="3"/>
  <c r="BA397" i="3"/>
  <c r="BL397" i="3"/>
  <c r="BA210" i="3"/>
  <c r="AZ210" i="3" s="1"/>
  <c r="BL210" i="3"/>
  <c r="BL212" i="3"/>
  <c r="BL214" i="3"/>
  <c r="AZ214" i="3" s="1"/>
  <c r="BL225" i="3"/>
  <c r="AZ225" i="3" s="1"/>
  <c r="BL226"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79" i="3"/>
  <c r="G155" i="3"/>
  <c r="BL158" i="3"/>
  <c r="BA168" i="3"/>
  <c r="AZ168" i="3" s="1"/>
  <c r="G178" i="3"/>
  <c r="AZ201" i="3"/>
  <c r="AZ27" i="3"/>
  <c r="BL398" i="3"/>
  <c r="BL403" i="3"/>
  <c r="AZ403" i="3" s="1"/>
  <c r="BA408" i="3"/>
  <c r="BA409" i="3"/>
  <c r="AZ409" i="3" s="1"/>
  <c r="BA411" i="3"/>
  <c r="AZ411" i="3" s="1"/>
  <c r="BL414" i="3"/>
  <c r="BL415" i="3"/>
  <c r="BA417" i="3"/>
  <c r="AZ417" i="3" s="1"/>
  <c r="BL421" i="3"/>
  <c r="BL422" i="3"/>
  <c r="AZ422" i="3" s="1"/>
  <c r="BL425" i="3"/>
  <c r="BL426" i="3"/>
  <c r="BA428" i="3"/>
  <c r="AZ428" i="3" s="1"/>
  <c r="BA429" i="3"/>
  <c r="AZ429" i="3" s="1"/>
  <c r="BA430" i="3"/>
  <c r="AZ430" i="3" s="1"/>
  <c r="BA432" i="3"/>
  <c r="AZ432" i="3" s="1"/>
  <c r="BA434" i="3"/>
  <c r="BA436" i="3"/>
  <c r="BA438" i="3"/>
  <c r="G442" i="3"/>
  <c r="BA446" i="3"/>
  <c r="BA450" i="3"/>
  <c r="BA453" i="3"/>
  <c r="BA455" i="3"/>
  <c r="AZ455" i="3" s="1"/>
  <c r="BL457" i="3"/>
  <c r="BL460" i="3"/>
  <c r="BL461" i="3"/>
  <c r="BL463" i="3"/>
  <c r="G465" i="3"/>
  <c r="BA471" i="3"/>
  <c r="AZ471" i="3" s="1"/>
  <c r="BL317" i="3"/>
  <c r="BA349" i="3"/>
  <c r="AZ349" i="3" s="1"/>
  <c r="BA353" i="3"/>
  <c r="BL353" i="3"/>
  <c r="BA358" i="3"/>
  <c r="AZ358" i="3" s="1"/>
  <c r="BL365" i="3"/>
  <c r="AZ365" i="3" s="1"/>
  <c r="BA368" i="3"/>
  <c r="BL368" i="3"/>
  <c r="BA374" i="3"/>
  <c r="BA388" i="3"/>
  <c r="AZ388" i="3" s="1"/>
  <c r="BA396" i="3"/>
  <c r="BA209" i="3"/>
  <c r="BL217" i="3"/>
  <c r="BA219" i="3"/>
  <c r="AZ219" i="3" s="1"/>
  <c r="BA221" i="3"/>
  <c r="BA223" i="3"/>
  <c r="AZ223" i="3" s="1"/>
  <c r="BL228" i="3"/>
  <c r="BA230" i="3"/>
  <c r="AZ230" i="3" s="1"/>
  <c r="BL232" i="3"/>
  <c r="BL234" i="3"/>
  <c r="BA236" i="3"/>
  <c r="AZ236" i="3" s="1"/>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L280" i="3"/>
  <c r="BL286" i="3"/>
  <c r="AZ286" i="3" s="1"/>
  <c r="BA125" i="3"/>
  <c r="AZ125" i="3" s="1"/>
  <c r="BL15" i="3"/>
  <c r="AZ15" i="3" s="1"/>
  <c r="BA398" i="3"/>
  <c r="AZ398" i="3" s="1"/>
  <c r="BA399" i="3"/>
  <c r="AZ399" i="3" s="1"/>
  <c r="BL401" i="3"/>
  <c r="AZ401" i="3" s="1"/>
  <c r="BL404" i="3"/>
  <c r="BL405" i="3"/>
  <c r="BL407" i="3"/>
  <c r="BA412" i="3"/>
  <c r="AZ412" i="3" s="1"/>
  <c r="BA414" i="3"/>
  <c r="BA415" i="3"/>
  <c r="BA416" i="3"/>
  <c r="AZ416" i="3" s="1"/>
  <c r="BA418" i="3"/>
  <c r="AZ418" i="3" s="1"/>
  <c r="BA421" i="3"/>
  <c r="AZ421" i="3" s="1"/>
  <c r="BA423" i="3"/>
  <c r="AZ423" i="3" s="1"/>
  <c r="BA425" i="3"/>
  <c r="AZ425" i="3" s="1"/>
  <c r="BA426" i="3"/>
  <c r="AZ426" i="3" s="1"/>
  <c r="BA427" i="3"/>
  <c r="AZ427" i="3" s="1"/>
  <c r="BA433" i="3"/>
  <c r="AZ433" i="3" s="1"/>
  <c r="BA435" i="3"/>
  <c r="BL437" i="3"/>
  <c r="AZ437" i="3" s="1"/>
  <c r="G439" i="3"/>
  <c r="BL441" i="3"/>
  <c r="AZ441" i="3" s="1"/>
  <c r="BL442" i="3"/>
  <c r="BL444" i="3"/>
  <c r="AZ444" i="3" s="1"/>
  <c r="G446" i="3"/>
  <c r="BL448" i="3"/>
  <c r="G450" i="3"/>
  <c r="BA454" i="3"/>
  <c r="AZ454" i="3" s="1"/>
  <c r="BA457" i="3"/>
  <c r="AZ457" i="3" s="1"/>
  <c r="BA459" i="3"/>
  <c r="BA460" i="3"/>
  <c r="AZ460" i="3" s="1"/>
  <c r="BA461" i="3"/>
  <c r="AZ461" i="3" s="1"/>
  <c r="BL464" i="3"/>
  <c r="AZ464" i="3" s="1"/>
  <c r="BL466" i="3"/>
  <c r="AZ466" i="3" s="1"/>
  <c r="G468" i="3"/>
  <c r="G469" i="3"/>
  <c r="BL476" i="3"/>
  <c r="BL477" i="3"/>
  <c r="BL478" i="3"/>
  <c r="G479" i="3"/>
  <c r="G480" i="3"/>
  <c r="BL480" i="3"/>
  <c r="G482" i="3"/>
  <c r="BA483" i="3"/>
  <c r="BL483" i="3"/>
  <c r="BA486" i="3"/>
  <c r="BL489" i="3"/>
  <c r="AZ489" i="3" s="1"/>
  <c r="BL491" i="3"/>
  <c r="BL492"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AZ226" i="3" s="1"/>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L278" i="3"/>
  <c r="G280" i="3"/>
  <c r="BA288" i="3"/>
  <c r="G134" i="3"/>
  <c r="BA149" i="3"/>
  <c r="BL175" i="3"/>
  <c r="AZ175" i="3" s="1"/>
  <c r="G184" i="3"/>
  <c r="G202" i="3"/>
  <c r="BA30" i="3"/>
  <c r="F40" i="69"/>
  <c r="C40" i="69"/>
  <c r="U21" i="33"/>
  <c r="AB21" i="33"/>
  <c r="C52" i="71"/>
  <c r="D51" i="71"/>
  <c r="AA38" i="71"/>
  <c r="AA37" i="71"/>
  <c r="C47" i="71"/>
  <c r="D47" i="71" s="1"/>
  <c r="D46" i="71"/>
  <c r="C55" i="71"/>
  <c r="D54" i="71"/>
  <c r="C64" i="71"/>
  <c r="D64" i="71" s="1"/>
  <c r="D63" i="71"/>
  <c r="C67" i="71"/>
  <c r="T68" i="71"/>
  <c r="O68" i="71"/>
  <c r="T76" i="71"/>
  <c r="D76" i="71"/>
  <c r="C75" i="71"/>
  <c r="S80" i="71"/>
  <c r="B79" i="71"/>
  <c r="B78" i="71" s="1"/>
  <c r="Y27" i="71"/>
  <c r="Z27" i="71" s="1"/>
  <c r="Y26" i="71"/>
  <c r="Z26" i="71" s="1"/>
  <c r="AA3" i="71"/>
  <c r="BA282" i="3"/>
  <c r="BL282" i="3"/>
  <c r="BA284" i="3"/>
  <c r="AZ284" i="3" s="1"/>
  <c r="BL290" i="3"/>
  <c r="AZ290" i="3" s="1"/>
  <c r="BL291" i="3"/>
  <c r="AZ291" i="3" s="1"/>
  <c r="BL293" i="3"/>
  <c r="BL294" i="3"/>
  <c r="BA297" i="3"/>
  <c r="AZ297" i="3" s="1"/>
  <c r="BL297" i="3"/>
  <c r="BL300" i="3"/>
  <c r="BA302" i="3"/>
  <c r="AZ302" i="3" s="1"/>
  <c r="G115" i="3"/>
  <c r="BA117" i="3"/>
  <c r="BA130" i="3"/>
  <c r="BL130" i="3"/>
  <c r="BA137" i="3"/>
  <c r="AZ137" i="3" s="1"/>
  <c r="BL138" i="3"/>
  <c r="BA140" i="3"/>
  <c r="AZ140" i="3" s="1"/>
  <c r="BA142" i="3"/>
  <c r="BL149" i="3"/>
  <c r="BL150" i="3"/>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G194" i="3"/>
  <c r="BL194" i="3"/>
  <c r="AZ194" i="3" s="1"/>
  <c r="BA198" i="3"/>
  <c r="AZ198" i="3" s="1"/>
  <c r="G199" i="3"/>
  <c r="G204" i="3"/>
  <c r="G205" i="3"/>
  <c r="BL206" i="3"/>
  <c r="BA19" i="3"/>
  <c r="AZ19" i="3" s="1"/>
  <c r="G22" i="3"/>
  <c r="G24" i="3"/>
  <c r="G25" i="3"/>
  <c r="G27" i="3"/>
  <c r="BA27" i="3"/>
  <c r="G30" i="3"/>
  <c r="BL30" i="3"/>
  <c r="G31" i="3"/>
  <c r="BA36" i="3"/>
  <c r="BL38" i="3"/>
  <c r="AZ38" i="3" s="1"/>
  <c r="BA39" i="3"/>
  <c r="AZ39" i="3" s="1"/>
  <c r="BA41" i="3"/>
  <c r="AZ41" i="3" s="1"/>
  <c r="G51" i="3"/>
  <c r="BA52" i="3"/>
  <c r="AZ52" i="3" s="1"/>
  <c r="BL54" i="3"/>
  <c r="BL69" i="3"/>
  <c r="AZ69" i="3" s="1"/>
  <c r="G70" i="3"/>
  <c r="BL70" i="3"/>
  <c r="AZ70" i="3" s="1"/>
  <c r="BL71" i="3"/>
  <c r="BL72" i="3"/>
  <c r="AZ72" i="3" s="1"/>
  <c r="G74" i="3"/>
  <c r="BA75" i="3"/>
  <c r="AZ75" i="3" s="1"/>
  <c r="BL79" i="3"/>
  <c r="G93" i="3"/>
  <c r="C32" i="71"/>
  <c r="AA28" i="71"/>
  <c r="C86" i="71"/>
  <c r="D86" i="71" s="1"/>
  <c r="D87" i="71"/>
  <c r="B66" i="71"/>
  <c r="AB25" i="71"/>
  <c r="AB28" i="71"/>
  <c r="AB26" i="71"/>
  <c r="T28" i="71"/>
  <c r="D28" i="71"/>
  <c r="U28" i="71" s="1"/>
  <c r="C27" i="71"/>
  <c r="X33" i="71"/>
  <c r="X31" i="71"/>
  <c r="X34" i="71"/>
  <c r="X36" i="71"/>
  <c r="X35" i="71"/>
  <c r="AB37" i="71"/>
  <c r="AB35" i="71"/>
  <c r="F38" i="71"/>
  <c r="F39" i="71" s="1"/>
  <c r="F40" i="71" s="1"/>
  <c r="V40" i="71" s="1"/>
  <c r="C23" i="71"/>
  <c r="B22" i="71"/>
  <c r="B21" i="71" s="1"/>
  <c r="B20" i="71" s="1"/>
  <c r="BA296" i="3"/>
  <c r="BA116" i="3"/>
  <c r="AZ116" i="3" s="1"/>
  <c r="BA121" i="3"/>
  <c r="BL121" i="3"/>
  <c r="BA124" i="3"/>
  <c r="AZ124" i="3" s="1"/>
  <c r="BA126" i="3"/>
  <c r="AZ126" i="3" s="1"/>
  <c r="BA129" i="3"/>
  <c r="BL133" i="3"/>
  <c r="AZ133" i="3" s="1"/>
  <c r="BL139" i="3"/>
  <c r="AZ139" i="3" s="1"/>
  <c r="BL141" i="3"/>
  <c r="BL143" i="3"/>
  <c r="G154" i="3"/>
  <c r="G156" i="3"/>
  <c r="BL157" i="3"/>
  <c r="AZ157" i="3" s="1"/>
  <c r="BL159" i="3"/>
  <c r="AZ159" i="3" s="1"/>
  <c r="BL177" i="3"/>
  <c r="AZ177" i="3" s="1"/>
  <c r="G179" i="3"/>
  <c r="BL183" i="3"/>
  <c r="AZ183" i="3" s="1"/>
  <c r="BA186" i="3"/>
  <c r="AZ186" i="3" s="1"/>
  <c r="BA190" i="3"/>
  <c r="AZ190" i="3" s="1"/>
  <c r="G196" i="3"/>
  <c r="BA197" i="3"/>
  <c r="AZ197" i="3" s="1"/>
  <c r="BL201" i="3"/>
  <c r="BL203" i="3"/>
  <c r="BA204" i="3"/>
  <c r="AZ204" i="3" s="1"/>
  <c r="BA18" i="3"/>
  <c r="G21" i="3"/>
  <c r="BL21" i="3"/>
  <c r="G29" i="3"/>
  <c r="BL29" i="3"/>
  <c r="BA32" i="3"/>
  <c r="BA38" i="3"/>
  <c r="G42" i="3"/>
  <c r="BA43" i="3"/>
  <c r="BL47" i="3"/>
  <c r="AZ47" i="3" s="1"/>
  <c r="G49" i="3"/>
  <c r="BL64" i="3"/>
  <c r="AZ64" i="3" s="1"/>
  <c r="G65" i="3"/>
  <c r="BL65" i="3"/>
  <c r="BL66" i="3"/>
  <c r="BL67" i="3"/>
  <c r="AZ67" i="3" s="1"/>
  <c r="G69" i="3"/>
  <c r="G78" i="3"/>
  <c r="G79" i="3"/>
  <c r="BL86" i="3"/>
  <c r="AZ86" i="3" s="1"/>
  <c r="BA95" i="3"/>
  <c r="AZ108" i="3"/>
  <c r="W21" i="21"/>
  <c r="D43" i="71"/>
  <c r="AB27" i="71"/>
  <c r="AA35" i="71"/>
  <c r="AB32" i="71"/>
  <c r="Y35" i="71"/>
  <c r="Z35" i="71"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AZ185" i="3" s="1"/>
  <c r="BL191" i="3"/>
  <c r="AZ191" i="3" s="1"/>
  <c r="G192" i="3"/>
  <c r="BA193" i="3"/>
  <c r="BA196" i="3"/>
  <c r="AZ196" i="3" s="1"/>
  <c r="BA205" i="3"/>
  <c r="AZ205" i="3" s="1"/>
  <c r="G20" i="3"/>
  <c r="BL20" i="3"/>
  <c r="AZ20" i="3" s="1"/>
  <c r="BA21" i="3"/>
  <c r="AZ21" i="3" s="1"/>
  <c r="BA25" i="3"/>
  <c r="AZ25" i="3" s="1"/>
  <c r="BA26" i="3"/>
  <c r="G28" i="3"/>
  <c r="BL28" i="3"/>
  <c r="AZ28" i="3" s="1"/>
  <c r="BA29" i="3"/>
  <c r="AZ29" i="3" s="1"/>
  <c r="G41" i="3"/>
  <c r="BA55" i="3"/>
  <c r="AZ55" i="3" s="1"/>
  <c r="BL57" i="3"/>
  <c r="G62" i="3"/>
  <c r="BL62" i="3"/>
  <c r="AZ62" i="3" s="1"/>
  <c r="BL63" i="3"/>
  <c r="AZ65" i="3"/>
  <c r="BL76" i="3"/>
  <c r="BL82" i="3"/>
  <c r="BA98" i="3"/>
  <c r="AB21" i="37"/>
  <c r="U21" i="37"/>
  <c r="T44" i="71"/>
  <c r="P65" i="71"/>
  <c r="P66" i="71"/>
  <c r="F28" i="71"/>
  <c r="F27" i="71" s="1"/>
  <c r="F26" i="71" s="1"/>
  <c r="D68" i="71"/>
  <c r="X26" i="71"/>
  <c r="Y25" i="71"/>
  <c r="Z25" i="71" s="1"/>
  <c r="C36" i="71"/>
  <c r="D36" i="71" s="1"/>
  <c r="D35" i="71"/>
  <c r="E39" i="71"/>
  <c r="E40" i="71" s="1"/>
  <c r="U40" i="71" s="1"/>
  <c r="Y37" i="71"/>
  <c r="Z37" i="71" s="1"/>
  <c r="X25" i="71"/>
  <c r="V24" i="71"/>
  <c r="E23" i="71"/>
  <c r="E22" i="71" s="1"/>
  <c r="E21" i="71" s="1"/>
  <c r="E20" i="71" s="1"/>
  <c r="BL31" i="3"/>
  <c r="AZ31" i="3" s="1"/>
  <c r="G35" i="3"/>
  <c r="G36" i="3"/>
  <c r="G37" i="3"/>
  <c r="G40" i="3"/>
  <c r="BL40" i="3"/>
  <c r="BL41" i="3"/>
  <c r="BL45" i="3"/>
  <c r="BA48" i="3"/>
  <c r="AZ48" i="3" s="1"/>
  <c r="BA49" i="3"/>
  <c r="AZ49" i="3" s="1"/>
  <c r="BA51" i="3"/>
  <c r="G55" i="3"/>
  <c r="BL56" i="3"/>
  <c r="BA58" i="3"/>
  <c r="AZ58" i="3" s="1"/>
  <c r="BL59" i="3"/>
  <c r="AZ59" i="3" s="1"/>
  <c r="BL60" i="3"/>
  <c r="BA61" i="3"/>
  <c r="AZ61" i="3" s="1"/>
  <c r="BA68" i="3"/>
  <c r="AZ68" i="3" s="1"/>
  <c r="BA73" i="3"/>
  <c r="BA80" i="3"/>
  <c r="BL84" i="3"/>
  <c r="BA89" i="3"/>
  <c r="G103" i="3"/>
  <c r="BA103" i="3"/>
  <c r="AZ103" i="3" s="1"/>
  <c r="BA104" i="3"/>
  <c r="BA106" i="3"/>
  <c r="AZ106" i="3" s="1"/>
  <c r="BL108" i="3"/>
  <c r="BL111" i="3"/>
  <c r="U29" i="39"/>
  <c r="AA27" i="71"/>
  <c r="C39" i="71"/>
  <c r="Y28" i="71"/>
  <c r="Z28" i="71" s="1"/>
  <c r="Y30" i="71"/>
  <c r="Z30" i="71" s="1"/>
  <c r="X28" i="71"/>
  <c r="X32" i="71"/>
  <c r="G43" i="3"/>
  <c r="G44" i="3"/>
  <c r="BA45" i="3"/>
  <c r="AZ45" i="3" s="1"/>
  <c r="BA46" i="3"/>
  <c r="BL49" i="3"/>
  <c r="BL50" i="3"/>
  <c r="AZ50" i="3" s="1"/>
  <c r="BL51" i="3"/>
  <c r="G53" i="3"/>
  <c r="BL53" i="3"/>
  <c r="AZ53" i="3" s="1"/>
  <c r="BA56" i="3"/>
  <c r="AZ56" i="3" s="1"/>
  <c r="BA57" i="3"/>
  <c r="AZ57" i="3" s="1"/>
  <c r="BL58" i="3"/>
  <c r="G60" i="3"/>
  <c r="BA60" i="3"/>
  <c r="BA63" i="3"/>
  <c r="AZ63" i="3" s="1"/>
  <c r="BA66" i="3"/>
  <c r="BA71" i="3"/>
  <c r="AZ71" i="3" s="1"/>
  <c r="G76" i="3"/>
  <c r="BL77" i="3"/>
  <c r="AZ77" i="3" s="1"/>
  <c r="BA79" i="3"/>
  <c r="AZ79" i="3" s="1"/>
  <c r="G82" i="3"/>
  <c r="G83" i="3"/>
  <c r="BA84" i="3"/>
  <c r="AZ84" i="3" s="1"/>
  <c r="BL88" i="3"/>
  <c r="AZ88" i="3" s="1"/>
  <c r="G90" i="3"/>
  <c r="BL90" i="3"/>
  <c r="AZ90" i="3" s="1"/>
  <c r="BL92" i="3"/>
  <c r="AZ92" i="3" s="1"/>
  <c r="G101" i="3"/>
  <c r="BA101" i="3"/>
  <c r="AZ101" i="3" s="1"/>
  <c r="G108" i="3"/>
  <c r="G109" i="3"/>
  <c r="BL112" i="3"/>
  <c r="U25" i="40"/>
  <c r="S21" i="34"/>
  <c r="B68" i="43"/>
  <c r="B88" i="43"/>
  <c r="F35" i="71"/>
  <c r="F36" i="71" s="1"/>
  <c r="V36" i="71" s="1"/>
  <c r="AA34" i="71"/>
  <c r="BL81" i="3"/>
  <c r="BA82" i="3"/>
  <c r="AZ82" i="3" s="1"/>
  <c r="BL83" i="3"/>
  <c r="G86" i="3"/>
  <c r="G87" i="3"/>
  <c r="BA90" i="3"/>
  <c r="BL94" i="3"/>
  <c r="AZ94" i="3" s="1"/>
  <c r="BA100" i="3"/>
  <c r="AZ100" i="3" s="1"/>
  <c r="BA102" i="3"/>
  <c r="AZ102" i="3" s="1"/>
  <c r="BL105" i="3"/>
  <c r="AZ105" i="3" s="1"/>
  <c r="G107" i="3"/>
  <c r="BL107" i="3"/>
  <c r="BA111" i="3"/>
  <c r="AZ111" i="3" s="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63" i="3"/>
  <c r="AZ385" i="3"/>
  <c r="AZ212" i="3"/>
  <c r="AZ220" i="3"/>
  <c r="AZ231" i="3"/>
  <c r="AZ255" i="3"/>
  <c r="AZ276"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BA215" i="3"/>
  <c r="AZ215" i="3" s="1"/>
  <c r="G219" i="3"/>
  <c r="AZ221" i="3"/>
  <c r="G230" i="3"/>
  <c r="BA232" i="3"/>
  <c r="AZ232" i="3" s="1"/>
  <c r="BA234" i="3"/>
  <c r="AZ234" i="3" s="1"/>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BL253" i="3"/>
  <c r="AZ253" i="3" s="1"/>
  <c r="BA261" i="3"/>
  <c r="AZ261" i="3" s="1"/>
  <c r="BA264" i="3"/>
  <c r="AZ264" i="3" s="1"/>
  <c r="BA266" i="3"/>
  <c r="G272" i="3"/>
  <c r="G275" i="3"/>
  <c r="BL276" i="3"/>
  <c r="BL279" i="3"/>
  <c r="AZ279" i="3" s="1"/>
  <c r="BL281" i="3"/>
  <c r="AZ281" i="3" s="1"/>
  <c r="BA285" i="3"/>
  <c r="AZ285" i="3" s="1"/>
  <c r="BA287" i="3"/>
  <c r="AZ287" i="3" s="1"/>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BA161" i="3"/>
  <c r="AZ161" i="3" s="1"/>
  <c r="BA172" i="3"/>
  <c r="AZ172" i="3" s="1"/>
  <c r="AZ18" i="3"/>
  <c r="BL288" i="3"/>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AZ87" i="3"/>
  <c r="BL202" i="3"/>
  <c r="AZ202" i="3" s="1"/>
  <c r="AZ30" i="3"/>
  <c r="BL36" i="3"/>
  <c r="AZ36" i="3" s="1"/>
  <c r="AZ40" i="3"/>
  <c r="AZ73" i="3"/>
  <c r="AZ104" i="3"/>
  <c r="G200" i="3"/>
  <c r="G207" i="3"/>
  <c r="BA23" i="3"/>
  <c r="AZ23" i="3" s="1"/>
  <c r="BA24" i="3"/>
  <c r="AZ24" i="3" s="1"/>
  <c r="BL26" i="3"/>
  <c r="AZ26" i="3" s="1"/>
  <c r="BL32" i="3"/>
  <c r="AZ32" i="3" s="1"/>
  <c r="BA34" i="3"/>
  <c r="AZ34" i="3" s="1"/>
  <c r="BA35" i="3"/>
  <c r="AZ35" i="3" s="1"/>
  <c r="BL37" i="3"/>
  <c r="AZ37" i="3" s="1"/>
  <c r="BL42" i="3"/>
  <c r="AZ42" i="3" s="1"/>
  <c r="BA44" i="3"/>
  <c r="AZ44" i="3" s="1"/>
  <c r="AZ60" i="3"/>
  <c r="BA206" i="3"/>
  <c r="AZ206" i="3" s="1"/>
  <c r="BL22" i="3"/>
  <c r="AZ22" i="3" s="1"/>
  <c r="BL33" i="3"/>
  <c r="AZ33" i="3" s="1"/>
  <c r="BL43" i="3"/>
  <c r="AZ43" i="3" s="1"/>
  <c r="BL46" i="3"/>
  <c r="AZ46" i="3" s="1"/>
  <c r="AZ54" i="3"/>
  <c r="BL78" i="3"/>
  <c r="AZ78" i="3" s="1"/>
  <c r="BA83" i="3"/>
  <c r="AZ83" i="3" s="1"/>
  <c r="G91" i="3"/>
  <c r="BL95" i="3"/>
  <c r="AZ95" i="3" s="1"/>
  <c r="BL98" i="3"/>
  <c r="AZ98" i="3" s="1"/>
  <c r="BL109" i="3"/>
  <c r="AZ109" i="3" s="1"/>
  <c r="AB21" i="21"/>
  <c r="T36" i="71"/>
  <c r="G77" i="3"/>
  <c r="BA81" i="3"/>
  <c r="AZ81" i="3" s="1"/>
  <c r="BA85" i="3"/>
  <c r="AZ85" i="3" s="1"/>
  <c r="BL89" i="3"/>
  <c r="G94" i="3"/>
  <c r="G97" i="3"/>
  <c r="G100" i="3"/>
  <c r="BA107" i="3"/>
  <c r="BA112" i="3"/>
  <c r="AZ112" i="3" s="1"/>
  <c r="AC21" i="34"/>
  <c r="E27" i="71"/>
  <c r="E26" i="71" s="1"/>
  <c r="V28" i="71"/>
  <c r="BA76" i="3"/>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J26" i="43" s="1"/>
  <c r="E29" i="6"/>
  <c r="K15"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15"/>
  <c r="L59" i="15"/>
  <c r="N59" i="15"/>
  <c r="L58" i="15"/>
  <c r="M59" i="15"/>
  <c r="F66" i="15"/>
  <c r="F64" i="15"/>
  <c r="C27" i="15"/>
  <c r="F65" i="15"/>
  <c r="B13" i="70"/>
  <c r="F68" i="15"/>
  <c r="C36" i="68"/>
  <c r="D9" i="68"/>
  <c r="F7" i="81"/>
  <c r="F43" i="81"/>
  <c r="M29" i="81"/>
  <c r="L48" i="81"/>
  <c r="L47" i="81"/>
  <c r="F38" i="81"/>
  <c r="J15" i="81"/>
  <c r="F26" i="81"/>
  <c r="M9" i="81"/>
  <c r="M6" i="81"/>
  <c r="F40" i="81"/>
  <c r="M26" i="81"/>
  <c r="M8" i="81"/>
  <c r="F37" i="81"/>
  <c r="F13" i="81"/>
  <c r="F8" i="81"/>
  <c r="F36" i="81"/>
  <c r="M23" i="81"/>
  <c r="M24" i="81"/>
  <c r="F6" i="81"/>
  <c r="F16" i="81"/>
  <c r="M27" i="81"/>
  <c r="F42" i="81"/>
  <c r="F9" i="81"/>
  <c r="M28" i="81"/>
  <c r="C76" i="81"/>
  <c r="M22" i="81"/>
  <c r="D9" i="69"/>
  <c r="M26" i="67"/>
  <c r="F36" i="67"/>
  <c r="C76" i="67"/>
  <c r="L47" i="67"/>
  <c r="M8" i="67"/>
  <c r="M6" i="67"/>
  <c r="D5" i="73"/>
  <c r="F7" i="67"/>
  <c r="C36" i="69"/>
  <c r="F6" i="67"/>
  <c r="F40" i="67"/>
  <c r="F16" i="67"/>
  <c r="M28" i="67"/>
  <c r="F43" i="67"/>
  <c r="M29" i="67"/>
  <c r="M23" i="67"/>
  <c r="D7" i="73"/>
  <c r="F27" i="69"/>
  <c r="F38" i="67"/>
  <c r="M22" i="67"/>
  <c r="L48" i="67"/>
  <c r="M9" i="67"/>
  <c r="F42" i="67"/>
  <c r="F37" i="67"/>
  <c r="F9" i="67"/>
  <c r="M24" i="67"/>
  <c r="F13" i="67"/>
  <c r="F26" i="67"/>
  <c r="D3" i="73"/>
  <c r="J15" i="67"/>
  <c r="F8" i="67"/>
  <c r="D4" i="73"/>
  <c r="C16" i="81"/>
  <c r="D33" i="43" l="1"/>
  <c r="D1" i="43" s="1"/>
  <c r="K7" i="1"/>
  <c r="G16" i="1" s="1"/>
  <c r="F10" i="39" s="1"/>
  <c r="S10" i="39" s="1"/>
  <c r="E12" i="6"/>
  <c r="E57" i="40" s="1"/>
  <c r="B22" i="31"/>
  <c r="C25" i="31"/>
  <c r="Q71" i="81"/>
  <c r="C6" i="81"/>
  <c r="C32" i="81" s="1"/>
  <c r="F64" i="81"/>
  <c r="F51" i="81"/>
  <c r="F65" i="81"/>
  <c r="F68" i="81"/>
  <c r="C27" i="81"/>
  <c r="F66" i="81"/>
  <c r="M59" i="81"/>
  <c r="N59" i="81"/>
  <c r="L59" i="81"/>
  <c r="L58" i="81"/>
  <c r="Q73" i="81" s="1"/>
  <c r="L60" i="81"/>
  <c r="Q57" i="81" s="1"/>
  <c r="L57" i="81"/>
  <c r="L56" i="81"/>
  <c r="I54" i="81"/>
  <c r="J53" i="81"/>
  <c r="Q52" i="81" s="1"/>
  <c r="J57" i="81"/>
  <c r="J55" i="81" s="1"/>
  <c r="J58" i="81" s="1"/>
  <c r="Q50" i="81" s="1"/>
  <c r="F71" i="81"/>
  <c r="F50" i="81"/>
  <c r="C49" i="81" s="1"/>
  <c r="C61" i="81" s="1"/>
  <c r="M7" i="81"/>
  <c r="J6" i="81" s="1"/>
  <c r="J18" i="81" s="1"/>
  <c r="Q60" i="81"/>
  <c r="N370" i="46"/>
  <c r="AP6" i="1"/>
  <c r="M11" i="81"/>
  <c r="J10" i="81" s="1"/>
  <c r="F11" i="81"/>
  <c r="F26" i="43"/>
  <c r="E11" i="6"/>
  <c r="E60" i="39" s="1"/>
  <c r="E14" i="6"/>
  <c r="E63" i="39" s="1"/>
  <c r="E28" i="6"/>
  <c r="K14" i="1" s="1"/>
  <c r="E15" i="6"/>
  <c r="E64" i="39" s="1"/>
  <c r="E10" i="6"/>
  <c r="E13" i="6"/>
  <c r="C30" i="69"/>
  <c r="C27" i="67"/>
  <c r="J57" i="67"/>
  <c r="J55" i="67" s="1"/>
  <c r="J58" i="67" s="1"/>
  <c r="Q50" i="67" s="1"/>
  <c r="L56" i="67"/>
  <c r="I54" i="67"/>
  <c r="J53" i="67"/>
  <c r="F1" i="67" s="1"/>
  <c r="F71" i="67"/>
  <c r="M7" i="67"/>
  <c r="J6" i="67" s="1"/>
  <c r="J18" i="67" s="1"/>
  <c r="F50" i="67"/>
  <c r="L59" i="67"/>
  <c r="Q61" i="67" s="1"/>
  <c r="L58" i="67"/>
  <c r="Q73" i="67" s="1"/>
  <c r="M59" i="67"/>
  <c r="N59" i="67"/>
  <c r="F51" i="67"/>
  <c r="Q71" i="67"/>
  <c r="F68" i="67"/>
  <c r="F64" i="67"/>
  <c r="F65" i="67"/>
  <c r="F66" i="67"/>
  <c r="C6" i="67"/>
  <c r="C32" i="67" s="1"/>
  <c r="M6" i="1"/>
  <c r="O6" i="1" s="1"/>
  <c r="E59" i="40"/>
  <c r="E26" i="43"/>
  <c r="H26" i="43"/>
  <c r="G26" i="43"/>
  <c r="N94" i="46"/>
  <c r="AZ491" i="3"/>
  <c r="W27" i="21"/>
  <c r="AC27" i="21"/>
  <c r="W12" i="36"/>
  <c r="AC12" i="36"/>
  <c r="S31" i="34"/>
  <c r="AA31" i="34"/>
  <c r="AA13" i="34"/>
  <c r="S13" i="34"/>
  <c r="W14" i="33"/>
  <c r="AC14" i="33"/>
  <c r="AA25" i="37"/>
  <c r="S25" i="37"/>
  <c r="W37" i="39"/>
  <c r="AC37" i="39"/>
  <c r="T64" i="71"/>
  <c r="AZ76" i="3"/>
  <c r="G5" i="3"/>
  <c r="B3" i="3" s="1"/>
  <c r="AZ348" i="3"/>
  <c r="B19" i="71"/>
  <c r="B18" i="71" s="1"/>
  <c r="B17" i="71" s="1"/>
  <c r="B16" i="71" s="1"/>
  <c r="B15" i="71" s="1"/>
  <c r="B14" i="71" s="1"/>
  <c r="B13" i="71" s="1"/>
  <c r="B12" i="71" s="1"/>
  <c r="S20" i="71"/>
  <c r="N65" i="71"/>
  <c r="N66" i="71"/>
  <c r="T32" i="71"/>
  <c r="D32" i="71"/>
  <c r="D75" i="71"/>
  <c r="C74" i="71"/>
  <c r="D74" i="71" s="1"/>
  <c r="AZ435" i="3"/>
  <c r="AZ274" i="3"/>
  <c r="AZ453" i="3"/>
  <c r="AZ408" i="3"/>
  <c r="AZ277" i="3"/>
  <c r="AZ256" i="3"/>
  <c r="AC9" i="34"/>
  <c r="W9" i="34"/>
  <c r="AB26" i="33"/>
  <c r="U26" i="33"/>
  <c r="W31" i="34"/>
  <c r="AC31" i="34"/>
  <c r="AB44" i="33"/>
  <c r="U44" i="33"/>
  <c r="U14" i="21"/>
  <c r="AB14" i="21"/>
  <c r="U25" i="37"/>
  <c r="AB25" i="37"/>
  <c r="AZ585" i="3"/>
  <c r="AZ107" i="3"/>
  <c r="AZ89" i="3"/>
  <c r="AZ266" i="3"/>
  <c r="AZ246" i="3"/>
  <c r="AZ268" i="3"/>
  <c r="AZ213" i="3"/>
  <c r="AZ294" i="3"/>
  <c r="AZ121" i="3"/>
  <c r="C22" i="71"/>
  <c r="D23" i="71"/>
  <c r="AZ130" i="3"/>
  <c r="D67" i="71"/>
  <c r="C66" i="71"/>
  <c r="O67" i="71"/>
  <c r="C56" i="71"/>
  <c r="D55" i="71"/>
  <c r="AZ459" i="3"/>
  <c r="AZ415" i="3"/>
  <c r="AZ244" i="3"/>
  <c r="AZ239" i="3"/>
  <c r="AZ397" i="3"/>
  <c r="AC39" i="37"/>
  <c r="W39" i="37"/>
  <c r="AC9" i="33"/>
  <c r="W9" i="33"/>
  <c r="S26" i="33"/>
  <c r="AA26" i="33"/>
  <c r="U43" i="39"/>
  <c r="AB43" i="39"/>
  <c r="AA12" i="36"/>
  <c r="S12" i="36"/>
  <c r="AC47" i="34"/>
  <c r="W47" i="34"/>
  <c r="S44" i="33"/>
  <c r="AA44" i="33"/>
  <c r="W14" i="21"/>
  <c r="AC14" i="21"/>
  <c r="T52" i="71"/>
  <c r="D52" i="71"/>
  <c r="J7" i="36"/>
  <c r="AC7" i="36" s="1"/>
  <c r="V36" i="36" s="1"/>
  <c r="I36" i="36" s="1"/>
  <c r="AZ288" i="3"/>
  <c r="AZ158" i="3"/>
  <c r="AZ296" i="3"/>
  <c r="AZ66" i="3"/>
  <c r="AZ5" i="3" s="1"/>
  <c r="C40" i="71"/>
  <c r="D39" i="71"/>
  <c r="AZ51" i="3"/>
  <c r="C26" i="71"/>
  <c r="D26" i="71" s="1"/>
  <c r="D27" i="71"/>
  <c r="AZ282" i="3"/>
  <c r="AZ149" i="3"/>
  <c r="AZ483" i="3"/>
  <c r="AZ414" i="3"/>
  <c r="AZ271" i="3"/>
  <c r="AZ368" i="3"/>
  <c r="AZ353" i="3"/>
  <c r="S30" i="21"/>
  <c r="AA30" i="21"/>
  <c r="AA27" i="21"/>
  <c r="S27" i="21"/>
  <c r="AC43" i="39"/>
  <c r="W43" i="39"/>
  <c r="AB30" i="21"/>
  <c r="U30" i="21"/>
  <c r="U47" i="34"/>
  <c r="AB47" i="34"/>
  <c r="AA14" i="33"/>
  <c r="S14" i="33"/>
  <c r="AC25" i="37"/>
  <c r="W25" i="37"/>
  <c r="AA37" i="39"/>
  <c r="S37" i="39"/>
  <c r="J7" i="37"/>
  <c r="K1" i="73"/>
  <c r="AA26" i="37"/>
  <c r="S26" i="37"/>
  <c r="BA5" i="3"/>
  <c r="E27" i="6" s="1"/>
  <c r="K26" i="6" s="1"/>
  <c r="M26" i="6" s="1"/>
  <c r="I26" i="6" s="1"/>
  <c r="S26" i="6" s="1"/>
  <c r="W40" i="40"/>
  <c r="AC40" i="40"/>
  <c r="AC12" i="21"/>
  <c r="W12" i="21"/>
  <c r="AB12" i="21"/>
  <c r="U12" i="21"/>
  <c r="AA27" i="34"/>
  <c r="S27" i="34"/>
  <c r="AC26" i="37"/>
  <c r="W26" i="37"/>
  <c r="BL5" i="3"/>
  <c r="F7" i="36"/>
  <c r="S7" i="36" s="1"/>
  <c r="H7" i="36"/>
  <c r="AB7" i="36" s="1"/>
  <c r="T36" i="36" s="1"/>
  <c r="G36" i="36" s="1"/>
  <c r="E11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31" i="6"/>
  <c r="E51" i="40"/>
  <c r="E58" i="40"/>
  <c r="E62" i="39"/>
  <c r="M14" i="1"/>
  <c r="D5" i="43"/>
  <c r="C7" i="43"/>
  <c r="C5" i="43" s="1"/>
  <c r="D10" i="52"/>
  <c r="D125" i="9"/>
  <c r="D11" i="52" s="1"/>
  <c r="B7" i="74"/>
  <c r="C7" i="74" s="1"/>
  <c r="F67" i="39"/>
  <c r="F59" i="67"/>
  <c r="H7" i="37"/>
  <c r="AB7" i="37" s="1"/>
  <c r="T42" i="37" s="1"/>
  <c r="G42" i="37" s="1"/>
  <c r="H7" i="33"/>
  <c r="J7" i="33"/>
  <c r="D65" i="40"/>
  <c r="E63" i="40"/>
  <c r="F48" i="35"/>
  <c r="AA7" i="36"/>
  <c r="R36" i="36" s="1"/>
  <c r="AC7" i="37"/>
  <c r="W7" i="37"/>
  <c r="U7" i="36"/>
  <c r="F7" i="33"/>
  <c r="E58" i="21"/>
  <c r="W7" i="36"/>
  <c r="F7" i="37"/>
  <c r="M17" i="67"/>
  <c r="M17" i="15"/>
  <c r="F59" i="15"/>
  <c r="P28" i="43"/>
  <c r="B66" i="40" s="1"/>
  <c r="P25" i="43"/>
  <c r="P29" i="43"/>
  <c r="P27" i="43"/>
  <c r="B70" i="39" s="1"/>
  <c r="M11" i="67"/>
  <c r="J10" i="67" s="1"/>
  <c r="F11" i="15"/>
  <c r="M11" i="15"/>
  <c r="J10" i="15" s="1"/>
  <c r="F11" i="67"/>
  <c r="F1" i="15"/>
  <c r="Q52" i="15"/>
  <c r="Q60" i="15"/>
  <c r="Q73" i="15"/>
  <c r="Q74" i="15"/>
  <c r="Q61" i="15"/>
  <c r="AE11" i="1"/>
  <c r="AE9" i="1"/>
  <c r="AE8" i="1"/>
  <c r="AE12" i="1"/>
  <c r="AE10" i="1"/>
  <c r="F43" i="15"/>
  <c r="M29" i="15"/>
  <c r="F7" i="15"/>
  <c r="C16" i="67"/>
  <c r="AE6" i="1"/>
  <c r="G1" i="73"/>
  <c r="F41" i="67"/>
  <c r="C33" i="81" l="1"/>
  <c r="F50" i="15"/>
  <c r="C49" i="15" s="1"/>
  <c r="M7" i="15"/>
  <c r="J6" i="15" s="1"/>
  <c r="J18" i="15" s="1"/>
  <c r="C6" i="15"/>
  <c r="C32" i="15" s="1"/>
  <c r="F71" i="15"/>
  <c r="J19" i="81"/>
  <c r="K16" i="1"/>
  <c r="E219" i="3"/>
  <c r="E246" i="3"/>
  <c r="AB6" i="3"/>
  <c r="E217" i="3"/>
  <c r="E368" i="3"/>
  <c r="E124" i="3"/>
  <c r="E44" i="3"/>
  <c r="E571" i="3"/>
  <c r="E366" i="3"/>
  <c r="E221" i="3"/>
  <c r="E411" i="3"/>
  <c r="E240" i="3"/>
  <c r="E483" i="3"/>
  <c r="E263" i="3"/>
  <c r="E311" i="3"/>
  <c r="E182" i="3"/>
  <c r="E106" i="3"/>
  <c r="E180" i="3"/>
  <c r="E331" i="3"/>
  <c r="E583" i="3"/>
  <c r="E448" i="3"/>
  <c r="E17" i="3"/>
  <c r="E386" i="3"/>
  <c r="E119" i="3"/>
  <c r="E172" i="3"/>
  <c r="E201" i="3"/>
  <c r="E557" i="3"/>
  <c r="E560" i="3"/>
  <c r="E183" i="3"/>
  <c r="E107" i="3"/>
  <c r="E395" i="3"/>
  <c r="E252" i="3"/>
  <c r="E328" i="3"/>
  <c r="AP6" i="3"/>
  <c r="E148" i="3"/>
  <c r="E563" i="3"/>
  <c r="E526" i="3"/>
  <c r="E204" i="3"/>
  <c r="E277" i="3"/>
  <c r="E270" i="3"/>
  <c r="E450" i="3"/>
  <c r="E415" i="3"/>
  <c r="E437" i="3"/>
  <c r="E547" i="3"/>
  <c r="E539" i="3"/>
  <c r="Q66" i="81"/>
  <c r="F1" i="81"/>
  <c r="E139" i="3"/>
  <c r="E142" i="3"/>
  <c r="E132" i="3"/>
  <c r="AI6" i="3"/>
  <c r="E215" i="3"/>
  <c r="AJ6" i="3"/>
  <c r="E70" i="3"/>
  <c r="E146" i="3"/>
  <c r="E399" i="3"/>
  <c r="AR6" i="3"/>
  <c r="E515" i="3"/>
  <c r="E85" i="3"/>
  <c r="E553" i="3"/>
  <c r="E481" i="3"/>
  <c r="E359" i="3"/>
  <c r="E244" i="3"/>
  <c r="J5" i="81"/>
  <c r="J26" i="81" s="1"/>
  <c r="M7" i="1"/>
  <c r="H16" i="1"/>
  <c r="Q16" i="1"/>
  <c r="Q74" i="81"/>
  <c r="Q61" i="81"/>
  <c r="E94" i="3"/>
  <c r="E242" i="3"/>
  <c r="X6" i="3"/>
  <c r="E161" i="3"/>
  <c r="E335" i="3"/>
  <c r="E579" i="3"/>
  <c r="E273" i="3"/>
  <c r="E345" i="3"/>
  <c r="E74" i="3"/>
  <c r="E587" i="3"/>
  <c r="E545" i="3"/>
  <c r="E586" i="3"/>
  <c r="E261" i="3"/>
  <c r="E388" i="3"/>
  <c r="E476" i="3"/>
  <c r="E31" i="3"/>
  <c r="E519" i="3"/>
  <c r="E382" i="3"/>
  <c r="E551" i="3"/>
  <c r="E166" i="3"/>
  <c r="E256" i="3"/>
  <c r="E434" i="3"/>
  <c r="E321" i="3"/>
  <c r="E317" i="3"/>
  <c r="E529" i="3"/>
  <c r="E419" i="3"/>
  <c r="AO6" i="3"/>
  <c r="E171" i="3"/>
  <c r="E406" i="3"/>
  <c r="E181" i="3"/>
  <c r="E91" i="3"/>
  <c r="E231" i="3"/>
  <c r="E508" i="3"/>
  <c r="AS6" i="3"/>
  <c r="E279" i="3"/>
  <c r="E193" i="3"/>
  <c r="E61" i="3"/>
  <c r="E151" i="3"/>
  <c r="E88" i="3"/>
  <c r="E203" i="3"/>
  <c r="E280" i="3"/>
  <c r="E338" i="3"/>
  <c r="E291" i="3"/>
  <c r="E352" i="3"/>
  <c r="E116" i="3"/>
  <c r="E380" i="3"/>
  <c r="E143" i="3"/>
  <c r="E530" i="3"/>
  <c r="E186" i="3"/>
  <c r="E505" i="3"/>
  <c r="E269" i="3"/>
  <c r="E150" i="3"/>
  <c r="E457" i="3"/>
  <c r="E511" i="3"/>
  <c r="E336" i="3"/>
  <c r="E290" i="3"/>
  <c r="E294" i="3"/>
  <c r="E396" i="3"/>
  <c r="E125" i="3"/>
  <c r="E581" i="3"/>
  <c r="E236" i="3"/>
  <c r="E496" i="3"/>
  <c r="E120" i="3"/>
  <c r="E353" i="3"/>
  <c r="E565" i="3"/>
  <c r="S6" i="3"/>
  <c r="E501" i="3"/>
  <c r="E126" i="3"/>
  <c r="E93" i="3"/>
  <c r="E163" i="3"/>
  <c r="E123" i="3"/>
  <c r="E197" i="3"/>
  <c r="E135" i="3"/>
  <c r="E278" i="3"/>
  <c r="E570" i="3"/>
  <c r="E509" i="3"/>
  <c r="E572" i="3"/>
  <c r="E531" i="3"/>
  <c r="Z6" i="3"/>
  <c r="E362" i="3"/>
  <c r="E577" i="3"/>
  <c r="E133" i="3"/>
  <c r="E568" i="3"/>
  <c r="E301" i="3"/>
  <c r="E528" i="3"/>
  <c r="E538" i="3"/>
  <c r="E555" i="3"/>
  <c r="E175" i="3"/>
  <c r="E162" i="3"/>
  <c r="E478" i="3"/>
  <c r="E567" i="3"/>
  <c r="E111" i="3"/>
  <c r="E458" i="3"/>
  <c r="E314" i="3"/>
  <c r="E518" i="3"/>
  <c r="E260" i="3"/>
  <c r="E320" i="3"/>
  <c r="E516" i="3"/>
  <c r="E316" i="3"/>
  <c r="P6" i="3"/>
  <c r="E32" i="3"/>
  <c r="AE6" i="3"/>
  <c r="E128" i="3"/>
  <c r="E303" i="3"/>
  <c r="E298" i="3"/>
  <c r="E97" i="3"/>
  <c r="E319" i="3"/>
  <c r="E403" i="3"/>
  <c r="E14" i="3"/>
  <c r="E375" i="3"/>
  <c r="E325" i="3"/>
  <c r="E174" i="3"/>
  <c r="E60" i="40"/>
  <c r="E369" i="3"/>
  <c r="E275" i="3"/>
  <c r="E100" i="3"/>
  <c r="E423" i="3"/>
  <c r="E535" i="3"/>
  <c r="E189" i="3"/>
  <c r="M6" i="3"/>
  <c r="E247" i="3"/>
  <c r="E268" i="3"/>
  <c r="E377" i="3"/>
  <c r="E28" i="3"/>
  <c r="E485" i="3"/>
  <c r="E89" i="3"/>
  <c r="E315" i="3"/>
  <c r="E468" i="3"/>
  <c r="E472" i="3"/>
  <c r="E228" i="3"/>
  <c r="E347" i="3"/>
  <c r="E350" i="3"/>
  <c r="E503" i="3"/>
  <c r="E216" i="3"/>
  <c r="E561" i="3"/>
  <c r="E337" i="3"/>
  <c r="E343" i="3"/>
  <c r="E384" i="3"/>
  <c r="E27" i="3"/>
  <c r="E414" i="3"/>
  <c r="E271" i="3"/>
  <c r="E318" i="3"/>
  <c r="E433" i="3"/>
  <c r="E527" i="3"/>
  <c r="E45" i="3"/>
  <c r="E253" i="3"/>
  <c r="E578" i="3"/>
  <c r="E117" i="3"/>
  <c r="E230" i="3"/>
  <c r="E559" i="3"/>
  <c r="E239" i="3"/>
  <c r="E334" i="3"/>
  <c r="E444" i="3"/>
  <c r="AG6" i="3"/>
  <c r="E394" i="3"/>
  <c r="E429" i="3"/>
  <c r="E330" i="3"/>
  <c r="AA6" i="3"/>
  <c r="E159" i="3"/>
  <c r="E304" i="3"/>
  <c r="E523" i="3"/>
  <c r="O6" i="3"/>
  <c r="E53" i="3"/>
  <c r="E71" i="3"/>
  <c r="U6" i="3"/>
  <c r="E208" i="3"/>
  <c r="E413" i="3"/>
  <c r="E149" i="3"/>
  <c r="E90" i="3"/>
  <c r="L6" i="3"/>
  <c r="E49" i="3"/>
  <c r="E283" i="3"/>
  <c r="E145" i="3"/>
  <c r="E537" i="3"/>
  <c r="E459" i="3"/>
  <c r="E354" i="3"/>
  <c r="E176" i="3"/>
  <c r="E178" i="3"/>
  <c r="E225" i="3"/>
  <c r="E349" i="3"/>
  <c r="E16" i="6"/>
  <c r="E378" i="3"/>
  <c r="E248" i="3"/>
  <c r="E131"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293" i="3"/>
  <c r="E245" i="3"/>
  <c r="E550" i="3"/>
  <c r="E114" i="3"/>
  <c r="V6" i="3"/>
  <c r="E229" i="3"/>
  <c r="N6" i="3"/>
  <c r="E30" i="3"/>
  <c r="E121" i="3"/>
  <c r="E558" i="3"/>
  <c r="E164" i="3"/>
  <c r="E580" i="3"/>
  <c r="E73" i="3"/>
  <c r="E424" i="3"/>
  <c r="E177" i="3"/>
  <c r="E238" i="3"/>
  <c r="E402" i="3"/>
  <c r="E302" i="3"/>
  <c r="E237" i="3"/>
  <c r="E506" i="3"/>
  <c r="E285" i="3"/>
  <c r="E426" i="3"/>
  <c r="AM6" i="3"/>
  <c r="E92" i="3"/>
  <c r="E367" i="3"/>
  <c r="E196" i="3"/>
  <c r="E168" i="3"/>
  <c r="E127" i="3"/>
  <c r="E542" i="3"/>
  <c r="E520" i="3"/>
  <c r="E141" i="3"/>
  <c r="E38" i="3"/>
  <c r="E507" i="3"/>
  <c r="E556" i="3"/>
  <c r="E371" i="3"/>
  <c r="D26" i="43"/>
  <c r="C25" i="43" s="1"/>
  <c r="Q52" i="67"/>
  <c r="Q74" i="67"/>
  <c r="C53" i="81"/>
  <c r="C48" i="81" s="1"/>
  <c r="C10" i="81"/>
  <c r="C5" i="81" s="1"/>
  <c r="Q60" i="67"/>
  <c r="J10" i="40"/>
  <c r="AC10" i="40" s="1"/>
  <c r="E536" i="3"/>
  <c r="E286" i="3"/>
  <c r="E430" i="3"/>
  <c r="E491" i="3"/>
  <c r="E258" i="3"/>
  <c r="E59" i="3"/>
  <c r="E160" i="3"/>
  <c r="E84" i="3"/>
  <c r="E68" i="3"/>
  <c r="E494" i="3"/>
  <c r="E482" i="3"/>
  <c r="E86" i="3"/>
  <c r="E308" i="3"/>
  <c r="T6" i="3"/>
  <c r="E408" i="3"/>
  <c r="E13" i="3"/>
  <c r="E41" i="3"/>
  <c r="E428" i="3"/>
  <c r="E324" i="3"/>
  <c r="E80" i="3"/>
  <c r="E16" i="3"/>
  <c r="E393" i="3"/>
  <c r="E499" i="3"/>
  <c r="E255" i="3"/>
  <c r="E479" i="3"/>
  <c r="E292" i="3"/>
  <c r="E484" i="3"/>
  <c r="E249" i="3"/>
  <c r="E33" i="3"/>
  <c r="E81" i="3"/>
  <c r="E281" i="3"/>
  <c r="E96" i="3"/>
  <c r="E206" i="3"/>
  <c r="E205" i="3"/>
  <c r="E405" i="3"/>
  <c r="E451" i="3"/>
  <c r="E470" i="3"/>
  <c r="E115" i="3"/>
  <c r="E412" i="3"/>
  <c r="E35" i="3"/>
  <c r="E158" i="3"/>
  <c r="E188" i="3"/>
  <c r="E564" i="3"/>
  <c r="E422" i="3"/>
  <c r="J6" i="3"/>
  <c r="E25" i="3"/>
  <c r="E276" i="3"/>
  <c r="E60" i="3"/>
  <c r="E79" i="3"/>
  <c r="E234" i="3"/>
  <c r="AQ6" i="3"/>
  <c r="E289" i="3"/>
  <c r="E62" i="3"/>
  <c r="E524"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W6" i="3"/>
  <c r="E313" i="3"/>
  <c r="E136" i="3"/>
  <c r="E307" i="3"/>
  <c r="E154" i="3"/>
  <c r="AD6" i="3"/>
  <c r="E462" i="3"/>
  <c r="E341" i="3"/>
  <c r="E297" i="3"/>
  <c r="E323" i="3"/>
  <c r="E138" i="3"/>
  <c r="E500" i="3"/>
  <c r="E222" i="3"/>
  <c r="E521" i="3"/>
  <c r="E460" i="3"/>
  <c r="E165" i="3"/>
  <c r="E20" i="3"/>
  <c r="E112" i="3"/>
  <c r="E299" i="3"/>
  <c r="E15" i="3"/>
  <c r="E372" i="3"/>
  <c r="E108" i="3"/>
  <c r="AH6" i="3"/>
  <c r="E427" i="3"/>
  <c r="E329" i="3"/>
  <c r="E220" i="3"/>
  <c r="E26" i="3"/>
  <c r="E512" i="3"/>
  <c r="E113" i="3"/>
  <c r="E42" i="3"/>
  <c r="E355" i="3"/>
  <c r="E46" i="3"/>
  <c r="E152" i="3"/>
  <c r="E466" i="3"/>
  <c r="E54" i="3"/>
  <c r="E438" i="3"/>
  <c r="E224" i="3"/>
  <c r="E461" i="3"/>
  <c r="E504" i="3"/>
  <c r="E87" i="3"/>
  <c r="E179" i="3"/>
  <c r="E39" i="3"/>
  <c r="E584" i="3"/>
  <c r="E436" i="3"/>
  <c r="E284" i="3"/>
  <c r="E446" i="3"/>
  <c r="E416" i="3"/>
  <c r="E250" i="3"/>
  <c r="E58" i="3"/>
  <c r="E566" i="3"/>
  <c r="E365" i="3"/>
  <c r="E364" i="3"/>
  <c r="E36" i="3"/>
  <c r="E194" i="3"/>
  <c r="E473" i="3"/>
  <c r="E346" i="3"/>
  <c r="E463" i="3"/>
  <c r="E376" i="3"/>
  <c r="E543" i="3"/>
  <c r="E326" i="3"/>
  <c r="E190" i="3"/>
  <c r="E420" i="3"/>
  <c r="E456" i="3"/>
  <c r="AF6" i="3"/>
  <c r="E391" i="3"/>
  <c r="E184" i="3"/>
  <c r="E467" i="3"/>
  <c r="E37" i="3"/>
  <c r="E502" i="3"/>
  <c r="E548" i="3"/>
  <c r="E207" i="3"/>
  <c r="E357" i="3"/>
  <c r="E471" i="3"/>
  <c r="E474" i="3"/>
  <c r="E157" i="3"/>
  <c r="E82" i="3"/>
  <c r="E187" i="3"/>
  <c r="E195" i="3"/>
  <c r="E66" i="3"/>
  <c r="E374" i="3"/>
  <c r="E266" i="3"/>
  <c r="E464" i="3"/>
  <c r="E48" i="3"/>
  <c r="E110" i="3"/>
  <c r="E312" i="3"/>
  <c r="E24" i="3"/>
  <c r="E348" i="3"/>
  <c r="E552" i="3"/>
  <c r="E265" i="3"/>
  <c r="E340" i="3"/>
  <c r="E392" i="3"/>
  <c r="E170" i="3"/>
  <c r="E540" i="3"/>
  <c r="E226" i="3"/>
  <c r="E401" i="3"/>
  <c r="E440" i="3"/>
  <c r="E105" i="3"/>
  <c r="E232" i="3"/>
  <c r="E356" i="3"/>
  <c r="E497" i="3"/>
  <c r="E525" i="3"/>
  <c r="E383" i="3"/>
  <c r="E513" i="3"/>
  <c r="E492" i="3"/>
  <c r="E544" i="3"/>
  <c r="E517" i="3"/>
  <c r="E212" i="3"/>
  <c r="C49" i="67"/>
  <c r="P6" i="1"/>
  <c r="C13" i="12" s="1"/>
  <c r="H10" i="40"/>
  <c r="AB10" i="40" s="1"/>
  <c r="F10" i="40"/>
  <c r="S10" i="40" s="1"/>
  <c r="AA10" i="39"/>
  <c r="H6" i="3"/>
  <c r="J10" i="39"/>
  <c r="W10" i="39" s="1"/>
  <c r="H10" i="39"/>
  <c r="U10" i="39" s="1"/>
  <c r="J5" i="67"/>
  <c r="J24" i="67" s="1"/>
  <c r="AY6" i="3"/>
  <c r="AY87" i="3" s="1"/>
  <c r="E3" i="6"/>
  <c r="D37" i="11" s="1"/>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D56" i="71"/>
  <c r="T56" i="71"/>
  <c r="O65" i="71"/>
  <c r="D66" i="71"/>
  <c r="O66" i="71"/>
  <c r="D22" i="71"/>
  <c r="C21" i="71"/>
  <c r="S16" i="71"/>
  <c r="E173" i="3"/>
  <c r="E22" i="3"/>
  <c r="E102" i="3"/>
  <c r="E34" i="3"/>
  <c r="E235" i="3"/>
  <c r="E18" i="3"/>
  <c r="AL6" i="3"/>
  <c r="AC6" i="3" s="1"/>
  <c r="E6" i="3" s="1"/>
  <c r="E198" i="3"/>
  <c r="E309" i="3"/>
  <c r="E63" i="3"/>
  <c r="E233" i="3"/>
  <c r="E67" i="3"/>
  <c r="E310" i="3"/>
  <c r="E267" i="3"/>
  <c r="E64" i="3"/>
  <c r="E409" i="3"/>
  <c r="E389" i="3"/>
  <c r="E241" i="3"/>
  <c r="E95" i="3"/>
  <c r="E417" i="3"/>
  <c r="E554" i="3"/>
  <c r="E449" i="3"/>
  <c r="E442" i="3"/>
  <c r="E575" i="3"/>
  <c r="T40" i="71"/>
  <c r="D40" i="71"/>
  <c r="B40" i="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M16" i="1"/>
  <c r="AY335" i="3"/>
  <c r="AY260" i="3"/>
  <c r="AY44" i="3"/>
  <c r="AY360" i="3"/>
  <c r="AY475" i="3"/>
  <c r="AY18" i="3"/>
  <c r="AY535" i="3"/>
  <c r="AY222" i="3"/>
  <c r="AY393" i="3"/>
  <c r="AY518" i="3"/>
  <c r="AY132" i="3"/>
  <c r="AY379" i="3"/>
  <c r="AY100" i="3"/>
  <c r="AY134" i="3"/>
  <c r="BB6" i="3"/>
  <c r="AY341" i="3"/>
  <c r="AY580" i="3"/>
  <c r="AY101" i="3"/>
  <c r="AY129" i="3"/>
  <c r="AY345" i="3"/>
  <c r="AY458" i="3"/>
  <c r="D3" i="6"/>
  <c r="BA6" i="3"/>
  <c r="AY167" i="3"/>
  <c r="AY264" i="3"/>
  <c r="AY314" i="3"/>
  <c r="AY558" i="3"/>
  <c r="AY91" i="3"/>
  <c r="AY184" i="3"/>
  <c r="AY119" i="3"/>
  <c r="AY256" i="3"/>
  <c r="AY367" i="3"/>
  <c r="AY306" i="3"/>
  <c r="AY416" i="3"/>
  <c r="BC6" i="3"/>
  <c r="AY498" i="3"/>
  <c r="AY122" i="3"/>
  <c r="AY385" i="3"/>
  <c r="AY304" i="3"/>
  <c r="AY418" i="3"/>
  <c r="AY564" i="3"/>
  <c r="AY548" i="3"/>
  <c r="AY30" i="3"/>
  <c r="AY296" i="3"/>
  <c r="AY347" i="3"/>
  <c r="AY421" i="3"/>
  <c r="AY102" i="3"/>
  <c r="AY175" i="3"/>
  <c r="AY208" i="3"/>
  <c r="AY322" i="3"/>
  <c r="AY413" i="3"/>
  <c r="AY583" i="3"/>
  <c r="AY21" i="3"/>
  <c r="AY113" i="3"/>
  <c r="AY250" i="3"/>
  <c r="AY337" i="3"/>
  <c r="AY479" i="3"/>
  <c r="AY445" i="3"/>
  <c r="AY415" i="3"/>
  <c r="AY522" i="3"/>
  <c r="AY551" i="3"/>
  <c r="BP6" i="3"/>
  <c r="AY79" i="3"/>
  <c r="AY19" i="3"/>
  <c r="AY151" i="3"/>
  <c r="AY265" i="3"/>
  <c r="AY394" i="3"/>
  <c r="AY315" i="3"/>
  <c r="AY451" i="3"/>
  <c r="AY500" i="3"/>
  <c r="AY568" i="3"/>
  <c r="AY71" i="3"/>
  <c r="AY200" i="3"/>
  <c r="AY143" i="3"/>
  <c r="AY257" i="3"/>
  <c r="AY386" i="3"/>
  <c r="AY307" i="3"/>
  <c r="AY443" i="3"/>
  <c r="AY521" i="3"/>
  <c r="BT6" i="3"/>
  <c r="D3" i="21"/>
  <c r="E6" i="6"/>
  <c r="D14" i="12"/>
  <c r="M18" i="9"/>
  <c r="B118" i="9" s="1"/>
  <c r="B1" i="74" s="1"/>
  <c r="D3" i="34"/>
  <c r="C17" i="4"/>
  <c r="B4" i="52" s="1"/>
  <c r="B43" i="72" s="1"/>
  <c r="D3" i="33"/>
  <c r="C39" i="43"/>
  <c r="C42" i="43"/>
  <c r="E42" i="43" s="1"/>
  <c r="C38" i="43"/>
  <c r="AA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16" i="15"/>
  <c r="AE7" i="1"/>
  <c r="D10" i="86"/>
  <c r="C34" i="86"/>
  <c r="F41" i="81"/>
  <c r="M27" i="15"/>
  <c r="M27" i="67"/>
  <c r="F41" i="15"/>
  <c r="C5" i="15" l="1"/>
  <c r="C38" i="15" s="1"/>
  <c r="O7" i="1"/>
  <c r="P7" i="1" s="1"/>
  <c r="J5" i="15"/>
  <c r="J24" i="15" s="1"/>
  <c r="J24" i="81"/>
  <c r="F27" i="68"/>
  <c r="F27" i="11"/>
  <c r="F28" i="12"/>
  <c r="C29" i="12" s="1"/>
  <c r="D28" i="12" s="1"/>
  <c r="AB10" i="39"/>
  <c r="U10" i="40"/>
  <c r="AY566" i="3"/>
  <c r="AY477" i="3"/>
  <c r="AY240" i="3"/>
  <c r="AY164" i="3"/>
  <c r="AY107" i="3"/>
  <c r="AY408" i="3"/>
  <c r="AY359" i="3"/>
  <c r="AY301" i="3"/>
  <c r="AY62" i="3"/>
  <c r="AY545" i="3"/>
  <c r="AY505" i="3"/>
  <c r="AY476" i="3"/>
  <c r="AY361" i="3"/>
  <c r="AY174" i="3"/>
  <c r="AY15" i="3"/>
  <c r="AY339" i="3"/>
  <c r="AY22" i="3"/>
  <c r="AY482" i="3"/>
  <c r="AY140" i="3"/>
  <c r="AY537" i="3"/>
  <c r="AY461" i="3"/>
  <c r="AY235" i="3"/>
  <c r="AY504" i="3"/>
  <c r="AY459" i="3"/>
  <c r="AY213" i="3"/>
  <c r="AY148" i="3"/>
  <c r="BL6" i="3"/>
  <c r="AY376" i="3"/>
  <c r="AY35" i="3"/>
  <c r="AY423" i="3"/>
  <c r="AY234" i="3"/>
  <c r="AY584" i="3"/>
  <c r="AY161" i="3"/>
  <c r="AY198" i="3"/>
  <c r="AY412" i="3"/>
  <c r="AY454" i="3"/>
  <c r="AY182" i="3"/>
  <c r="AY561" i="3"/>
  <c r="AY283" i="3"/>
  <c r="AY209" i="3"/>
  <c r="AY400" i="3"/>
  <c r="AY351" i="3"/>
  <c r="AY293" i="3"/>
  <c r="AY54" i="3"/>
  <c r="AY547" i="3"/>
  <c r="AY485" i="3"/>
  <c r="AY248" i="3"/>
  <c r="AY172" i="3"/>
  <c r="AY493" i="3"/>
  <c r="AY515" i="3"/>
  <c r="AY402" i="3"/>
  <c r="AY305" i="3"/>
  <c r="AY267" i="3"/>
  <c r="AY64" i="3"/>
  <c r="AY474" i="3"/>
  <c r="AY288" i="3"/>
  <c r="AY528" i="3"/>
  <c r="AY216" i="3"/>
  <c r="AY110" i="3"/>
  <c r="AY399" i="3"/>
  <c r="AY321" i="3"/>
  <c r="AY205" i="3"/>
  <c r="AY550" i="3"/>
  <c r="AY323" i="3"/>
  <c r="AY273" i="3"/>
  <c r="AY70" i="3"/>
  <c r="AY456" i="3"/>
  <c r="AY280" i="3"/>
  <c r="AY542" i="3"/>
  <c r="AY487" i="3"/>
  <c r="AY37" i="3"/>
  <c r="AY449" i="3"/>
  <c r="AY227" i="3"/>
  <c r="AY417" i="3"/>
  <c r="AY577" i="3"/>
  <c r="AY40" i="3"/>
  <c r="AY425" i="3"/>
  <c r="AY295" i="3"/>
  <c r="AY549" i="3"/>
  <c r="AY188" i="3"/>
  <c r="AY272" i="3"/>
  <c r="AY195" i="3"/>
  <c r="AY576" i="3"/>
  <c r="AY440" i="3"/>
  <c r="AY383" i="3"/>
  <c r="AY120" i="3"/>
  <c r="AY47" i="3"/>
  <c r="AY530" i="3"/>
  <c r="AY17" i="3"/>
  <c r="AY450" i="3"/>
  <c r="AY336" i="3"/>
  <c r="AY218" i="3"/>
  <c r="AY142" i="3"/>
  <c r="AY586" i="3"/>
  <c r="BD6" i="3"/>
  <c r="AY448" i="3"/>
  <c r="AY338" i="3"/>
  <c r="AY391" i="3"/>
  <c r="AY241" i="3"/>
  <c r="AY128" i="3"/>
  <c r="AY38" i="3"/>
  <c r="AY587" i="3"/>
  <c r="AY405" i="3"/>
  <c r="AY331" i="3"/>
  <c r="AY249" i="3"/>
  <c r="AY187" i="3"/>
  <c r="AY531" i="3"/>
  <c r="AY506" i="3"/>
  <c r="AY484" i="3"/>
  <c r="AY369" i="3"/>
  <c r="AY158" i="3"/>
  <c r="AY514" i="3"/>
  <c r="AY419" i="3"/>
  <c r="AY258" i="3"/>
  <c r="AY373" i="3"/>
  <c r="AY173" i="3"/>
  <c r="AY540" i="3"/>
  <c r="AY116" i="3"/>
  <c r="AY49" i="3"/>
  <c r="AY525" i="3"/>
  <c r="AY130" i="3"/>
  <c r="AY117" i="3"/>
  <c r="AY355" i="3"/>
  <c r="AY495" i="3"/>
  <c r="AY353" i="3"/>
  <c r="AY230" i="3"/>
  <c r="AY97" i="3"/>
  <c r="AY441" i="3"/>
  <c r="AY297"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79" i="3"/>
  <c r="AY55" i="3"/>
  <c r="AY517" i="3"/>
  <c r="AY466" i="3"/>
  <c r="AY378" i="3"/>
  <c r="AY135" i="3"/>
  <c r="AY63" i="3"/>
  <c r="AY502" i="3"/>
  <c r="AY410" i="3"/>
  <c r="AY344" i="3"/>
  <c r="AY282" i="3"/>
  <c r="AY80" i="3"/>
  <c r="AY520" i="3"/>
  <c r="AY324" i="3"/>
  <c r="AY29" i="3"/>
  <c r="AY255" i="3"/>
  <c r="AY84" i="3"/>
  <c r="AY478" i="3"/>
  <c r="AY220" i="3"/>
  <c r="AY508" i="3"/>
  <c r="AY308" i="3"/>
  <c r="BS6" i="3"/>
  <c r="AY89" i="3"/>
  <c r="AY237" i="3"/>
  <c r="AY398" i="3"/>
  <c r="AY56" i="3"/>
  <c r="AY154" i="3"/>
  <c r="AY310" i="3"/>
  <c r="AY289" i="3"/>
  <c r="AY176" i="3"/>
  <c r="AY78" i="3"/>
  <c r="AY578" i="3"/>
  <c r="AY509" i="3"/>
  <c r="AY499" i="3"/>
  <c r="AY439" i="3"/>
  <c r="AY453" i="3"/>
  <c r="AY328" i="3"/>
  <c r="AY364" i="3"/>
  <c r="AY266" i="3"/>
  <c r="AY169" i="3"/>
  <c r="AY48" i="3"/>
  <c r="AY519" i="3"/>
  <c r="AY552" i="3"/>
  <c r="AY503" i="3"/>
  <c r="AY480" i="3"/>
  <c r="AY215" i="3"/>
  <c r="AY181" i="3"/>
  <c r="AY507" i="3"/>
  <c r="AY270" i="3"/>
  <c r="AY141" i="3"/>
  <c r="AY20" i="3"/>
  <c r="AY539" i="3"/>
  <c r="AY436" i="3"/>
  <c r="AY212" i="3"/>
  <c r="AY350" i="3"/>
  <c r="AY191" i="3"/>
  <c r="AY496" i="3"/>
  <c r="AY516" i="3"/>
  <c r="AY467" i="3"/>
  <c r="AY226" i="3"/>
  <c r="AY93" i="3"/>
  <c r="AY239" i="3"/>
  <c r="AY68" i="3"/>
  <c r="AY481" i="3"/>
  <c r="AY486" i="3"/>
  <c r="AY16" i="3"/>
  <c r="BQ6" i="3"/>
  <c r="AY348" i="3"/>
  <c r="AY166" i="3"/>
  <c r="AY397" i="3"/>
  <c r="AY133" i="3"/>
  <c r="AY61" i="3"/>
  <c r="AY420" i="3"/>
  <c r="AY26" i="3"/>
  <c r="AY261" i="3"/>
  <c r="AY225" i="3"/>
  <c r="AY115" i="3"/>
  <c r="AY159" i="3"/>
  <c r="AY27" i="3"/>
  <c r="AY86" i="3"/>
  <c r="AY512" i="3"/>
  <c r="AY424" i="3"/>
  <c r="AY346" i="3"/>
  <c r="AY221" i="3"/>
  <c r="AY127" i="3"/>
  <c r="AY192" i="3"/>
  <c r="AY94" i="3"/>
  <c r="BR6" i="3"/>
  <c r="AY524" i="3"/>
  <c r="AY579" i="3"/>
  <c r="AY442" i="3"/>
  <c r="AY471" i="3"/>
  <c r="AY313" i="3"/>
  <c r="AY223" i="3"/>
  <c r="AY287" i="3"/>
  <c r="AY189" i="3"/>
  <c r="AY96" i="3"/>
  <c r="AY494" i="3"/>
  <c r="AY536" i="3"/>
  <c r="AY438" i="3"/>
  <c r="AY309" i="3"/>
  <c r="AY275" i="3"/>
  <c r="AY88" i="3"/>
  <c r="AY384" i="3"/>
  <c r="AY286" i="3"/>
  <c r="AY193" i="3"/>
  <c r="AY69" i="3"/>
  <c r="AY573" i="3"/>
  <c r="AY343" i="3"/>
  <c r="AY497" i="3"/>
  <c r="AY147" i="3"/>
  <c r="AY112" i="3"/>
  <c r="AY559" i="3"/>
  <c r="AY435" i="3"/>
  <c r="AY356" i="3"/>
  <c r="AY150" i="3"/>
  <c r="AY365" i="3"/>
  <c r="AY146" i="3"/>
  <c r="BO6" i="3"/>
  <c r="AY269" i="3"/>
  <c r="AY90" i="3"/>
  <c r="AY571" i="3"/>
  <c r="AY462" i="3"/>
  <c r="AY242" i="3"/>
  <c r="AY109" i="3"/>
  <c r="AY247" i="3"/>
  <c r="AY190" i="3"/>
  <c r="AY533" i="3"/>
  <c r="AY372" i="3"/>
  <c r="AY473" i="3"/>
  <c r="AY50" i="3"/>
  <c r="AY276" i="3"/>
  <c r="AY66" i="3"/>
  <c r="AY254" i="3"/>
  <c r="AY126" i="3"/>
  <c r="AY36" i="3"/>
  <c r="AY555" i="3"/>
  <c r="AY404" i="3"/>
  <c r="AY244" i="3"/>
  <c r="AY444" i="3"/>
  <c r="AY75" i="3"/>
  <c r="AY501" i="3"/>
  <c r="AY546" i="3"/>
  <c r="AY585" i="3"/>
  <c r="AY430" i="3"/>
  <c r="AY316" i="3"/>
  <c r="AY388" i="3"/>
  <c r="AY145" i="3"/>
  <c r="AY73" i="3"/>
  <c r="AY374" i="3"/>
  <c r="AY262" i="3"/>
  <c r="AY125" i="3"/>
  <c r="AY185" i="3"/>
  <c r="AY76" i="3"/>
  <c r="BE6" i="3"/>
  <c r="AY401" i="3"/>
  <c r="AY327" i="3"/>
  <c r="AY300" i="3"/>
  <c r="AY460" i="3"/>
  <c r="AY284" i="3"/>
  <c r="AY160" i="3"/>
  <c r="AY371" i="3"/>
  <c r="AY58" i="3"/>
  <c r="AY59" i="3"/>
  <c r="AY23"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55" i="3"/>
  <c r="AY31" i="3"/>
  <c r="AY81" i="3"/>
  <c r="AY556" i="3"/>
  <c r="BN6" i="3"/>
  <c r="AY422" i="3"/>
  <c r="AY340" i="3"/>
  <c r="AY279" i="3"/>
  <c r="AY57" i="3"/>
  <c r="AY389" i="3"/>
  <c r="AY302" i="3"/>
  <c r="AY178" i="3"/>
  <c r="AY53" i="3"/>
  <c r="AY562" i="3"/>
  <c r="AY311" i="3"/>
  <c r="AY199" i="3"/>
  <c r="AY387" i="3"/>
  <c r="AY171" i="3"/>
  <c r="BG6" i="3"/>
  <c r="AY534" i="3"/>
  <c r="AY411" i="3"/>
  <c r="AY472" i="3"/>
  <c r="AY333" i="3"/>
  <c r="AY259" i="3"/>
  <c r="AY202" i="3"/>
  <c r="BH6" i="3"/>
  <c r="AY219" i="3"/>
  <c r="AY278" i="3"/>
  <c r="AY165" i="3"/>
  <c r="AY33" i="3"/>
  <c r="AY92" i="3"/>
  <c r="AY544" i="3"/>
  <c r="AY463" i="3"/>
  <c r="AY217" i="3"/>
  <c r="AY529" i="3"/>
  <c r="AY319" i="3"/>
  <c r="AY183" i="3"/>
  <c r="AY103" i="3"/>
  <c r="AY268" i="3"/>
  <c r="AY131" i="3"/>
  <c r="AY155" i="3"/>
  <c r="AY83" i="3"/>
  <c r="C35" i="86"/>
  <c r="C38" i="86"/>
  <c r="C10" i="86"/>
  <c r="C8" i="86" s="1"/>
  <c r="D19" i="86"/>
  <c r="D37" i="86" s="1"/>
  <c r="C37" i="86" s="1"/>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F69" i="81"/>
  <c r="J29" i="81"/>
  <c r="C6" i="69"/>
  <c r="C7" i="69" s="1"/>
  <c r="L36" i="85"/>
  <c r="L37" i="85" s="1"/>
  <c r="F22" i="86"/>
  <c r="C38" i="81"/>
  <c r="C66" i="81"/>
  <c r="C60" i="81"/>
  <c r="L36" i="43"/>
  <c r="L37" i="43" s="1"/>
  <c r="M37" i="43" s="1"/>
  <c r="F24" i="81"/>
  <c r="C48" i="67"/>
  <c r="C66" i="67" s="1"/>
  <c r="F22" i="68"/>
  <c r="C23" i="68" s="1"/>
  <c r="F25" i="12"/>
  <c r="C26" i="12" s="1"/>
  <c r="D25" i="12" s="1"/>
  <c r="D116" i="43"/>
  <c r="D3" i="37"/>
  <c r="D19" i="11"/>
  <c r="C19" i="11" s="1"/>
  <c r="C20" i="11" s="1"/>
  <c r="C28" i="11" s="1"/>
  <c r="C27" i="11" s="1"/>
  <c r="D21" i="71"/>
  <c r="C20" i="71"/>
  <c r="F22" i="11"/>
  <c r="C23" i="11" s="1"/>
  <c r="F24" i="67"/>
  <c r="C24" i="67" s="1"/>
  <c r="F24" i="15"/>
  <c r="C24" i="15" s="1"/>
  <c r="F22" i="69"/>
  <c r="F41" i="69" s="1"/>
  <c r="E49" i="34"/>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D17" i="12"/>
  <c r="C17" i="12" s="1"/>
  <c r="D10" i="11"/>
  <c r="C10" i="11" s="1"/>
  <c r="D20" i="12"/>
  <c r="C20" i="12" s="1"/>
  <c r="C18" i="12" s="1"/>
  <c r="D25" i="6"/>
  <c r="D15" i="6"/>
  <c r="D22" i="6"/>
  <c r="D21" i="6"/>
  <c r="D24" i="6"/>
  <c r="D20" i="6"/>
  <c r="D26" i="6"/>
  <c r="D8" i="6"/>
  <c r="D14" i="6"/>
  <c r="D6" i="6"/>
  <c r="D9" i="6"/>
  <c r="D10" i="6"/>
  <c r="D29" i="6"/>
  <c r="H25" i="6"/>
  <c r="D19" i="6"/>
  <c r="M19" i="9" s="1"/>
  <c r="C118" i="9" s="1"/>
  <c r="B2" i="74" s="1"/>
  <c r="C18" i="4"/>
  <c r="D23" i="6"/>
  <c r="D5" i="6"/>
  <c r="D12" i="6"/>
  <c r="D11" i="6"/>
  <c r="D13" i="6"/>
  <c r="D28" i="6"/>
  <c r="E61" i="40"/>
  <c r="H26" i="6"/>
  <c r="P14" i="1"/>
  <c r="P16" i="1" s="1"/>
  <c r="C11" i="12" s="1"/>
  <c r="N16" i="1"/>
  <c r="F50" i="86"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C17" i="81"/>
  <c r="C14" i="81"/>
  <c r="D10" i="69"/>
  <c r="C17" i="15"/>
  <c r="C17" i="67"/>
  <c r="C34" i="69"/>
  <c r="C14" i="67"/>
  <c r="O16" i="1" l="1"/>
  <c r="D30" i="6"/>
  <c r="C29" i="11"/>
  <c r="D27" i="11" s="1"/>
  <c r="C47" i="11"/>
  <c r="D45" i="11" s="1"/>
  <c r="F45" i="68"/>
  <c r="C47" i="68"/>
  <c r="D45" i="68" s="1"/>
  <c r="C29" i="68"/>
  <c r="D27" i="68" s="1"/>
  <c r="H22" i="6"/>
  <c r="C60" i="67"/>
  <c r="C33" i="86"/>
  <c r="C39" i="86" s="1"/>
  <c r="C46" i="86" s="1"/>
  <c r="C45" i="86" s="1"/>
  <c r="C15" i="81"/>
  <c r="C18" i="81"/>
  <c r="E7" i="70"/>
  <c r="S20" i="6"/>
  <c r="L18" i="84"/>
  <c r="M19" i="84"/>
  <c r="C118" i="84" s="1"/>
  <c r="O36" i="85"/>
  <c r="Q36" i="85"/>
  <c r="M36" i="85"/>
  <c r="N36" i="85"/>
  <c r="P36" i="85"/>
  <c r="F41" i="86"/>
  <c r="C24" i="86"/>
  <c r="C26" i="86"/>
  <c r="D22" i="86" s="1"/>
  <c r="C44" i="86"/>
  <c r="D41" i="86" s="1"/>
  <c r="C42" i="86"/>
  <c r="C7" i="86"/>
  <c r="C5" i="86" s="1"/>
  <c r="P37" i="85"/>
  <c r="Q37" i="85"/>
  <c r="O37" i="85"/>
  <c r="N37" i="85"/>
  <c r="M37" i="85"/>
  <c r="Q36" i="43"/>
  <c r="O36" i="43"/>
  <c r="N37" i="43"/>
  <c r="F41" i="68"/>
  <c r="Q37" i="43"/>
  <c r="P37" i="43"/>
  <c r="P36" i="43"/>
  <c r="O37" i="43"/>
  <c r="M36" i="43"/>
  <c r="N36" i="43"/>
  <c r="C24" i="81"/>
  <c r="C44" i="68"/>
  <c r="D41" i="68" s="1"/>
  <c r="C26" i="68"/>
  <c r="D22" i="68" s="1"/>
  <c r="H21" i="6"/>
  <c r="H24" i="6"/>
  <c r="R24" i="6" s="1"/>
  <c r="R11" i="1" s="1"/>
  <c r="C26" i="11"/>
  <c r="D22" i="11" s="1"/>
  <c r="C44" i="11"/>
  <c r="D41" i="11" s="1"/>
  <c r="D20" i="71"/>
  <c r="U20" i="71" s="1"/>
  <c r="C19" i="71"/>
  <c r="T20" i="71"/>
  <c r="C25" i="11"/>
  <c r="C24" i="11"/>
  <c r="C44" i="69"/>
  <c r="D41" i="69" s="1"/>
  <c r="C26" i="69"/>
  <c r="D22" i="69"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C19" i="81" l="1"/>
  <c r="C20" i="81" s="1"/>
  <c r="C26" i="81" s="1"/>
  <c r="C43" i="86"/>
  <c r="C41" i="86" s="1"/>
  <c r="C49" i="86" s="1"/>
  <c r="C51" i="86" s="1"/>
  <c r="C23" i="81"/>
  <c r="C29" i="81" s="1"/>
  <c r="J14" i="81" s="1"/>
  <c r="E2" i="70"/>
  <c r="L19" i="84"/>
  <c r="C21" i="84" s="1"/>
  <c r="C23" i="86"/>
  <c r="C20" i="86"/>
  <c r="C25" i="86" s="1"/>
  <c r="D19" i="71"/>
  <c r="C18"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J59" i="81" l="1"/>
  <c r="J60" i="81" s="1"/>
  <c r="Q48" i="81" s="1"/>
  <c r="C28" i="86"/>
  <c r="C27" i="86" s="1"/>
  <c r="C22" i="86"/>
  <c r="Q49" i="81"/>
  <c r="C57" i="81"/>
  <c r="C64" i="81" s="1"/>
  <c r="C13" i="81"/>
  <c r="C75" i="81" s="1"/>
  <c r="C36" i="81"/>
  <c r="J22" i="81"/>
  <c r="J13" i="81"/>
  <c r="J23" i="81" s="1"/>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1" i="86" l="1"/>
  <c r="C52" i="86" s="1"/>
  <c r="L46" i="81"/>
  <c r="B2" i="86"/>
  <c r="C57" i="86"/>
  <c r="C56" i="86" s="1"/>
  <c r="C37" i="81"/>
  <c r="Q70" i="81"/>
  <c r="C56" i="81"/>
  <c r="C65" i="81" s="1"/>
  <c r="D17" i="7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B3" i="86"/>
  <c r="M21" i="15"/>
  <c r="M21" i="67"/>
  <c r="F35" i="81"/>
  <c r="F35" i="15"/>
  <c r="M21" i="81"/>
  <c r="J20" i="81" l="1"/>
  <c r="J17" i="81" s="1"/>
  <c r="J16" i="81" s="1"/>
  <c r="J25" i="81" s="1"/>
  <c r="F63" i="81"/>
  <c r="C62" i="81" s="1"/>
  <c r="C59" i="81" s="1"/>
  <c r="C58" i="81" s="1"/>
  <c r="C67" i="81" s="1"/>
  <c r="C68" i="81" s="1"/>
  <c r="C34" i="81"/>
  <c r="C31" i="81" s="1"/>
  <c r="C30" i="81" s="1"/>
  <c r="C39" i="81" s="1"/>
  <c r="T16" i="71"/>
  <c r="D16" i="71"/>
  <c r="U16" i="71" s="1"/>
  <c r="C15"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H40" i="81" l="1"/>
  <c r="C40" i="81"/>
  <c r="C45" i="81" s="1"/>
  <c r="C46" i="81" s="1"/>
  <c r="Q69" i="81"/>
  <c r="Q68" i="81" s="1"/>
  <c r="C80" i="81"/>
  <c r="C79" i="81" s="1"/>
  <c r="C71" i="8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81"/>
  <c r="Q67" i="81" l="1"/>
  <c r="Q47" i="81"/>
  <c r="Q53" i="81" s="1"/>
  <c r="Q56" i="81"/>
  <c r="Q62" i="81" s="1"/>
  <c r="Q65" i="81"/>
  <c r="Q75" i="81" s="1"/>
  <c r="C43" i="81"/>
  <c r="D2" i="81"/>
  <c r="C83" i="81"/>
  <c r="C82" i="81" s="1"/>
  <c r="Q69" i="67"/>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B2" i="81" l="1"/>
  <c r="B3" i="81"/>
  <c r="C12" i="7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6"/>
  <c r="D19" i="84"/>
  <c r="D2" i="37"/>
  <c r="D19" i="9"/>
  <c r="L51" i="15"/>
  <c r="D2" i="35"/>
  <c r="D2" i="34"/>
  <c r="C102" i="9" l="1"/>
  <c r="C21" i="9"/>
  <c r="B3" i="33"/>
  <c r="D21" i="84"/>
  <c r="D102" i="84"/>
  <c r="D22" i="84"/>
  <c r="G19" i="84"/>
  <c r="G21" i="84" s="1"/>
  <c r="D102" i="9"/>
  <c r="D22" i="9"/>
  <c r="G19" i="9"/>
  <c r="G21" i="9" s="1"/>
  <c r="D21" i="9"/>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20" i="9"/>
  <c r="D20" i="9"/>
  <c r="AO11" i="1"/>
  <c r="AO6" i="1"/>
  <c r="AO8" i="1"/>
  <c r="AO12" i="1"/>
  <c r="D20" i="84"/>
  <c r="AO10" i="1"/>
  <c r="AO7" i="1"/>
  <c r="AO9" i="1"/>
  <c r="C103" i="9" l="1"/>
  <c r="D103" i="84"/>
  <c r="G20" i="84"/>
  <c r="C32" i="84" s="1"/>
  <c r="G20" i="9"/>
  <c r="C32" i="9" s="1"/>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I118" i="84" l="1"/>
  <c r="D35" i="84"/>
  <c r="D34" i="84"/>
  <c r="C35" i="9"/>
  <c r="C34" i="9"/>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34" i="9"/>
  <c r="C105" i="84" l="1"/>
  <c r="H118" i="84"/>
  <c r="H102" i="84"/>
  <c r="D9" i="71"/>
  <c r="C8" i="71"/>
  <c r="C42" i="40"/>
  <c r="C43" i="40"/>
  <c r="E47" i="40"/>
  <c r="F47" i="40" s="1"/>
  <c r="E46" i="40"/>
  <c r="F46" i="40" s="1"/>
  <c r="I47" i="40"/>
  <c r="J47" i="40" s="1"/>
  <c r="H119" i="84" l="1"/>
  <c r="H101" i="84"/>
  <c r="C104" i="84"/>
  <c r="D8" i="71"/>
  <c r="C7" i="71"/>
  <c r="B58" i="40"/>
  <c r="F58" i="40" s="1"/>
  <c r="B54" i="40"/>
  <c r="F54" i="40" s="1"/>
  <c r="B53" i="40"/>
  <c r="F53" i="40" s="1"/>
  <c r="B59" i="40"/>
  <c r="F59" i="40" s="1"/>
  <c r="B52" i="40"/>
  <c r="F52" i="40" s="1"/>
  <c r="B56" i="40"/>
  <c r="F56" i="40" s="1"/>
  <c r="B60" i="40"/>
  <c r="F60" i="40" s="1"/>
  <c r="B57" i="40"/>
  <c r="F57" i="40" s="1"/>
  <c r="B51" i="40"/>
  <c r="F51" i="40" s="1"/>
  <c r="F61" i="40"/>
  <c r="B2" i="40" s="1"/>
  <c r="B3" i="40" s="1"/>
  <c r="H107" i="84" l="1"/>
  <c r="M48" i="84"/>
  <c r="D45" i="84"/>
  <c r="D7" i="71"/>
  <c r="C6" i="71"/>
  <c r="C72" i="84" l="1"/>
  <c r="C64" i="84"/>
  <c r="C63" i="84" s="1"/>
  <c r="C67" i="84" s="1"/>
  <c r="D53" i="84"/>
  <c r="C78" i="84"/>
  <c r="C73" i="84" s="1"/>
  <c r="D52" i="84"/>
  <c r="C93" i="84"/>
  <c r="C86" i="84" s="1"/>
  <c r="C85" i="84"/>
  <c r="D55" i="84"/>
  <c r="M53" i="84" s="1"/>
  <c r="M49" i="84"/>
  <c r="D122" i="84"/>
  <c r="D123" i="84" s="1"/>
  <c r="H108" i="84"/>
  <c r="C5" i="71"/>
  <c r="D5" i="71" s="1"/>
  <c r="M24" i="43" s="1"/>
  <c r="D6" i="71"/>
  <c r="C95" i="84" l="1"/>
  <c r="C96" i="84" s="1"/>
  <c r="E96" i="84" s="1"/>
  <c r="E97" i="84" s="1"/>
  <c r="D59" i="84"/>
  <c r="M55" i="84" s="1"/>
  <c r="C68" i="84"/>
  <c r="D54" i="84" s="1"/>
  <c r="L66" i="84"/>
  <c r="M66" i="84" s="1"/>
  <c r="L64" i="84"/>
  <c r="M64" i="84" s="1"/>
  <c r="L68" i="84"/>
  <c r="M68" i="84" s="1"/>
  <c r="L67" i="84"/>
  <c r="M67" i="84" s="1"/>
  <c r="L65" i="84"/>
  <c r="M65" i="84" s="1"/>
  <c r="L63" i="84"/>
  <c r="M63" i="84" s="1"/>
  <c r="C79" i="84"/>
  <c r="G118" i="9"/>
  <c r="F118" i="9" s="1"/>
  <c r="F119" i="9" s="1"/>
  <c r="F5" i="52" s="1"/>
  <c r="B53" i="72" s="1"/>
  <c r="I118" i="9"/>
  <c r="I4" i="52" s="1"/>
  <c r="M69" i="84" l="1"/>
  <c r="N69" i="84" s="1"/>
  <c r="C97" i="84"/>
  <c r="D58" i="84" s="1"/>
  <c r="D56" i="84" s="1"/>
  <c r="M54" i="84" s="1"/>
  <c r="N57" i="84" s="1"/>
  <c r="C80" i="84"/>
  <c r="E80" i="84" s="1"/>
  <c r="E81" i="84" s="1"/>
  <c r="G4" i="52"/>
  <c r="B52" i="72" s="1"/>
  <c r="H102" i="9"/>
  <c r="C105" i="9"/>
  <c r="F4" i="52"/>
  <c r="B51" i="72" s="1"/>
  <c r="H118" i="9"/>
  <c r="E118" i="9"/>
  <c r="D7" i="53" l="1"/>
  <c r="B21" i="72" s="1"/>
  <c r="R24" i="31"/>
  <c r="C81" i="84"/>
  <c r="P57" i="84"/>
  <c r="N58" i="84"/>
  <c r="N59" i="84"/>
  <c r="D118" i="9"/>
  <c r="E4" i="52"/>
  <c r="B48" i="72" s="1"/>
  <c r="H119" i="9"/>
  <c r="H5" i="52" s="1"/>
  <c r="C104" i="9"/>
  <c r="H4" i="52"/>
  <c r="H101" i="9"/>
  <c r="R28" i="31" l="1"/>
  <c r="S28" i="31" s="1"/>
  <c r="R25" i="31"/>
  <c r="S25" i="31" s="1"/>
  <c r="R26" i="31"/>
  <c r="S26" i="31" s="1"/>
  <c r="S24" i="31"/>
  <c r="R27" i="31"/>
  <c r="S27" i="31" s="1"/>
  <c r="N61" i="84"/>
  <c r="N60" i="84"/>
  <c r="H107" i="9"/>
  <c r="D45" i="9"/>
  <c r="D5" i="53"/>
  <c r="M48" i="9"/>
  <c r="D119" i="9"/>
  <c r="D5" i="52" s="1"/>
  <c r="B49" i="72" s="1"/>
  <c r="D4" i="52"/>
  <c r="B47" i="72" s="1"/>
  <c r="S22" i="31" l="1"/>
  <c r="D6" i="53"/>
  <c r="B22" i="72" s="1"/>
  <c r="B20" i="72"/>
  <c r="C85" i="9"/>
  <c r="C64" i="9"/>
  <c r="C63" i="9" s="1"/>
  <c r="C67" i="9" s="1"/>
  <c r="D52" i="9"/>
  <c r="C72" i="9"/>
  <c r="C78" i="9"/>
  <c r="C73" i="9" s="1"/>
  <c r="C93" i="9"/>
  <c r="C86" i="9" s="1"/>
  <c r="D55" i="9"/>
  <c r="M53" i="9" s="1"/>
  <c r="D53" i="9"/>
  <c r="M49" i="9"/>
  <c r="D122" i="9"/>
  <c r="H108" i="9"/>
  <c r="D13" i="53"/>
  <c r="D14" i="74" l="1"/>
  <c r="R22" i="31"/>
  <c r="B20" i="31"/>
  <c r="B21" i="31" s="1"/>
  <c r="D8" i="52"/>
  <c r="D123" i="9"/>
  <c r="D9" i="52" s="1"/>
  <c r="D59" i="9"/>
  <c r="M55" i="9" s="1"/>
  <c r="C68" i="9"/>
  <c r="D54" i="9" s="1"/>
  <c r="C95" i="9"/>
  <c r="D15" i="53"/>
  <c r="B31" i="72" s="1"/>
  <c r="L64" i="9"/>
  <c r="M64" i="9" s="1"/>
  <c r="L65" i="9"/>
  <c r="M65" i="9" s="1"/>
  <c r="L66" i="9"/>
  <c r="M66" i="9" s="1"/>
  <c r="L68" i="9"/>
  <c r="M68" i="9" s="1"/>
  <c r="L63" i="9"/>
  <c r="M63" i="9" s="1"/>
  <c r="L67" i="9"/>
  <c r="M67" i="9" s="1"/>
  <c r="B30" i="72"/>
  <c r="D14" i="53"/>
  <c r="B32" i="72" s="1"/>
  <c r="C79" i="9"/>
  <c r="G14" i="74" l="1"/>
  <c r="B6" i="74" s="1"/>
  <c r="F14" i="74"/>
  <c r="B5" i="74"/>
  <c r="E14" i="74"/>
  <c r="C80" i="9"/>
  <c r="E80" i="9" s="1"/>
  <c r="E81" i="9" s="1"/>
  <c r="M69" i="9"/>
  <c r="N69" i="9" s="1"/>
  <c r="C96" i="9"/>
  <c r="E96" i="9" s="1"/>
  <c r="E97" i="9" s="1"/>
  <c r="D5" i="74" l="1"/>
  <c r="C5" i="74"/>
  <c r="D6" i="74"/>
  <c r="C6" i="74"/>
  <c r="C81" i="9"/>
  <c r="C97" i="9"/>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6EE12479-1612-454A-8531-7ECA775B12AD}">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8B52B22E-8E10-484D-9F33-52F8BC5E4626}">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253BD457-29C9-4A24-8028-6664CD252398}">
      <text>
        <r>
          <rPr>
            <sz val="11"/>
            <color indexed="81"/>
            <rFont val="宋体"/>
            <family val="3"/>
            <charset val="134"/>
          </rPr>
          <t>需在下方列示计算过程</t>
        </r>
        <r>
          <rPr>
            <sz val="9"/>
            <color indexed="81"/>
            <rFont val="宋体"/>
            <family val="3"/>
            <charset val="134"/>
          </rPr>
          <t xml:space="preserve">
</t>
        </r>
      </text>
    </comment>
    <comment ref="H75" authorId="2" shapeId="0" xr:uid="{1A360D0A-C90B-4129-AA0F-CA65BE7FCCFC}">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F85348AA-7E1C-49C1-B188-9A960F3CF1F4}">
      <text>
        <r>
          <rPr>
            <b/>
            <sz val="9"/>
            <color indexed="81"/>
            <rFont val="宋体"/>
            <family val="3"/>
            <charset val="134"/>
          </rPr>
          <t>权重验证</t>
        </r>
        <r>
          <rPr>
            <sz val="9"/>
            <color indexed="81"/>
            <rFont val="宋体"/>
            <family val="3"/>
            <charset val="134"/>
          </rPr>
          <t xml:space="preserve">
</t>
        </r>
      </text>
    </comment>
    <comment ref="C58" authorId="1" shapeId="0" xr:uid="{7BA9ED2F-EFBF-4E20-B224-36226C89ED07}">
      <text>
        <r>
          <rPr>
            <b/>
            <sz val="12"/>
            <color indexed="81"/>
            <rFont val="宋体"/>
            <family val="3"/>
            <charset val="134"/>
          </rPr>
          <t>价值时点所在月度</t>
        </r>
        <r>
          <rPr>
            <sz val="12"/>
            <color indexed="81"/>
            <rFont val="宋体"/>
            <family val="3"/>
            <charset val="134"/>
          </rPr>
          <t xml:space="preserve">
</t>
        </r>
      </text>
    </comment>
    <comment ref="B102" authorId="1" shapeId="0" xr:uid="{345FB2E8-7DED-43D5-B4A4-63214E7225D8}">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CF9F3987-1A50-4E37-8197-0772BEC03B19}">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96C4E25-E6E6-45A4-8BBA-18BE4E23CFFD}">
      <text>
        <r>
          <rPr>
            <sz val="10"/>
            <color indexed="81"/>
            <rFont val="宋体"/>
            <family val="3"/>
            <charset val="134"/>
          </rPr>
          <t xml:space="preserve">需注意，采用基准地价系数修正法中土地结果计算时，土地报酬率应采用该方法中报酬率（还原率）。
</t>
        </r>
      </text>
    </comment>
    <comment ref="L55" authorId="0" shapeId="0" xr:uid="{F6C1E270-DD53-4A94-A79D-0A771BFB12B9}">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4C237FC0-7BFD-495C-91C0-77129205BCF6}">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79540210-B84C-4341-892F-8AA7E2B068AD}">
      <text>
        <r>
          <rPr>
            <b/>
            <sz val="9"/>
            <color indexed="81"/>
            <rFont val="宋体"/>
            <family val="3"/>
            <charset val="134"/>
          </rPr>
          <t>对应区片地价表</t>
        </r>
        <r>
          <rPr>
            <sz val="9"/>
            <color indexed="81"/>
            <rFont val="宋体"/>
            <family val="3"/>
            <charset val="134"/>
          </rPr>
          <t xml:space="preserve">
</t>
        </r>
      </text>
    </comment>
    <comment ref="Y9" authorId="1" shapeId="0" xr:uid="{FB4F03DF-27B0-416A-A0A3-82677BB80BB8}">
      <text>
        <r>
          <rPr>
            <sz val="11"/>
            <color indexed="81"/>
            <rFont val="宋体"/>
            <family val="3"/>
            <charset val="134"/>
          </rPr>
          <t xml:space="preserve">录入层数，将对应的结果录入至左侧相应层的楼层修正系数单元格中
</t>
        </r>
      </text>
    </comment>
    <comment ref="C16" authorId="1" shapeId="0" xr:uid="{5B7D44FD-B19D-4183-90AA-308DA6DFB97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93476928-FACD-41E4-8FAD-BF9DE683B335}">
      <text>
        <r>
          <rPr>
            <sz val="12"/>
            <color indexed="81"/>
            <rFont val="宋体"/>
            <family val="3"/>
            <charset val="134"/>
          </rPr>
          <t>1.05~1.1</t>
        </r>
        <r>
          <rPr>
            <sz val="9"/>
            <color indexed="81"/>
            <rFont val="宋体"/>
            <family val="3"/>
            <charset val="134"/>
          </rPr>
          <t xml:space="preserve">
</t>
        </r>
      </text>
    </comment>
    <comment ref="E16" authorId="1" shapeId="0" xr:uid="{3BD67BEC-DE52-42FB-ACAE-7FFE9BADC0E5}">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D67BFBB2-E1DC-478D-BF2A-CD14927DB2A6}">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607536C-EF50-483E-AE49-1309C86E53DF}">
      <text>
        <r>
          <rPr>
            <b/>
            <sz val="14"/>
            <color indexed="81"/>
            <rFont val="宋体"/>
            <family val="3"/>
            <charset val="134"/>
          </rPr>
          <t>工业选“中心城区”</t>
        </r>
        <r>
          <rPr>
            <sz val="9"/>
            <color indexed="81"/>
            <rFont val="宋体"/>
            <family val="3"/>
            <charset val="134"/>
          </rPr>
          <t xml:space="preserve">
</t>
        </r>
      </text>
    </comment>
    <comment ref="B35" authorId="4" shapeId="0" xr:uid="{8C43406C-4665-468D-9E14-E00E14AFECEE}">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26BB80DB-2A8C-4917-BE5A-6EFFD1701C01}">
      <text>
        <r>
          <rPr>
            <sz val="9"/>
            <color indexed="81"/>
            <rFont val="宋体"/>
            <family val="3"/>
            <charset val="134"/>
          </rPr>
          <t xml:space="preserve">需在此处填写剩余土地年限
</t>
        </r>
      </text>
    </comment>
    <comment ref="C111" authorId="0" shapeId="0" xr:uid="{36E2172E-1CF6-4B12-9A00-C0DF0E82F4AD}">
      <text>
        <r>
          <rPr>
            <b/>
            <sz val="9"/>
            <color indexed="81"/>
            <rFont val="宋体"/>
            <family val="3"/>
            <charset val="134"/>
          </rPr>
          <t xml:space="preserve">所在楼层
</t>
        </r>
        <r>
          <rPr>
            <sz val="9"/>
            <color indexed="81"/>
            <rFont val="宋体"/>
            <family val="3"/>
            <charset val="134"/>
          </rPr>
          <t xml:space="preserve">
</t>
        </r>
      </text>
    </comment>
    <comment ref="D111" authorId="0" shapeId="0" xr:uid="{8DC2A48D-06BD-4E73-8795-33B45374C4D0}">
      <text>
        <r>
          <rPr>
            <b/>
            <sz val="9"/>
            <color indexed="81"/>
            <rFont val="宋体"/>
            <family val="3"/>
            <charset val="134"/>
          </rPr>
          <t xml:space="preserve">所在楼层
</t>
        </r>
        <r>
          <rPr>
            <sz val="9"/>
            <color indexed="81"/>
            <rFont val="宋体"/>
            <family val="3"/>
            <charset val="134"/>
          </rPr>
          <t xml:space="preserve">
</t>
        </r>
      </text>
    </comment>
    <comment ref="E111" authorId="0" shapeId="0" xr:uid="{5240CE11-CA32-47E0-BCCA-909743CFAD5C}">
      <text>
        <r>
          <rPr>
            <b/>
            <sz val="9"/>
            <color indexed="81"/>
            <rFont val="宋体"/>
            <family val="3"/>
            <charset val="134"/>
          </rPr>
          <t xml:space="preserve">所在楼层
</t>
        </r>
        <r>
          <rPr>
            <sz val="9"/>
            <color indexed="81"/>
            <rFont val="宋体"/>
            <family val="3"/>
            <charset val="134"/>
          </rPr>
          <t xml:space="preserve">
</t>
        </r>
      </text>
    </comment>
    <comment ref="F111" authorId="0" shapeId="0" xr:uid="{A92AE494-30D2-43C9-B49E-854606D76533}">
      <text>
        <r>
          <rPr>
            <b/>
            <sz val="9"/>
            <color indexed="81"/>
            <rFont val="宋体"/>
            <family val="3"/>
            <charset val="134"/>
          </rPr>
          <t xml:space="preserve">所在楼层
</t>
        </r>
        <r>
          <rPr>
            <sz val="9"/>
            <color indexed="81"/>
            <rFont val="宋体"/>
            <family val="3"/>
            <charset val="134"/>
          </rPr>
          <t xml:space="preserve">
</t>
        </r>
      </text>
    </comment>
    <comment ref="G111" authorId="0" shapeId="0" xr:uid="{9B48C510-9993-469E-96DA-3A4DFBC615D7}">
      <text>
        <r>
          <rPr>
            <b/>
            <sz val="9"/>
            <color indexed="81"/>
            <rFont val="宋体"/>
            <family val="3"/>
            <charset val="134"/>
          </rPr>
          <t xml:space="preserve">所在楼层
</t>
        </r>
        <r>
          <rPr>
            <sz val="9"/>
            <color indexed="81"/>
            <rFont val="宋体"/>
            <family val="3"/>
            <charset val="134"/>
          </rPr>
          <t xml:space="preserve">
</t>
        </r>
      </text>
    </comment>
    <comment ref="H111" authorId="0" shapeId="0" xr:uid="{98FBBA7B-7ED5-45BF-8827-260606837DA9}">
      <text>
        <r>
          <rPr>
            <b/>
            <sz val="9"/>
            <color indexed="81"/>
            <rFont val="宋体"/>
            <family val="3"/>
            <charset val="134"/>
          </rPr>
          <t xml:space="preserve">所在楼层
</t>
        </r>
        <r>
          <rPr>
            <sz val="9"/>
            <color indexed="81"/>
            <rFont val="宋体"/>
            <family val="3"/>
            <charset val="134"/>
          </rPr>
          <t xml:space="preserve">
</t>
        </r>
      </text>
    </comment>
    <comment ref="I111" authorId="0" shapeId="0" xr:uid="{4546F5F7-BB90-4F3B-B09C-4243C0CAB743}">
      <text>
        <r>
          <rPr>
            <b/>
            <sz val="9"/>
            <color indexed="81"/>
            <rFont val="宋体"/>
            <family val="3"/>
            <charset val="134"/>
          </rPr>
          <t xml:space="preserve">所在楼层
</t>
        </r>
        <r>
          <rPr>
            <sz val="9"/>
            <color indexed="81"/>
            <rFont val="宋体"/>
            <family val="3"/>
            <charset val="134"/>
          </rPr>
          <t xml:space="preserve">
</t>
        </r>
      </text>
    </comment>
    <comment ref="J111" authorId="0" shapeId="0" xr:uid="{803486EA-4213-474D-9FAB-E0248BABDD66}">
      <text>
        <r>
          <rPr>
            <b/>
            <sz val="9"/>
            <color indexed="81"/>
            <rFont val="宋体"/>
            <family val="3"/>
            <charset val="134"/>
          </rPr>
          <t xml:space="preserve">所在楼层
</t>
        </r>
        <r>
          <rPr>
            <sz val="9"/>
            <color indexed="81"/>
            <rFont val="宋体"/>
            <family val="3"/>
            <charset val="134"/>
          </rPr>
          <t xml:space="preserve">
</t>
        </r>
      </text>
    </comment>
    <comment ref="K111" authorId="0" shapeId="0" xr:uid="{C1D1CAF7-DA72-4BF5-9F7E-90FF430B6307}">
      <text>
        <r>
          <rPr>
            <b/>
            <sz val="9"/>
            <color indexed="81"/>
            <rFont val="宋体"/>
            <family val="3"/>
            <charset val="134"/>
          </rPr>
          <t xml:space="preserve">所在楼层
</t>
        </r>
        <r>
          <rPr>
            <sz val="9"/>
            <color indexed="81"/>
            <rFont val="宋体"/>
            <family val="3"/>
            <charset val="134"/>
          </rPr>
          <t xml:space="preserve">
</t>
        </r>
      </text>
    </comment>
    <comment ref="L111" authorId="0" shapeId="0" xr:uid="{C975860A-9413-4C28-B698-589401A9B471}">
      <text>
        <r>
          <rPr>
            <b/>
            <sz val="9"/>
            <color indexed="81"/>
            <rFont val="宋体"/>
            <family val="3"/>
            <charset val="134"/>
          </rPr>
          <t xml:space="preserve">所在楼层
</t>
        </r>
        <r>
          <rPr>
            <sz val="9"/>
            <color indexed="81"/>
            <rFont val="宋体"/>
            <family val="3"/>
            <charset val="134"/>
          </rPr>
          <t xml:space="preserve">
</t>
        </r>
      </text>
    </comment>
    <comment ref="M111" authorId="0" shapeId="0" xr:uid="{64AF2CF9-FF9C-4B88-820C-703586AB2EC5}">
      <text>
        <r>
          <rPr>
            <b/>
            <sz val="9"/>
            <color indexed="81"/>
            <rFont val="宋体"/>
            <family val="3"/>
            <charset val="134"/>
          </rPr>
          <t xml:space="preserve">所在楼层
</t>
        </r>
        <r>
          <rPr>
            <sz val="9"/>
            <color indexed="81"/>
            <rFont val="宋体"/>
            <family val="3"/>
            <charset val="134"/>
          </rPr>
          <t xml:space="preserve">
</t>
        </r>
      </text>
    </comment>
    <comment ref="N111" authorId="0" shapeId="0" xr:uid="{017452FF-9509-4F61-99CD-FB42FF3D08B8}">
      <text>
        <r>
          <rPr>
            <b/>
            <sz val="9"/>
            <color indexed="81"/>
            <rFont val="宋体"/>
            <family val="3"/>
            <charset val="134"/>
          </rPr>
          <t xml:space="preserve">所在楼层
</t>
        </r>
        <r>
          <rPr>
            <sz val="9"/>
            <color indexed="81"/>
            <rFont val="宋体"/>
            <family val="3"/>
            <charset val="134"/>
          </rPr>
          <t xml:space="preserve">
</t>
        </r>
      </text>
    </comment>
    <comment ref="D116" authorId="0" shapeId="0" xr:uid="{DEDBE8FB-A57E-42E0-B8AF-C184ACC209AF}">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<sst xmlns="http://schemas.openxmlformats.org/spreadsheetml/2006/main" count="9438" uniqueCount="3524">
  <si>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</si>
  <si>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</si>
  <si>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</si>
  <si>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</si>
  <si>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</si>
  <si>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</si>
  <si>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</si>
  <si>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</si>
  <si>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</si>
  <si>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</si>
  <si>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</si>
  <si>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</si>
  <si>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</si>
  <si>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</si>
  <si>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</si>
  <si>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</si>
  <si>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</si>
  <si>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</si>
  <si>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</si>
  <si>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</si>
  <si>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</si>
  <si>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</si>
  <si>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</si>
  <si>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</si>
  <si>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</si>
  <si>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</si>
  <si>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</si>
  <si>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</si>
  <si>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</si>
  <si>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</si>
  <si>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</si>
  <si>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</si>
  <si>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</si>
  <si>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</si>
  <si>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</si>
  <si>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</si>
  <si>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</si>
  <si>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</si>
  <si>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</si>
  <si>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</si>
  <si>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</si>
  <si>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</si>
  <si>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</si>
  <si>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</si>
  <si>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</si>
  <si>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</si>
  <si>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</si>
  <si>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</si>
  <si>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</si>
  <si>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</si>
  <si>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</si>
  <si>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</si>
  <si>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</si>
  <si>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</si>
  <si>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</si>
  <si>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</si>
  <si>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</si>
  <si>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</si>
  <si>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</si>
  <si>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</si>
  <si>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</si>
  <si>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</si>
  <si>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</si>
  <si>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</si>
  <si>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</si>
  <si>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</si>
  <si>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</si>
  <si>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</si>
  <si>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</si>
  <si>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</si>
  <si>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</si>
  <si>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</si>
  <si>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</si>
  <si>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</si>
  <si>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</si>
  <si>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</si>
  <si>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</si>
  <si>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</si>
  <si>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</si>
  <si>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</si>
  <si>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</si>
  <si>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</si>
  <si>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</si>
  <si>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</si>
  <si>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</si>
  <si>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</si>
  <si>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</si>
  <si>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</si>
  <si>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</si>
  <si>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</si>
  <si>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</si>
  <si>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</si>
  <si>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</si>
  <si>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</si>
  <si>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</si>
  <si>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</si>
  <si>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</si>
  <si>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</si>
  <si>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</si>
  <si>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</si>
  <si>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</si>
  <si>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</si>
  <si>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</si>
  <si>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</si>
  <si>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</si>
  <si>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</si>
  <si>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</si>
  <si>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</si>
  <si>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</si>
  <si>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</si>
  <si>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</si>
  <si>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</si>
  <si>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</si>
  <si>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</si>
  <si>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</si>
  <si>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</si>
  <si>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</si>
  <si>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</si>
  <si>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</si>
  <si>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</si>
  <si>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</si>
  <si>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</si>
  <si>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</si>
  <si>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</si>
  <si>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</si>
  <si>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</si>
  <si>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</si>
  <si>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</si>
  <si>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</si>
  <si>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</si>
  <si>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</si>
  <si>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</si>
  <si>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</si>
  <si>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</si>
  <si>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</si>
  <si>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</si>
  <si>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</si>
  <si>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</si>
  <si>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</si>
  <si>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</si>
  <si>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</si>
  <si>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</si>
  <si>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</si>
  <si>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</si>
  <si>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</si>
  <si>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</si>
  <si>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</si>
  <si>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</si>
  <si>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</si>
  <si>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</si>
  <si>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</si>
  <si>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</si>
  <si>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</si>
  <si>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</si>
  <si>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</si>
  <si>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</si>
  <si>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</si>
  <si>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</si>
  <si>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</si>
  <si>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</si>
  <si>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</si>
  <si>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</si>
  <si>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</si>
  <si>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</si>
  <si>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</si>
  <si>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</si>
  <si>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</si>
  <si>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</si>
  <si>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</si>
  <si>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</si>
  <si>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</si>
  <si>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</si>
  <si>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</si>
  <si>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</si>
  <si>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</si>
  <si>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</si>
  <si>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</si>
  <si>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</si>
  <si>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</si>
  <si>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</si>
  <si>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</si>
  <si>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</si>
  <si>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</si>
  <si>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</si>
  <si>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</si>
  <si>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</si>
  <si>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</si>
  <si>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</si>
  <si>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</si>
  <si>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</si>
  <si>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</si>
  <si>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</si>
  <si>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</si>
  <si>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</si>
  <si>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</si>
  <si>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</si>
  <si>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</si>
  <si>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</si>
  <si>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</si>
  <si>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</si>
  <si>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</si>
  <si>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</si>
  <si>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</si>
  <si>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</si>
  <si>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</si>
  <si>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</si>
  <si>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</si>
  <si>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</si>
  <si>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</si>
  <si>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</si>
  <si>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</si>
  <si>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</si>
  <si>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</si>
  <si>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</si>
  <si>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</si>
  <si>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</si>
  <si>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</si>
  <si>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</si>
  <si>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</si>
  <si>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</si>
  <si>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</si>
  <si>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</si>
  <si>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</si>
  <si>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</si>
  <si>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</si>
  <si>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</si>
  <si>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</si>
  <si>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</si>
  <si>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</si>
  <si>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</si>
  <si>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</si>
  <si>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</si>
  <si>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</si>
  <si>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</si>
  <si>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</si>
  <si>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</si>
  <si>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</si>
  <si>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</si>
  <si>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</si>
  <si>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</si>
  <si>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</si>
  <si>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</si>
  <si>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</si>
  <si>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</si>
  <si>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</si>
  <si>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</si>
  <si>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</si>
  <si>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</si>
  <si>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</si>
  <si>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</si>
  <si>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</si>
  <si>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</si>
  <si>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</si>
  <si>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</si>
  <si>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</si>
  <si>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</si>
  <si>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</si>
  <si>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</si>
  <si>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</si>
  <si>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</si>
  <si>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</si>
  <si>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</si>
  <si>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</si>
  <si>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</si>
  <si>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</si>
  <si>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</si>
  <si>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</si>
  <si>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</si>
  <si>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</si>
  <si>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</si>
  <si>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</si>
  <si>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</si>
  <si>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</si>
  <si>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</si>
  <si>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</si>
  <si>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</si>
  <si>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</si>
  <si>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</si>
  <si>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</si>
  <si>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</si>
  <si>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</si>
  <si>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</si>
  <si>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</si>
  <si>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</si>
  <si>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</si>
  <si>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</si>
  <si>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</si>
  <si>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</si>
  <si>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</si>
  <si>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</si>
  <si>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</si>
  <si>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</si>
  <si>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</si>
  <si>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</si>
  <si>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</si>
  <si>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</si>
  <si>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</si>
  <si>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</si>
  <si>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</si>
  <si>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</si>
  <si>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</si>
  <si>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</si>
  <si>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</si>
  <si>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</si>
  <si>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</si>
  <si>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</si>
  <si>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</si>
  <si>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</si>
  <si>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</si>
  <si>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</si>
  <si>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</si>
  <si>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</si>
  <si>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</si>
  <si>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</si>
  <si>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</si>
  <si>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</si>
  <si>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</si>
  <si>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</si>
  <si>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</si>
  <si>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</si>
  <si>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</si>
  <si>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</si>
  <si>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</si>
  <si>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</si>
  <si>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</si>
  <si>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</si>
  <si>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</si>
  <si>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</si>
  <si>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</si>
  <si>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</si>
  <si>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</si>
  <si>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</si>
  <si>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</si>
  <si>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</si>
  <si>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</si>
  <si>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</si>
  <si>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</si>
  <si>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</si>
  <si>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</si>
  <si>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</si>
  <si>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</si>
  <si>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</si>
  <si>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</si>
  <si>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</si>
  <si>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</si>
  <si>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</si>
  <si>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</si>
  <si>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</si>
  <si>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</si>
  <si>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</si>
  <si>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</si>
  <si>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</si>
  <si>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</si>
  <si>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</si>
  <si>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</si>
  <si>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</si>
  <si>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</si>
  <si>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</si>
  <si>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</si>
  <si>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</si>
  <si>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</si>
  <si>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</si>
  <si>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</si>
  <si>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</si>
  <si>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</si>
  <si>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</si>
  <si>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</si>
  <si>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</si>
  <si>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</si>
  <si>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</si>
  <si>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</si>
  <si>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</si>
  <si>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</si>
  <si>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</si>
  <si>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</si>
  <si>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</si>
  <si>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</si>
  <si>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</si>
  <si>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</si>
  <si>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</si>
  <si>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</si>
  <si>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</si>
  <si>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</si>
  <si>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</si>
  <si>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</si>
  <si>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</si>
  <si>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</si>
  <si>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</si>
  <si>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</si>
  <si>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</si>
  <si>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</si>
  <si>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</si>
  <si>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</si>
  <si>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</si>
  <si>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</si>
  <si>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</si>
  <si>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</si>
  <si>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</si>
  <si>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</si>
  <si>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</si>
  <si>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</si>
  <si>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</si>
  <si>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</si>
  <si>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</si>
  <si>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</si>
  <si>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</si>
  <si>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</si>
  <si>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</si>
  <si>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</si>
  <si>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</si>
  <si>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</si>
  <si>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</si>
  <si>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</si>
  <si>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</si>
  <si>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</si>
  <si>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</si>
  <si>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</si>
  <si>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</si>
  <si>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</si>
  <si>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</si>
  <si>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</si>
  <si>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</si>
  <si>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</si>
  <si>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</si>
  <si>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</si>
  <si>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</si>
  <si>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</si>
  <si>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</si>
  <si>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</si>
  <si>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</si>
  <si>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</si>
  <si>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</si>
  <si>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</si>
  <si>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</si>
  <si>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</si>
  <si>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</si>
  <si>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</si>
  <si>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</si>
  <si>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</si>
  <si>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</si>
  <si>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</si>
  <si>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</si>
  <si>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</si>
  <si>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</si>
  <si>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</si>
  <si>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</si>
  <si>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</si>
  <si>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</si>
  <si>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</si>
  <si>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</si>
  <si>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</si>
  <si>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</si>
  <si>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</si>
  <si>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</si>
  <si>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</si>
  <si>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</si>
  <si>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</si>
  <si>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</si>
  <si>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</si>
  <si>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</si>
  <si>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</si>
  <si>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</si>
  <si>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</si>
  <si>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</si>
  <si>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</si>
  <si>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</si>
  <si>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</si>
  <si>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</si>
  <si>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</si>
  <si>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</si>
  <si>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</si>
  <si>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</si>
  <si>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</si>
  <si>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</si>
  <si>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</si>
  <si>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</si>
  <si>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</si>
  <si>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</si>
  <si>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</si>
  <si>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</si>
  <si>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</si>
  <si>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</si>
  <si>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</si>
  <si>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</si>
  <si>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</si>
  <si>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</si>
  <si>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</si>
  <si>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</si>
  <si>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</si>
  <si>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</si>
  <si>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</si>
  <si>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</si>
  <si>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</si>
  <si>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</si>
  <si>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</si>
  <si>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</si>
  <si>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</si>
  <si>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</si>
  <si>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</si>
  <si>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</si>
  <si>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</si>
  <si>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</si>
  <si>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</si>
  <si>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</si>
  <si>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</si>
  <si>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</si>
  <si>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</si>
  <si>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</si>
  <si>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</si>
  <si>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</si>
  <si>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</si>
  <si>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</si>
  <si>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</si>
  <si>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</si>
  <si>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</si>
  <si>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</si>
  <si>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</si>
  <si>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</si>
  <si>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</si>
  <si>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</si>
  <si>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</si>
  <si>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</si>
  <si>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</si>
  <si>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</si>
  <si>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</si>
  <si>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</si>
  <si>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</si>
  <si>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</si>
  <si>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</si>
  <si>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</si>
  <si>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</si>
  <si>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</si>
  <si>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</si>
  <si>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</si>
  <si>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</si>
  <si>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</si>
  <si>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</si>
  <si>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</si>
  <si>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</si>
  <si>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</si>
  <si>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</si>
  <si>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</si>
  <si>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</si>
  <si>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</si>
  <si>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</si>
  <si>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</si>
  <si>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</si>
  <si>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</si>
  <si>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</si>
  <si>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</si>
  <si>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</si>
  <si>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</si>
  <si>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</si>
  <si>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</si>
  <si>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</si>
  <si>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</si>
  <si>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</si>
  <si>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</si>
  <si>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</si>
  <si>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</si>
  <si>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</si>
  <si>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</si>
  <si>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</si>
  <si>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</si>
  <si>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</si>
  <si>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</si>
  <si>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</si>
  <si>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</si>
  <si>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</si>
  <si>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</si>
  <si>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</si>
  <si>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</si>
  <si>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</si>
  <si>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</si>
  <si>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</si>
  <si>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</si>
  <si>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</si>
  <si>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</si>
  <si>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</si>
  <si>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</si>
  <si>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</si>
  <si>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</si>
  <si>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</si>
  <si>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</si>
  <si>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</si>
  <si>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</si>
  <si>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</si>
  <si>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</si>
  <si>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</si>
  <si>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</si>
  <si>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</si>
  <si>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</si>
  <si>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</si>
  <si>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</si>
  <si>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</si>
  <si>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</si>
  <si>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</si>
  <si>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</si>
  <si>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</si>
  <si>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</si>
  <si>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</si>
  <si>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</si>
  <si>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</si>
  <si>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</si>
  <si>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</si>
  <si>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</si>
  <si>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</si>
  <si>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</si>
  <si>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</si>
  <si>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</si>
  <si>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</si>
  <si>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</si>
  <si>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</si>
  <si>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</si>
  <si>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</si>
  <si>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</si>
  <si>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</si>
  <si>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</si>
  <si>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</si>
  <si>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</si>
  <si>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</si>
  <si>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</si>
  <si>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</si>
  <si>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</si>
  <si>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</si>
  <si>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</si>
  <si>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</si>
  <si>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</si>
  <si>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</si>
  <si>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</si>
  <si>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</si>
  <si>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</si>
  <si>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</si>
  <si>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</si>
  <si>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</si>
  <si>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</si>
  <si>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</si>
  <si>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</si>
  <si>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</si>
  <si>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</si>
  <si>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</si>
  <si>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</si>
  <si>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</si>
  <si>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</si>
  <si>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</si>
  <si>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</si>
  <si>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</si>
  <si>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</si>
  <si>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</si>
  <si>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</si>
  <si>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</si>
  <si>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</si>
  <si>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</si>
  <si>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</si>
  <si>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</si>
  <si>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</si>
  <si>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</si>
  <si>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</si>
  <si>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</si>
  <si>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</si>
  <si>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</si>
  <si>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</si>
  <si>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</si>
  <si>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</si>
  <si>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</si>
  <si>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</si>
  <si>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</si>
  <si>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</si>
  <si>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</si>
  <si>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</si>
  <si>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</si>
  <si>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</si>
  <si>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</si>
  <si>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</si>
  <si>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</si>
  <si>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</si>
  <si>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</si>
  <si>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</si>
  <si>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</si>
  <si>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</si>
  <si>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</si>
  <si>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</si>
  <si>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</si>
  <si>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</si>
  <si>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</si>
  <si>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</si>
  <si>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</si>
  <si>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</si>
  <si>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</si>
  <si>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</si>
  <si>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</si>
  <si>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</si>
  <si>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</si>
  <si>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</si>
  <si>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</si>
  <si>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</si>
  <si>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</si>
  <si>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</si>
  <si>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</si>
  <si>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</si>
  <si>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</si>
  <si>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</si>
  <si>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</si>
  <si>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</si>
  <si>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</si>
  <si>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</si>
  <si>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</si>
  <si>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</si>
  <si>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</si>
  <si>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</si>
  <si>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</si>
  <si>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</si>
  <si>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</si>
  <si>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</si>
  <si>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</si>
  <si>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</si>
  <si>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</si>
  <si>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</si>
  <si>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</si>
  <si>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</si>
  <si>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</si>
  <si>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</si>
  <si>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</si>
  <si>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</si>
  <si>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</si>
  <si>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</si>
  <si>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</si>
  <si>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</si>
  <si>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</si>
  <si>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</si>
  <si>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</si>
  <si>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</si>
  <si>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</si>
  <si>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</si>
  <si>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</si>
  <si>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</si>
  <si>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</si>
  <si>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</si>
  <si>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</si>
  <si>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</si>
  <si>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</si>
  <si>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</si>
  <si>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</si>
  <si>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</si>
  <si>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</si>
  <si>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</si>
  <si>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</si>
  <si>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</si>
  <si>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</si>
  <si>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</si>
  <si>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</si>
  <si>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</si>
  <si>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</si>
  <si>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</si>
  <si>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</si>
  <si>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</si>
  <si>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</si>
  <si>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</si>
  <si>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</si>
  <si>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</si>
  <si>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</si>
  <si>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</si>
  <si>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</si>
  <si>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</si>
  <si>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</si>
  <si>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</si>
  <si>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</si>
  <si>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</si>
  <si>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</si>
  <si>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</si>
  <si>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</si>
  <si>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</si>
  <si>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</si>
  <si>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</si>
  <si>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</si>
  <si>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</si>
  <si>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</si>
  <si>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</si>
  <si>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</si>
  <si>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</si>
  <si>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</si>
  <si>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</si>
  <si>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</si>
  <si>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</si>
  <si>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</si>
  <si>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</si>
  <si>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</si>
  <si>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</si>
  <si>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</si>
  <si>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</si>
  <si>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</si>
  <si>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</si>
  <si>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</si>
  <si>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</si>
  <si>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</si>
  <si>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</si>
  <si>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</si>
  <si>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</si>
  <si>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</si>
  <si>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</si>
  <si>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</si>
  <si>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</si>
  <si>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</si>
  <si>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</si>
  <si>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</si>
  <si>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</si>
  <si>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</si>
  <si>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</si>
  <si>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</si>
  <si>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</si>
  <si>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</si>
  <si>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</si>
  <si>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</si>
  <si>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</si>
  <si>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</si>
  <si>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</si>
  <si>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</si>
  <si>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</si>
  <si>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</si>
  <si>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</si>
  <si>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</si>
  <si>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</si>
  <si>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</si>
  <si>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</si>
  <si>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</si>
  <si>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</si>
  <si>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</si>
  <si>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</si>
  <si>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</si>
  <si>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</si>
  <si>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</si>
  <si>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</si>
  <si>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</si>
  <si>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</si>
  <si>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</si>
  <si>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</si>
  <si>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</si>
  <si>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</si>
  <si>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</si>
  <si>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</si>
  <si>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</si>
  <si>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</si>
  <si>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</si>
  <si>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</si>
  <si>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</si>
  <si>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</si>
  <si>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</si>
  <si>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</si>
  <si>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</si>
  <si>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</si>
  <si>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</si>
  <si>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</si>
  <si>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</si>
  <si>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</si>
  <si>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</si>
  <si>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</si>
  <si>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</si>
  <si>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</si>
  <si>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</si>
  <si>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</si>
  <si>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</si>
  <si>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</si>
  <si>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</si>
  <si>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</si>
  <si>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</si>
  <si>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</si>
  <si>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</si>
  <si>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</si>
  <si>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</si>
  <si>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</si>
  <si>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</si>
  <si>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</si>
  <si>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</si>
  <si>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</si>
  <si>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</si>
  <si>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</si>
  <si>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</si>
  <si>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</si>
  <si>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</si>
  <si>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</si>
  <si>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</si>
  <si>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</si>
  <si>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</si>
  <si>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</si>
  <si>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</si>
  <si>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</si>
  <si>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</si>
  <si>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</si>
  <si>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</si>
  <si>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</si>
  <si>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</si>
  <si>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</si>
  <si>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</si>
  <si>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</si>
  <si>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</si>
  <si>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</si>
  <si>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</si>
  <si>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</si>
  <si>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</si>
  <si>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</si>
  <si>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</si>
  <si>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</si>
  <si>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</si>
  <si>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</si>
  <si>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</si>
  <si>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</si>
  <si>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</si>
  <si>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</si>
  <si>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</si>
  <si>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</si>
  <si>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</si>
  <si>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</si>
  <si>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</si>
  <si>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</si>
  <si>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</si>
  <si>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</si>
  <si>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</si>
  <si>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</si>
  <si>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</si>
  <si>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</si>
  <si>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</si>
  <si>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</si>
  <si>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</si>
  <si>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</si>
  <si>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</si>
  <si>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</si>
  <si>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</si>
  <si>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</si>
  <si>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</si>
  <si>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</si>
  <si>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</si>
  <si>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</si>
  <si>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</si>
  <si>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</si>
  <si>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</si>
  <si>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</si>
  <si>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</si>
  <si>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</si>
  <si>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</si>
  <si>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</si>
  <si>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</si>
  <si>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</si>
  <si>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</si>
  <si>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</si>
  <si>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</si>
  <si>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</si>
  <si>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</si>
  <si>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</si>
  <si>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</si>
  <si>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</si>
  <si>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</si>
  <si>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</si>
  <si>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</si>
  <si>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</si>
  <si>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</si>
  <si>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</si>
  <si>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</si>
  <si>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</si>
  <si>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</si>
  <si>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</si>
  <si>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</si>
  <si>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</si>
  <si>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</si>
  <si>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</si>
  <si>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</si>
  <si>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</si>
  <si>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</si>
  <si>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</si>
  <si>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</si>
  <si>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</si>
  <si>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</si>
  <si>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</si>
  <si>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</si>
  <si>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</si>
  <si>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</si>
  <si>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</si>
  <si>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</si>
  <si>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</si>
  <si>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</si>
  <si>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</si>
  <si>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</si>
  <si>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</si>
  <si>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</si>
  <si>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</si>
  <si>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</si>
  <si>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</si>
  <si>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</si>
  <si>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</si>
  <si>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</si>
  <si>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</si>
  <si>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</si>
  <si>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</si>
  <si>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</si>
  <si>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</si>
  <si>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</si>
  <si>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</si>
  <si>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</si>
  <si>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</si>
  <si>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</si>
  <si>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</si>
  <si>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</si>
  <si>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</si>
  <si>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</si>
  <si>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</si>
  <si>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</si>
  <si>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</si>
  <si>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</si>
  <si>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</si>
  <si>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</si>
  <si>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</si>
  <si>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</si>
  <si>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</si>
  <si>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</si>
  <si>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</si>
  <si>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</si>
  <si>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</si>
  <si>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</si>
  <si>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</si>
  <si>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</si>
  <si>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</si>
  <si>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</si>
  <si>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</si>
  <si>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</si>
  <si>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</si>
  <si>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</si>
  <si>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</si>
  <si>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</si>
  <si>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</si>
  <si>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</si>
  <si>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</si>
  <si>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</si>
  <si>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</si>
  <si>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</si>
  <si>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</si>
  <si>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</si>
  <si>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</si>
  <si>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</si>
  <si>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</si>
  <si>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</si>
  <si>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</si>
  <si>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</si>
  <si>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</si>
  <si>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</si>
  <si>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</si>
  <si>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</si>
  <si>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</si>
  <si>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</si>
  <si>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</si>
  <si>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</si>
  <si>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</si>
  <si>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</si>
  <si>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</si>
  <si>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</si>
  <si>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</si>
  <si>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</si>
  <si>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</si>
  <si>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</si>
  <si>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</si>
  <si>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</si>
  <si>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</si>
  <si>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</si>
  <si>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</si>
  <si>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</si>
  <si>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</si>
  <si>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</si>
  <si>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</si>
  <si>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</si>
  <si>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</si>
  <si>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</si>
  <si>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</si>
  <si>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</si>
  <si>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</si>
  <si>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</si>
  <si>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</si>
  <si>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</si>
  <si>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</si>
  <si>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</si>
  <si>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</si>
  <si>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</si>
  <si>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</si>
  <si>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</si>
  <si>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</si>
  <si>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</si>
  <si>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</si>
  <si>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</si>
  <si>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</si>
  <si>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</si>
  <si>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</si>
  <si>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</si>
  <si>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</si>
  <si>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</si>
  <si>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</si>
  <si>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</si>
  <si>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</si>
  <si>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</si>
  <si>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</si>
  <si>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</si>
  <si>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</si>
  <si>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</si>
  <si>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</si>
  <si>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</si>
  <si>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</si>
  <si>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</si>
  <si>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</si>
  <si>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</si>
  <si>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</si>
  <si>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</si>
  <si>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</si>
  <si>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</si>
  <si>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</si>
  <si>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</si>
  <si>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</si>
  <si>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</si>
  <si>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</si>
  <si>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</si>
  <si>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</si>
  <si>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</si>
  <si>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</si>
  <si>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</si>
  <si>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</si>
  <si>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</si>
  <si>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</si>
  <si>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</si>
  <si>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</si>
  <si>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</si>
  <si>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</si>
  <si>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</si>
  <si>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</si>
  <si>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</si>
  <si>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</si>
  <si>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</si>
  <si>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</si>
  <si>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</si>
  <si>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</si>
  <si>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</si>
  <si>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</si>
  <si>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</si>
  <si>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</si>
  <si>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</si>
  <si>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</si>
  <si>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</si>
  <si>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</si>
  <si>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</si>
  <si>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</si>
  <si>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</si>
  <si>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</si>
  <si>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</si>
  <si>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</si>
  <si>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</si>
  <si>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</si>
  <si>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</si>
  <si>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</si>
  <si>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</si>
  <si>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</si>
  <si>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</si>
  <si>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</si>
  <si>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</si>
  <si>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</si>
  <si>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</si>
  <si>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</si>
  <si>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</si>
  <si>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</si>
  <si>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</si>
  <si>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</si>
  <si>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</si>
  <si>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</si>
  <si>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</si>
  <si>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</si>
  <si>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</si>
  <si>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</si>
  <si>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</si>
  <si>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</si>
  <si>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</si>
  <si>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</si>
  <si>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</si>
  <si>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</si>
  <si>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</si>
  <si>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</si>
  <si>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</si>
  <si>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</si>
  <si>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</si>
  <si>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</si>
  <si>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</si>
  <si>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</si>
  <si>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</si>
  <si>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</si>
  <si>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</si>
  <si>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</si>
  <si>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</si>
  <si>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</si>
  <si>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</si>
  <si>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</si>
  <si>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</si>
  <si>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</si>
  <si>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</si>
  <si>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</si>
  <si>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</si>
  <si>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</si>
  <si>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</si>
  <si>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</si>
  <si>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</si>
  <si>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</si>
  <si>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</si>
  <si>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</si>
  <si>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</si>
  <si>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</si>
  <si>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</si>
  <si>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</si>
  <si>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</si>
  <si>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</si>
  <si>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</si>
  <si>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</si>
  <si>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</si>
  <si>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</si>
  <si>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</si>
  <si>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</si>
  <si>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</si>
  <si>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</si>
  <si>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</si>
  <si>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</si>
  <si>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</si>
  <si>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</si>
  <si>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</si>
  <si>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</si>
  <si>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</si>
  <si>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</si>
  <si>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</si>
  <si>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</si>
  <si>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</si>
  <si>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</si>
  <si>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</si>
  <si>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</si>
  <si>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</si>
  <si>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</si>
  <si>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</si>
  <si>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</si>
  <si>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</si>
  <si>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</si>
  <si>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</si>
  <si>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</si>
  <si>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</si>
  <si>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</si>
  <si>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</si>
  <si>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</si>
  <si>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</si>
  <si>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</si>
  <si>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</si>
  <si>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</si>
  <si>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</si>
  <si>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</si>
  <si>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</si>
  <si>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</si>
  <si>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</si>
  <si>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</si>
  <si>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</si>
  <si>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</si>
  <si>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</si>
  <si>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</si>
  <si>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</si>
  <si>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</si>
  <si>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</si>
  <si>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</si>
  <si>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</si>
  <si>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</si>
  <si>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</si>
  <si>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</si>
  <si>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</si>
  <si>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</si>
  <si>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</si>
  <si>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</si>
  <si>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</si>
  <si>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</si>
  <si>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</si>
  <si>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</si>
  <si>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</si>
  <si>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</si>
  <si>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</si>
  <si>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</si>
  <si>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</si>
  <si>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</si>
  <si>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</si>
  <si>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</si>
  <si>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</si>
  <si>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</si>
  <si>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</si>
  <si>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</si>
  <si>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</si>
  <si>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</si>
  <si>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</si>
  <si>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</si>
  <si>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</si>
  <si>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</si>
  <si>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</si>
  <si>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</si>
  <si>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</si>
  <si>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</si>
  <si>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</si>
  <si>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</si>
  <si>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</si>
  <si>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</si>
  <si>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</si>
  <si>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</si>
  <si>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</si>
  <si>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</si>
  <si>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</si>
  <si>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</si>
  <si>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</si>
  <si>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</si>
  <si>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</si>
  <si>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</si>
  <si>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</si>
  <si>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</si>
  <si>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</si>
  <si>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</si>
  <si>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</si>
  <si>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</si>
  <si>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</si>
  <si>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</si>
  <si>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</si>
  <si>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</si>
  <si>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</si>
  <si>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</si>
  <si>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</si>
  <si>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</si>
  <si>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</si>
  <si>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</si>
  <si>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</si>
  <si>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</si>
  <si>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</si>
  <si>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</si>
  <si>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</si>
  <si>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</si>
  <si>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</si>
  <si>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</si>
  <si>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</si>
  <si>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</si>
  <si>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</si>
  <si>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</si>
  <si>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</si>
  <si>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</si>
  <si>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</si>
  <si>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</si>
  <si>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</si>
  <si>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</si>
  <si>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</si>
  <si>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</si>
  <si>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</si>
  <si>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</si>
  <si>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</si>
  <si>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</si>
  <si>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</si>
  <si>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</si>
  <si>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</si>
  <si>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</si>
  <si>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</si>
  <si>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</si>
  <si>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</si>
  <si>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</si>
  <si>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</si>
  <si>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</si>
  <si>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</si>
  <si>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</si>
  <si>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</si>
  <si>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</si>
  <si>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</si>
  <si>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</si>
  <si>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</si>
  <si>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</si>
  <si>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</si>
  <si>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</si>
  <si>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</si>
  <si>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</si>
  <si>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</si>
  <si>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</si>
  <si>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</si>
  <si>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</si>
  <si>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</si>
  <si>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</si>
  <si>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</si>
  <si>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</si>
  <si>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</si>
  <si>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</si>
  <si>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</si>
  <si>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</si>
  <si>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</si>
  <si>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</si>
  <si>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</si>
  <si>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</si>
  <si>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</si>
  <si>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</si>
  <si>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</si>
  <si>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</si>
  <si>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</si>
  <si>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</si>
  <si>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</si>
  <si>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</si>
  <si>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</si>
  <si>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</si>
  <si>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</si>
  <si>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</si>
  <si>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</si>
  <si>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</si>
  <si>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</si>
  <si>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</si>
  <si>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</si>
  <si>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</si>
  <si>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</si>
  <si>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</si>
  <si>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</si>
  <si>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</si>
  <si>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</si>
  <si>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</si>
  <si>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</si>
  <si>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</si>
  <si>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</si>
  <si>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</si>
  <si>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</si>
  <si>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</si>
  <si>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</si>
  <si>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</si>
  <si>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</si>
  <si>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</si>
  <si>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</si>
  <si>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</si>
  <si>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</si>
  <si>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</si>
  <si>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</si>
  <si>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</si>
  <si>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</si>
  <si>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</si>
  <si>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</si>
  <si>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</si>
  <si>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</si>
  <si>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</si>
  <si>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</si>
  <si>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</si>
  <si>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</si>
  <si>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</si>
  <si>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</si>
  <si>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</si>
  <si>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</si>
  <si>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</si>
  <si>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</si>
  <si>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</si>
  <si>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</si>
  <si>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</si>
  <si>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</si>
  <si>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</si>
  <si>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</si>
  <si>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</si>
  <si>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</si>
  <si>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</si>
  <si>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</si>
  <si>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</si>
  <si>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</si>
  <si>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</si>
  <si>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</si>
  <si>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</si>
  <si>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</si>
  <si>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</si>
  <si>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</si>
  <si>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</si>
  <si>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</si>
  <si>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</si>
  <si>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</si>
  <si>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</si>
  <si>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</si>
  <si>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</si>
  <si>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</si>
  <si>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</si>
  <si>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</si>
  <si>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</si>
  <si>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</si>
  <si>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</si>
  <si>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</si>
  <si>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</si>
  <si>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</si>
  <si>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</si>
  <si>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</si>
  <si>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</si>
  <si>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</si>
  <si>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</si>
  <si>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</si>
  <si>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</si>
  <si>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</si>
  <si>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</si>
  <si>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</si>
  <si>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</si>
  <si>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</si>
  <si>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</si>
  <si>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</si>
  <si>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</si>
  <si>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</si>
  <si>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</si>
  <si>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</si>
  <si>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</si>
  <si>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</si>
  <si>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</si>
  <si>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</si>
  <si>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</si>
  <si>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</si>
  <si>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</si>
  <si>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</si>
  <si>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</si>
  <si>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</si>
  <si>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</si>
  <si>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</si>
  <si>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</si>
  <si>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</si>
  <si>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</si>
  <si>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</si>
  <si>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</si>
  <si>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</si>
  <si>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</si>
  <si>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</si>
  <si>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</si>
  <si>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</si>
  <si>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</si>
  <si>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</si>
  <si>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</si>
  <si>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</si>
  <si>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</si>
  <si>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</si>
  <si>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</si>
  <si>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</si>
  <si>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</si>
  <si>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</si>
  <si>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</si>
  <si>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</si>
  <si>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</si>
  <si>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</si>
  <si>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</si>
  <si>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</si>
  <si>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</si>
  <si>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</si>
  <si>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</si>
  <si>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</si>
  <si>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</si>
  <si>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</si>
  <si>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</si>
  <si>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</si>
  <si>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</si>
  <si>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</si>
  <si>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</si>
  <si>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</si>
  <si>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</si>
  <si>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</si>
  <si>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</si>
  <si>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</si>
  <si>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</si>
  <si>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</si>
  <si>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</si>
  <si>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</si>
  <si>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</si>
  <si>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</si>
  <si>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</si>
  <si>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</si>
  <si>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</si>
  <si>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</si>
  <si>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</si>
  <si>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</si>
  <si>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</si>
  <si>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</si>
  <si>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</si>
  <si>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</si>
  <si>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</si>
  <si>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</si>
  <si>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</si>
  <si>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</si>
  <si>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</si>
  <si>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</si>
  <si>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</si>
  <si>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</si>
  <si>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</si>
  <si>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</si>
  <si>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</si>
  <si>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</si>
  <si>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</si>
  <si>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</si>
  <si>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</si>
  <si>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</si>
  <si>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</si>
  <si>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</si>
  <si>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</si>
  <si>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</si>
  <si>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</si>
  <si>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</si>
  <si>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</si>
  <si>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</si>
  <si>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</si>
  <si>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</si>
  <si>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</si>
  <si>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</si>
  <si>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</si>
  <si>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</si>
  <si>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</si>
  <si>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</si>
  <si>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</si>
  <si>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</si>
  <si>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</si>
  <si>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</si>
  <si>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</si>
  <si>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</si>
  <si>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</si>
  <si>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</si>
  <si>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</si>
  <si>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</si>
  <si>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</si>
  <si>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</si>
  <si>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</si>
  <si>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</si>
  <si>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</si>
  <si>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</si>
  <si>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</si>
  <si>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</si>
  <si>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</si>
  <si>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</si>
  <si>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</si>
  <si>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</si>
  <si>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</si>
  <si>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</si>
  <si>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</si>
  <si>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</si>
  <si>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</si>
  <si>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</si>
  <si>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</si>
  <si>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</si>
  <si>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</si>
  <si>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</si>
  <si>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</si>
  <si>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</si>
  <si>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</si>
  <si>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</si>
  <si>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</si>
  <si>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</si>
  <si>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</si>
  <si>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</si>
  <si>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</si>
  <si>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</si>
  <si>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</si>
  <si>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</si>
  <si>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</si>
  <si>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</si>
  <si>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</si>
  <si>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</si>
  <si>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</si>
  <si>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</si>
  <si>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</si>
  <si>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</si>
  <si>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</si>
  <si>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</si>
  <si>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</si>
  <si>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</si>
  <si>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</si>
  <si>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</si>
  <si>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</si>
  <si>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</si>
  <si>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</si>
  <si>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</si>
  <si>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</si>
  <si>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</si>
  <si>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</si>
  <si>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</si>
  <si>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</si>
  <si>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</si>
  <si>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</si>
  <si>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</si>
  <si>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</si>
  <si>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</si>
  <si>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</si>
  <si>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</si>
  <si>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</si>
  <si>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</si>
  <si>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</si>
  <si>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</si>
  <si>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</si>
  <si>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</si>
  <si>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</si>
  <si>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</si>
  <si>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</si>
  <si>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</si>
  <si>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</si>
  <si>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</si>
  <si>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</si>
  <si>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</si>
  <si>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</si>
  <si>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</si>
  <si>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</si>
  <si>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</si>
  <si>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</si>
  <si>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</si>
  <si>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</si>
  <si>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</si>
  <si>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</si>
  <si>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</si>
  <si>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</si>
  <si>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</si>
  <si>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</si>
  <si>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</si>
  <si>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</si>
  <si>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</si>
  <si>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</si>
  <si>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</si>
  <si>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</si>
  <si>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</si>
  <si>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</si>
  <si>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</si>
  <si>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</si>
  <si>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</si>
  <si>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</si>
  <si>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</si>
  <si>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</si>
  <si>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</si>
  <si>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</si>
  <si>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</si>
  <si>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</si>
  <si>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</si>
  <si>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</si>
  <si>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</si>
  <si>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</si>
  <si>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</si>
  <si>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</si>
  <si>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</si>
  <si>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</si>
  <si>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</si>
  <si>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</si>
  <si>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</si>
  <si>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</si>
  <si>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</si>
  <si>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</si>
  <si>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</si>
  <si>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</si>
  <si>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</si>
  <si>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</si>
  <si>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</si>
  <si>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</si>
  <si>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</si>
  <si>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</si>
  <si>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</si>
  <si>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</si>
  <si>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</si>
  <si>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</si>
  <si>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</si>
  <si>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</si>
  <si>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</si>
  <si>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</si>
  <si>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</si>
  <si>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</si>
  <si>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</si>
  <si>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</si>
  <si>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</si>
  <si>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</si>
  <si>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</si>
  <si>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</si>
  <si>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</si>
  <si>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</si>
  <si>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</si>
  <si>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</si>
  <si>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</si>
  <si>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</si>
  <si>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</si>
  <si>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</si>
  <si>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</si>
  <si>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</si>
  <si>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</si>
  <si>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</si>
  <si>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</si>
  <si>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</si>
  <si>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</si>
  <si>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</si>
  <si>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</si>
  <si>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</si>
  <si>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</si>
  <si>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</si>
  <si>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</si>
  <si>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</si>
  <si>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</si>
  <si>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</si>
  <si>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</si>
  <si>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</si>
  <si>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</si>
  <si>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</si>
  <si>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</si>
  <si>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</si>
  <si>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</si>
  <si>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</si>
  <si>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</si>
  <si>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</si>
  <si>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</si>
  <si>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</si>
  <si>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</si>
  <si>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</si>
  <si>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</si>
  <si>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</si>
  <si>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</si>
  <si>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</si>
  <si>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</si>
  <si>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</si>
  <si>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</si>
  <si>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</si>
  <si>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</si>
  <si>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</si>
  <si>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</si>
  <si>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</si>
  <si>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</si>
  <si>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</si>
  <si>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</si>
  <si>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</si>
  <si>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</si>
  <si>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</si>
  <si>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</si>
  <si>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</si>
  <si>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</si>
  <si>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</si>
  <si>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</si>
  <si>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</si>
  <si>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</si>
  <si>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</si>
  <si>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</si>
  <si>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</si>
  <si>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</si>
  <si>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</si>
  <si>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</si>
  <si>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</si>
  <si>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</si>
  <si>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</si>
  <si>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</si>
  <si>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</si>
  <si>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</si>
  <si>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</si>
  <si>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</si>
  <si>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</si>
  <si>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</si>
  <si>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</si>
  <si>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</si>
  <si>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</si>
  <si>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</si>
  <si>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</si>
  <si>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</si>
  <si>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</si>
  <si>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</si>
  <si>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</si>
  <si>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</si>
  <si>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</si>
  <si>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</si>
  <si>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</si>
  <si>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</si>
  <si>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</si>
  <si>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</si>
  <si>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</si>
  <si>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</si>
  <si>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</si>
  <si>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</si>
  <si>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</si>
  <si>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</si>
  <si>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</si>
  <si>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</si>
  <si>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</si>
  <si>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</si>
  <si>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</si>
  <si>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</si>
  <si>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</si>
  <si>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</si>
  <si>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</si>
  <si>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</si>
  <si>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</si>
  <si>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</si>
  <si>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</si>
  <si>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</si>
  <si>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</si>
  <si>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</si>
  <si>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</si>
  <si>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</si>
  <si>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</si>
  <si>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</si>
  <si>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</si>
  <si>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</si>
  <si>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</si>
  <si>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</si>
  <si>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</si>
  <si>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</si>
  <si>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</si>
  <si>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</si>
  <si>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</si>
  <si>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</si>
  <si>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</si>
  <si>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</si>
  <si>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</si>
  <si>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</si>
  <si>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</si>
  <si>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</si>
  <si>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</si>
  <si>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</si>
  <si>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</si>
  <si>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</si>
  <si>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</si>
  <si>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</si>
  <si>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</si>
  <si>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</si>
  <si>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</si>
  <si>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</si>
  <si>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</si>
  <si>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</si>
  <si>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</si>
  <si>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</si>
  <si>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</si>
  <si>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</si>
  <si>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</si>
  <si>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</si>
  <si>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</si>
  <si>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</si>
  <si>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</si>
  <si>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</si>
  <si>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</si>
  <si>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</si>
  <si>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</si>
  <si>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</si>
  <si>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</si>
  <si>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</si>
  <si>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</si>
  <si>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</si>
  <si>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</si>
  <si>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</si>
  <si>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</si>
  <si>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</si>
  <si>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</si>
  <si>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</si>
  <si>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</si>
  <si>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</si>
  <si>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</si>
  <si>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</si>
  <si>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</si>
  <si>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</si>
  <si>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</si>
  <si>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</si>
  <si>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</si>
  <si>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</si>
  <si>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</si>
  <si>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</si>
  <si>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</si>
  <si>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</si>
  <si>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</si>
  <si>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</si>
  <si>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</si>
  <si>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</si>
  <si>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</si>
  <si>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</si>
  <si>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</si>
  <si>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</si>
  <si>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</si>
  <si>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</si>
  <si>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</si>
  <si>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</si>
  <si>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</si>
  <si>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</si>
  <si>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</si>
  <si>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</si>
  <si>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</si>
  <si>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</si>
  <si>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</si>
  <si>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</si>
  <si>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</si>
  <si>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</si>
  <si>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</si>
  <si>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</si>
  <si>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</si>
  <si>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</si>
  <si>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</si>
  <si>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</si>
  <si>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</si>
  <si>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</si>
  <si>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</si>
  <si>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</si>
  <si>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</si>
  <si>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</si>
  <si>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</si>
  <si>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</si>
  <si>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</si>
  <si>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</si>
  <si>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</si>
  <si>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</si>
  <si>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</si>
  <si>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</si>
  <si>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</si>
  <si>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</si>
  <si>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</si>
  <si>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</si>
  <si>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</si>
  <si>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</si>
  <si>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</si>
  <si>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</si>
  <si>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</si>
  <si>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</si>
  <si>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</si>
  <si>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</si>
  <si>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</si>
  <si>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</si>
  <si>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</si>
  <si>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</si>
  <si>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</si>
  <si>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</si>
  <si>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</si>
  <si>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</si>
  <si>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</si>
  <si>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</si>
  <si>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</si>
  <si>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</si>
  <si>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</si>
  <si>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</si>
  <si>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</si>
  <si>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</si>
  <si>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</si>
  <si>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</si>
  <si>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</si>
  <si>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</si>
  <si>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</si>
  <si>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</si>
  <si>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</si>
  <si>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</si>
  <si>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</si>
  <si>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</si>
  <si>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</si>
  <si>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</si>
  <si>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</si>
  <si>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</si>
  <si>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</si>
  <si>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</si>
  <si>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</si>
  <si>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</si>
  <si>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</si>
  <si>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</si>
  <si>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</si>
  <si>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</si>
  <si>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</si>
  <si>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</si>
  <si>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</si>
  <si>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</si>
  <si>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</si>
  <si>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</si>
  <si>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</si>
  <si>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</si>
  <si>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</si>
  <si>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</si>
  <si>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</si>
  <si>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</si>
  <si>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</si>
  <si>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</si>
  <si>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</si>
  <si>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</si>
  <si>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</si>
  <si>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</si>
  <si>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</si>
  <si>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</si>
  <si>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</si>
  <si>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</si>
  <si>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</si>
  <si>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</si>
  <si>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</si>
  <si>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</si>
  <si>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</si>
  <si>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</si>
  <si>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</si>
  <si>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</si>
  <si>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</si>
  <si>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</si>
  <si>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</si>
  <si>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</si>
  <si>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</si>
  <si>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</si>
  <si>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</si>
  <si>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</si>
  <si>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</si>
  <si>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</si>
  <si>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</si>
  <si>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</si>
  <si>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</si>
  <si>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</si>
  <si>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</si>
  <si>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</si>
  <si>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</si>
  <si>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</si>
  <si>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</si>
  <si>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</si>
  <si>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</si>
  <si>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</si>
  <si>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</si>
  <si>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</si>
  <si>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</si>
  <si>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</si>
  <si>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</si>
  <si>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</si>
  <si>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</si>
  <si>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</si>
  <si>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</si>
  <si>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</si>
  <si>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</si>
  <si>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</si>
  <si>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</si>
  <si>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</si>
  <si>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</si>
  <si>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</si>
  <si>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</si>
  <si>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</si>
  <si>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</si>
  <si>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</si>
  <si>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</si>
  <si>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</si>
  <si>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</si>
  <si>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</si>
  <si>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</si>
  <si>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</si>
  <si>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</si>
  <si>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</si>
  <si>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</si>
  <si>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</si>
  <si>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</si>
  <si>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</si>
  <si>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</si>
  <si>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</si>
  <si>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</si>
  <si>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</si>
  <si>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</si>
  <si>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</si>
  <si>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</si>
  <si>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</si>
  <si>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</si>
  <si>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</si>
  <si>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</si>
  <si>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</si>
  <si>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</si>
  <si>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</si>
  <si>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</si>
  <si>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</si>
  <si>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</si>
  <si>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</si>
  <si>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</si>
  <si>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</si>
  <si>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</si>
  <si>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</si>
  <si>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</si>
  <si>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</si>
  <si>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</si>
  <si>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</si>
  <si>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</si>
  <si>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</si>
  <si>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</si>
  <si>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</si>
  <si>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</si>
  <si>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</si>
  <si>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</si>
  <si>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</si>
  <si>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</si>
  <si>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</si>
  <si>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</si>
  <si>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</si>
  <si>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</si>
  <si>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</si>
  <si>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</si>
  <si>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</si>
  <si>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</si>
  <si>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</si>
  <si>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</si>
  <si>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</si>
  <si>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</si>
  <si>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</si>
  <si>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</si>
  <si>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</si>
  <si>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</si>
  <si>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</si>
  <si>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</si>
  <si>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</si>
  <si>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</si>
  <si>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</si>
  <si>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</si>
  <si>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</si>
  <si>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</si>
  <si>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</si>
  <si>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</si>
  <si>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</si>
  <si>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</si>
  <si>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</si>
  <si>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</si>
  <si>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</si>
  <si>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</si>
  <si>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</si>
  <si>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</si>
  <si>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</si>
  <si>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</si>
  <si>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</si>
  <si>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</si>
  <si>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</si>
  <si>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</si>
  <si>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</si>
  <si>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</si>
  <si>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</si>
  <si>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</si>
  <si>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</si>
  <si>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</si>
  <si>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</si>
  <si>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</si>
  <si>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</si>
  <si>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</si>
  <si>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</si>
  <si>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</si>
  <si>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</si>
  <si>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</si>
  <si>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</si>
  <si>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</si>
  <si>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</si>
  <si>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</si>
  <si>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</si>
  <si>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</si>
  <si>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</si>
  <si>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</si>
  <si>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</si>
  <si>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</si>
  <si>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</si>
  <si>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</si>
  <si>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</si>
  <si>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</si>
  <si>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</si>
  <si>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</si>
  <si>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</si>
  <si>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</si>
  <si>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</si>
  <si>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</si>
  <si>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</si>
  <si>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</si>
  <si>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</si>
  <si>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</si>
  <si>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</si>
  <si>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</si>
  <si>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</si>
  <si>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</si>
  <si>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</si>
  <si>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</si>
  <si>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</si>
  <si>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</si>
  <si>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</si>
  <si>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</si>
  <si>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</si>
  <si>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</si>
  <si>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</si>
  <si>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</si>
  <si>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</si>
  <si>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</si>
  <si>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</si>
  <si>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</si>
  <si>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</si>
  <si>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</si>
  <si>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</si>
  <si>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</si>
  <si>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</si>
  <si>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</si>
  <si>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</si>
  <si>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</si>
  <si>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</si>
  <si>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</si>
  <si>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</si>
  <si>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</si>
  <si>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</si>
  <si>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</si>
  <si>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</si>
  <si>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</si>
  <si>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</si>
  <si>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</si>
  <si>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</si>
  <si>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</si>
  <si>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</si>
  <si>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</si>
  <si>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</si>
  <si>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</si>
  <si>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</si>
  <si>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</si>
  <si>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</si>
  <si>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</si>
  <si>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</si>
  <si>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</si>
  <si>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</si>
  <si>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</si>
  <si>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</si>
  <si>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</si>
  <si>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</si>
  <si>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</si>
  <si>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</si>
  <si>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</si>
  <si>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</si>
  <si>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</si>
  <si>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</si>
  <si>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</si>
  <si>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</si>
  <si>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</si>
  <si>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</si>
  <si>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</si>
  <si>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</si>
  <si>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</si>
  <si>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</si>
  <si>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</si>
  <si>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</si>
  <si>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</si>
  <si>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</si>
  <si>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</si>
  <si>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</si>
  <si>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</si>
  <si>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</si>
  <si>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</si>
  <si>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</si>
  <si>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</si>
  <si>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</si>
  <si>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</si>
  <si>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</si>
  <si>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</si>
  <si>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</si>
  <si>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</si>
  <si>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</si>
  <si>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</si>
  <si>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</si>
  <si>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</si>
  <si>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</si>
  <si>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</si>
  <si>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</si>
  <si>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</si>
  <si>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</si>
  <si>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</si>
  <si>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</si>
  <si>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</si>
  <si>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</si>
  <si>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</si>
  <si>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</si>
  <si>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</si>
  <si>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</si>
  <si>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</si>
  <si>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</si>
  <si>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</si>
  <si>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</si>
  <si>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</si>
  <si>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</si>
  <si>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</si>
  <si>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</si>
  <si>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</si>
  <si>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</si>
  <si>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</si>
  <si>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</si>
  <si>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</si>
  <si>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</si>
  <si>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</si>
  <si>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</si>
  <si>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</si>
  <si>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</si>
  <si>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</si>
  <si>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</si>
  <si>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</si>
  <si>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</si>
  <si>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</si>
  <si>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</si>
  <si>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</si>
  <si>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</si>
  <si>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</si>
  <si>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</si>
  <si>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</si>
  <si>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</si>
  <si>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</si>
  <si>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</si>
  <si>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</si>
  <si>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</si>
  <si>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</si>
  <si>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</si>
  <si>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</si>
  <si>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</si>
  <si>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</si>
  <si>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</si>
  <si>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</si>
  <si>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</si>
  <si>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</si>
  <si>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</si>
  <si>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</si>
  <si>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</si>
  <si>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</si>
  <si>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</si>
  <si>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</si>
  <si>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</si>
  <si>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</si>
  <si>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</si>
  <si>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</si>
  <si>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</si>
  <si>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</si>
  <si>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</si>
  <si>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</si>
  <si>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</si>
  <si>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</si>
  <si>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</si>
  <si>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</si>
  <si>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</si>
  <si>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</si>
  <si>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</si>
  <si>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</si>
  <si>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</si>
  <si>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</si>
  <si>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</si>
  <si>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</si>
  <si>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</si>
  <si>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</si>
  <si>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</si>
  <si>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</si>
  <si>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</si>
  <si>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</si>
  <si>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</si>
  <si>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</si>
  <si>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</si>
  <si>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</si>
  <si>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</si>
  <si>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</si>
  <si>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</si>
  <si>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</si>
  <si>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</si>
  <si>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</si>
  <si>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</si>
  <si>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</si>
  <si>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</si>
  <si>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</si>
  <si>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</si>
  <si>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</si>
  <si>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</si>
  <si>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</si>
  <si>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</si>
  <si>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</si>
  <si>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</si>
  <si>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</si>
  <si>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</si>
  <si>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</si>
  <si>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</si>
  <si>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</si>
  <si>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</si>
  <si>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</si>
  <si>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</si>
  <si>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</si>
  <si>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</si>
  <si>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</si>
  <si>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</si>
  <si>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</si>
  <si>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</si>
  <si>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</si>
  <si>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</si>
  <si>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</si>
  <si>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</si>
  <si>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</si>
  <si>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</si>
  <si>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</si>
  <si>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</si>
  <si>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</si>
  <si>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</si>
  <si>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</si>
  <si>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</si>
  <si>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</si>
  <si>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</si>
  <si>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</si>
  <si>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</si>
  <si>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</si>
  <si>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</si>
  <si>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</si>
  <si>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</si>
  <si>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</si>
  <si>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</si>
  <si>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</si>
  <si>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</si>
  <si>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</si>
  <si>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</si>
  <si>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</si>
  <si>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</si>
  <si>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</si>
  <si>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</si>
  <si>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</si>
  <si>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</si>
  <si>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</si>
  <si>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</si>
  <si>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</si>
  <si>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</si>
  <si>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</si>
  <si>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</si>
  <si>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</si>
  <si>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</si>
  <si>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</si>
  <si>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</si>
  <si>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</si>
  <si>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</si>
  <si>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</si>
  <si>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</si>
  <si>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</si>
  <si>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</si>
  <si>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</si>
  <si>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</si>
  <si>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</si>
  <si>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</si>
  <si>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</si>
  <si>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</si>
  <si>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</si>
  <si>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</si>
  <si>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</si>
  <si>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</si>
  <si>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</si>
  <si>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</si>
  <si>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</si>
  <si>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</si>
  <si>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</si>
  <si>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</si>
  <si>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</si>
  <si>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</si>
  <si>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</si>
  <si>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</si>
  <si>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</si>
  <si>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</si>
  <si>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</si>
  <si>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</si>
  <si>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</si>
  <si>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</si>
  <si>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</si>
  <si>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</si>
  <si>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</si>
  <si>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</si>
  <si>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</si>
  <si>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</si>
  <si>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</si>
  <si>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</si>
  <si>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</si>
  <si>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</si>
  <si>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</si>
  <si>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</si>
  <si>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</si>
  <si>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</si>
  <si>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</si>
  <si>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</si>
  <si>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</si>
  <si>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</si>
  <si>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</si>
  <si>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</si>
  <si>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</si>
  <si>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</si>
  <si>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</si>
  <si>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</si>
  <si>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</si>
  <si>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</si>
  <si>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</si>
  <si>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</si>
  <si>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</si>
  <si>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</si>
  <si>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</si>
  <si>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</si>
  <si>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</si>
  <si>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</si>
  <si>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</si>
  <si>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</si>
  <si>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</si>
  <si>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</si>
  <si>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</si>
  <si>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</si>
  <si>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</si>
  <si>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</si>
  <si>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</si>
  <si>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</si>
  <si>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</si>
  <si>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</si>
  <si>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</si>
  <si>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</si>
  <si>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</si>
  <si>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</si>
  <si>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</si>
  <si>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</si>
  <si>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</si>
  <si>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</si>
  <si>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</si>
  <si>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</si>
  <si>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</si>
  <si>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</si>
  <si>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</si>
  <si>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</si>
  <si>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</si>
  <si>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</si>
  <si>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</si>
  <si>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</si>
  <si>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</si>
  <si>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</si>
  <si>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</si>
  <si>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</si>
  <si>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</si>
  <si>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</si>
  <si>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</si>
  <si>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</si>
  <si>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</si>
  <si>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</si>
  <si>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</si>
  <si>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</si>
  <si>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</si>
  <si>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</si>
  <si>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</si>
  <si>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</si>
  <si>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</si>
  <si>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</si>
  <si>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</si>
  <si>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</si>
  <si>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</si>
  <si>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</si>
  <si>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</si>
  <si>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</si>
  <si>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</si>
  <si>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</si>
  <si>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</si>
  <si>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</si>
  <si>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</si>
  <si>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</si>
  <si>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</si>
  <si>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</si>
  <si>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</si>
  <si>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</si>
  <si>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</si>
  <si>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</si>
  <si>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</si>
  <si>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</si>
  <si>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</si>
  <si>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</si>
  <si>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</si>
  <si>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</si>
  <si>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</si>
  <si>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</si>
  <si>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</si>
  <si>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</si>
  <si>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</si>
  <si>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</si>
  <si>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</si>
  <si>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</si>
  <si>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</si>
  <si>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</si>
  <si>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</si>
  <si>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</si>
  <si>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</si>
  <si>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</si>
  <si>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</si>
  <si>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</si>
  <si>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</si>
  <si>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</si>
  <si>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</si>
  <si>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</si>
  <si>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</si>
  <si>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</si>
  <si>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</si>
  <si>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</si>
  <si>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</si>
  <si>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</si>
  <si>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</si>
  <si>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</si>
  <si>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</si>
  <si>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</si>
  <si>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</si>
  <si>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</si>
  <si>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</si>
  <si>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</si>
  <si>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</si>
  <si>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</si>
  <si>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</si>
  <si>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</si>
  <si>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</si>
  <si>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</si>
  <si>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</si>
  <si>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</si>
  <si>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</si>
  <si>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</si>
  <si>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</si>
  <si>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</si>
  <si>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</si>
  <si>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</si>
  <si>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</si>
  <si>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</si>
  <si>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</si>
  <si>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</si>
  <si>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</si>
  <si>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</si>
  <si>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</si>
  <si>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</si>
  <si>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</si>
  <si>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</si>
  <si>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</si>
  <si>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</si>
  <si>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</si>
  <si>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</si>
  <si>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</si>
  <si>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</si>
  <si>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</si>
  <si>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</si>
  <si>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</si>
  <si>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</si>
  <si>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</si>
  <si>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</si>
  <si>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</si>
  <si>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</si>
  <si>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</si>
  <si>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</si>
  <si>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</si>
  <si>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</si>
  <si>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</si>
  <si>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</si>
  <si>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</si>
  <si>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</si>
  <si>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</si>
  <si>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</si>
  <si>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</si>
  <si>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</si>
  <si>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</si>
  <si>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</si>
  <si>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</si>
  <si>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</si>
  <si>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</si>
  <si>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</si>
  <si>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</si>
  <si>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</si>
  <si>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</si>
  <si>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</si>
  <si>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</si>
  <si>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</si>
  <si>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</si>
  <si>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</si>
  <si>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</si>
  <si>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</si>
  <si>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</si>
  <si>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</si>
  <si>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</si>
  <si>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</si>
  <si>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</si>
  <si>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</si>
  <si>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</si>
  <si>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</si>
  <si>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</si>
  <si>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</si>
  <si>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</si>
  <si>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</si>
  <si>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</si>
  <si>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</si>
  <si>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</si>
  <si>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</si>
  <si>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</si>
  <si>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</si>
  <si>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</si>
  <si>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</si>
  <si>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</si>
  <si>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</si>
  <si>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</si>
  <si>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</si>
  <si>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</si>
  <si>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</si>
  <si>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</si>
  <si>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</si>
  <si>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</si>
  <si>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</si>
  <si>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</si>
  <si>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</si>
  <si>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</si>
  <si>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</si>
  <si>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</si>
  <si>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</si>
  <si>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</si>
  <si>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</si>
  <si>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</si>
  <si>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</si>
  <si>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</si>
  <si>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</si>
  <si>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</si>
  <si>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</si>
  <si>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</si>
  <si>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</si>
  <si>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</si>
  <si>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</si>
  <si>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</si>
  <si>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</si>
  <si>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</si>
  <si>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</si>
  <si>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</si>
  <si>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</si>
  <si>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</si>
  <si>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</si>
  <si>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</si>
  <si>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</si>
  <si>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</si>
  <si>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</si>
  <si>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</si>
  <si>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</si>
  <si>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</si>
  <si>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</si>
  <si>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</si>
  <si>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</si>
  <si>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</si>
  <si>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</si>
  <si>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</si>
  <si>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</si>
  <si>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</si>
  <si>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</si>
  <si>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</si>
  <si>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</si>
  <si>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</si>
  <si>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</si>
  <si>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</si>
  <si>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</si>
  <si>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</si>
  <si>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</si>
  <si>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</si>
  <si>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</si>
  <si>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</si>
  <si>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</si>
  <si>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</si>
  <si>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</si>
  <si>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</si>
  <si>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</si>
  <si>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</si>
  <si>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</si>
  <si>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</si>
  <si>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</si>
  <si>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</si>
  <si>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</si>
  <si>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</si>
  <si>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</si>
  <si>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</si>
  <si>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</si>
  <si>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</si>
  <si>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</si>
  <si>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</si>
  <si>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</si>
  <si>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</si>
  <si>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</si>
  <si>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</si>
  <si>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</si>
  <si>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</si>
  <si>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</si>
  <si>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</si>
  <si>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</si>
  <si>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</si>
  <si>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</si>
  <si>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</si>
  <si>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</si>
  <si>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</si>
  <si>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</si>
  <si>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</si>
  <si>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</si>
  <si>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</si>
  <si>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</si>
  <si>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</si>
  <si>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</si>
  <si>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</si>
  <si>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</si>
  <si>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</si>
  <si>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</si>
  <si>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</si>
  <si>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</si>
  <si>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</si>
  <si>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</si>
  <si>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</si>
  <si>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</si>
  <si>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</si>
  <si>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</si>
  <si>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</si>
  <si>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</si>
  <si>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</si>
  <si>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</si>
  <si>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</si>
  <si>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</si>
  <si>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</si>
  <si>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</si>
  <si>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</si>
  <si>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</si>
  <si>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</si>
  <si>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</si>
  <si>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</si>
  <si>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</si>
  <si>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</si>
  <si>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</si>
  <si>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</si>
  <si>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</si>
  <si>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</si>
  <si>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</si>
  <si>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</si>
  <si>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</si>
  <si>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</si>
  <si>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</si>
  <si>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</si>
  <si>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</si>
  <si>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</si>
  <si>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</si>
  <si>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</si>
  <si>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</si>
  <si>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</si>
  <si>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</si>
  <si>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</si>
  <si>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</si>
  <si>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</si>
  <si>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</si>
  <si>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</si>
  <si>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</si>
  <si>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</si>
  <si>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</si>
  <si>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</si>
  <si>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</si>
  <si>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</si>
  <si>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</si>
  <si>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</si>
  <si>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</si>
  <si>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</si>
  <si>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</si>
  <si>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</si>
  <si>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</si>
  <si>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</si>
  <si>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</si>
  <si>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</si>
  <si>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</si>
  <si>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</si>
  <si>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</si>
  <si>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</si>
  <si>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</si>
  <si>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</si>
  <si>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</si>
  <si>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</si>
  <si>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</si>
  <si>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</si>
  <si>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</si>
  <si>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</si>
  <si>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</si>
  <si>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</si>
  <si>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</si>
  <si>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</si>
  <si>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</si>
  <si>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</si>
  <si>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</si>
  <si>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</si>
  <si>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</si>
  <si>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</si>
  <si>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</si>
  <si>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</si>
  <si>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</si>
  <si>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</si>
  <si>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</si>
  <si>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</si>
  <si>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</si>
  <si>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</si>
  <si>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</si>
  <si>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</si>
  <si>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</si>
  <si>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</si>
  <si>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</si>
  <si>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</si>
  <si>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</si>
  <si>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</si>
  <si>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</si>
  <si>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</si>
  <si>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</si>
  <si>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</si>
  <si>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</si>
  <si>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</si>
  <si>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</si>
  <si>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</si>
  <si>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</si>
  <si>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</si>
  <si>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</si>
  <si>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</si>
  <si>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</si>
  <si>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</si>
  <si>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</si>
  <si>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</si>
  <si>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</si>
  <si>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</si>
  <si>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</si>
  <si>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</si>
  <si>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</si>
  <si>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</si>
  <si>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</si>
  <si>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</si>
  <si>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</si>
  <si>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</si>
  <si>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</si>
  <si>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</si>
  <si>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</si>
  <si>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</si>
  <si>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</si>
  <si>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</si>
  <si>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</si>
  <si>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</si>
  <si>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</si>
  <si>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</si>
  <si>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</si>
  <si>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</si>
  <si>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</si>
  <si>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</si>
  <si>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</si>
  <si>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</si>
  <si>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</si>
  <si>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</si>
  <si>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</si>
  <si>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</si>
  <si>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</si>
  <si>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</si>
  <si>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</si>
  <si>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</si>
  <si>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</si>
  <si>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</si>
  <si>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</si>
  <si>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</si>
  <si>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</si>
  <si>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</si>
  <si>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</si>
  <si>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</si>
  <si>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</si>
  <si>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</si>
  <si>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</si>
  <si>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</si>
  <si>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</si>
  <si>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</si>
  <si>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</si>
  <si>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</si>
  <si>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</si>
  <si>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</si>
  <si>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</si>
  <si>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</si>
  <si>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</si>
  <si>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</si>
  <si>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</si>
  <si>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</si>
  <si>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</si>
  <si>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</si>
  <si>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</si>
  <si>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</si>
  <si>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</si>
  <si>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</si>
  <si>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</si>
  <si>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</si>
  <si>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</si>
  <si>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</si>
  <si>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</si>
  <si>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</si>
  <si>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</si>
  <si>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</si>
  <si>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</si>
  <si>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</si>
  <si>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</si>
  <si>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</si>
  <si>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</si>
  <si>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</si>
  <si>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</si>
  <si>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</si>
  <si>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</si>
  <si>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</si>
  <si>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</si>
  <si>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</si>
  <si>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</si>
  <si>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</si>
  <si>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</si>
  <si>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</si>
  <si>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</si>
  <si>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</si>
  <si>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</si>
  <si>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</si>
  <si>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</si>
  <si>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</si>
  <si>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</si>
  <si>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</si>
  <si>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</si>
  <si>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</si>
  <si>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</si>
  <si>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</si>
  <si>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</si>
  <si>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</si>
  <si>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</si>
  <si>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</si>
  <si>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</si>
  <si>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</si>
  <si>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</si>
  <si>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</si>
  <si>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</si>
  <si>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</si>
  <si>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</si>
  <si>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</si>
  <si>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</si>
  <si>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</si>
  <si>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</si>
  <si>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</si>
  <si>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</si>
  <si>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</si>
  <si>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</si>
  <si>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</si>
  <si>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</si>
  <si>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</si>
  <si>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</si>
  <si>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</si>
  <si>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</si>
  <si>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</si>
  <si>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</si>
  <si>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</si>
  <si>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</si>
  <si>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</si>
  <si>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</si>
  <si>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</si>
  <si>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</si>
  <si>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</si>
  <si>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</si>
  <si>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</si>
  <si>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</si>
  <si>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</si>
  <si>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</si>
  <si>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</si>
  <si>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</si>
  <si>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</si>
  <si>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</si>
  <si>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</si>
  <si>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</si>
  <si>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</si>
  <si>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</si>
  <si>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</si>
  <si>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</si>
  <si>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</si>
  <si>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</si>
  <si>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</si>
  <si>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</si>
  <si>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</si>
  <si>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</si>
  <si>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</si>
  <si>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</si>
  <si>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</si>
  <si>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</si>
  <si>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</si>
  <si>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</si>
  <si>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</si>
  <si>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</si>
  <si>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</si>
  <si>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</si>
  <si>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</si>
  <si>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</si>
  <si>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</si>
  <si>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</si>
  <si>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</si>
  <si>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</si>
  <si>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</si>
  <si>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</si>
  <si>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</si>
  <si>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</si>
  <si>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</si>
  <si>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</si>
  <si>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</si>
  <si>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</si>
  <si>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</si>
  <si>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</si>
  <si>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</si>
  <si>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</si>
  <si>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</si>
  <si>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</si>
  <si>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</si>
  <si>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</si>
  <si>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</si>
  <si>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</si>
  <si>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</si>
  <si>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</si>
  <si>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</si>
  <si>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</si>
  <si>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</si>
  <si>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</si>
  <si>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</si>
  <si>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</si>
  <si>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</si>
  <si>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</si>
  <si>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</si>
  <si>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</si>
  <si>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</si>
  <si>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</si>
  <si>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</si>
  <si>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</si>
  <si>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</si>
  <si>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</si>
  <si>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</si>
  <si>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</si>
  <si>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</si>
  <si>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</si>
  <si>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</si>
  <si>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</si>
  <si>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</si>
  <si>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</si>
  <si>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</si>
  <si>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</si>
  <si>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</si>
  <si>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</si>
  <si>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</si>
  <si>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</si>
  <si>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</si>
  <si>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</si>
  <si>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</si>
  <si>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</si>
  <si>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</si>
  <si>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</si>
  <si>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</si>
  <si>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</si>
  <si>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</si>
  <si>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</si>
  <si>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</si>
  <si>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</si>
  <si>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</si>
  <si>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</si>
  <si>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</si>
  <si>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</si>
  <si>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</si>
  <si>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</si>
  <si>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</si>
  <si>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</si>
  <si>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</si>
  <si>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</si>
  <si>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</si>
  <si>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</si>
  <si>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</si>
  <si>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</si>
  <si>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</si>
  <si>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</si>
  <si>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</si>
  <si>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</si>
  <si>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</si>
  <si>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</si>
  <si>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</si>
  <si>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</si>
  <si>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</si>
  <si>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</si>
  <si>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</si>
  <si>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</si>
  <si>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</si>
  <si>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</si>
  <si>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</si>
  <si>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</si>
  <si>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</si>
  <si>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</si>
  <si>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</si>
  <si>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</si>
  <si>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</si>
  <si>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</si>
  <si>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</si>
  <si>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</si>
  <si>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</si>
  <si>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</si>
  <si>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</si>
  <si>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</si>
  <si>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</si>
  <si>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</si>
  <si>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</si>
  <si>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</si>
  <si>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</si>
  <si>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</si>
  <si>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</si>
  <si>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</si>
  <si>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</si>
  <si>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</si>
  <si>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</si>
  <si>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</si>
  <si>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</si>
  <si>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</si>
  <si>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</si>
  <si>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</si>
  <si>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</si>
  <si>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</si>
  <si>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</si>
  <si>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</si>
  <si>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</si>
  <si>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</si>
  <si>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</si>
  <si>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</si>
  <si>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</si>
  <si>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</si>
  <si>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</si>
  <si>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</si>
  <si>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</si>
  <si>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</si>
  <si>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</si>
  <si>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</si>
  <si>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</si>
  <si>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</si>
  <si>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</si>
  <si>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</si>
  <si>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</si>
  <si>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</si>
  <si>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</si>
  <si>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</si>
  <si>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</si>
  <si>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</si>
  <si>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</si>
  <si>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</si>
  <si>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</si>
  <si>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</si>
  <si>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</si>
  <si>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</si>
  <si>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</si>
  <si>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</si>
  <si>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</si>
  <si>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</si>
  <si>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</si>
  <si>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</si>
  <si>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</si>
  <si>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</si>
  <si>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</si>
  <si>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</si>
  <si>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</si>
  <si>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</si>
  <si>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</si>
  <si>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</si>
  <si>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</si>
  <si>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</si>
  <si>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</si>
  <si>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</si>
  <si>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</si>
  <si>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</si>
  <si>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</si>
  <si>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</si>
  <si>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</si>
  <si>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</si>
  <si>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</si>
  <si>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</si>
  <si>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</si>
  <si>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</si>
  <si>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</si>
  <si>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</si>
  <si>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</si>
  <si>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</si>
  <si>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</si>
  <si>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</si>
  <si>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</si>
  <si>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</si>
  <si>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</si>
  <si>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</si>
  <si>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</si>
  <si>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</si>
  <si>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</si>
  <si>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</si>
  <si>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</si>
  <si>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</si>
  <si>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</si>
  <si>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</si>
  <si>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</si>
  <si>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</si>
  <si>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</si>
  <si>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</si>
  <si>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</si>
  <si>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</si>
  <si>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</si>
  <si>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</si>
  <si>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</si>
  <si>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</si>
  <si>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</si>
  <si>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</si>
  <si>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</si>
  <si>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</si>
  <si>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</si>
  <si>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</si>
  <si>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</si>
  <si>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</si>
  <si>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</si>
  <si>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</si>
  <si>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</si>
  <si>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</si>
  <si>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</si>
  <si>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</si>
  <si>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</si>
  <si>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</si>
  <si>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</si>
  <si>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</si>
  <si>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</si>
  <si>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</si>
  <si>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</si>
  <si>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</si>
  <si>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</si>
  <si>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</si>
  <si>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</si>
  <si>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</si>
  <si>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</si>
  <si>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</si>
  <si>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</si>
  <si>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</si>
  <si>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</si>
  <si>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</si>
  <si>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</si>
  <si>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</si>
  <si>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</si>
  <si>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</si>
  <si>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</si>
  <si>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</si>
  <si>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</si>
  <si>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</si>
  <si>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</si>
  <si>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</si>
  <si>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</si>
  <si>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</si>
  <si>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</si>
  <si>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</si>
  <si>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</si>
  <si>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</si>
  <si>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</si>
  <si>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</si>
  <si>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</si>
  <si>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</si>
  <si>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</si>
  <si>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</si>
  <si>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</si>
  <si>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</si>
  <si>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</si>
  <si>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</si>
  <si>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</si>
  <si>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</si>
  <si>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</si>
  <si>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</si>
  <si>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</si>
  <si>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</si>
  <si>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</si>
  <si>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</si>
  <si>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</si>
  <si>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</si>
  <si>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</si>
  <si>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</si>
  <si>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r>
      <rPr>
        <sz val="10"/>
        <color theme="9" tint="-0.249977111117893"/>
        <rFont val="宋体"/>
        <family val="3"/>
        <charset val="134"/>
      </rPr>
      <t>朝阳区天溪园</t>
    </r>
    <r>
      <rPr>
        <sz val="10"/>
        <color theme="9" tint="-0.249977111117893"/>
        <rFont val="Arial"/>
        <family val="2"/>
      </rPr>
      <t>20</t>
    </r>
    <r>
      <rPr>
        <sz val="10"/>
        <color theme="9" tint="-0.249977111117893"/>
        <rFont val="宋体"/>
        <family val="3"/>
        <charset val="134"/>
      </rPr>
      <t>号楼</t>
    </r>
    <phoneticPr fontId="6" type="noConversion"/>
  </si>
  <si>
    <t>现房</t>
  </si>
  <si>
    <t>商业项目</t>
  </si>
  <si>
    <t>是</t>
  </si>
  <si>
    <t>地上</t>
  </si>
  <si>
    <r>
      <t>1</t>
    </r>
    <r>
      <rPr>
        <sz val="10"/>
        <color indexed="8"/>
        <rFont val="宋体"/>
        <family val="3"/>
        <charset val="134"/>
      </rPr>
      <t>层商业</t>
    </r>
    <r>
      <rPr>
        <sz val="10"/>
        <color indexed="8"/>
        <rFont val="Arial"/>
        <family val="2"/>
      </rPr>
      <t>21</t>
    </r>
    <phoneticPr fontId="3" type="noConversion"/>
  </si>
  <si>
    <t>1层商业21</t>
  </si>
  <si>
    <t>1层商业21</t>
    <phoneticPr fontId="7" type="noConversion"/>
  </si>
  <si>
    <t>竣工时间</t>
    <phoneticPr fontId="3" type="noConversion"/>
  </si>
  <si>
    <t>成新度</t>
  </si>
  <si>
    <t>收益法 (元)</t>
  </si>
  <si>
    <t>单套模式</t>
  </si>
  <si>
    <t>售价</t>
  </si>
  <si>
    <t>正常</t>
  </si>
  <si>
    <t>挂牌价</t>
  </si>
  <si>
    <t>挂牌价</t>
    <phoneticPr fontId="30" type="noConversion"/>
  </si>
  <si>
    <t>押一</t>
  </si>
  <si>
    <t>钢混</t>
  </si>
  <si>
    <t>非生产用房</t>
  </si>
  <si>
    <t>否</t>
  </si>
  <si>
    <t>比较法-商业</t>
  </si>
  <si>
    <t>楼面单价</t>
  </si>
  <si>
    <t>自定义</t>
  </si>
  <si>
    <t>2层商业36</t>
  </si>
  <si>
    <r>
      <t>1</t>
    </r>
    <r>
      <rPr>
        <sz val="10"/>
        <color indexed="8"/>
        <rFont val="宋体"/>
        <family val="3"/>
        <charset val="134"/>
      </rPr>
      <t>层</t>
    </r>
    <phoneticPr fontId="24" type="noConversion"/>
  </si>
  <si>
    <r>
      <t>2</t>
    </r>
    <r>
      <rPr>
        <sz val="10"/>
        <color indexed="8"/>
        <rFont val="宋体"/>
        <family val="3"/>
        <charset val="134"/>
      </rPr>
      <t>层</t>
    </r>
    <phoneticPr fontId="24" type="noConversion"/>
  </si>
  <si>
    <t>楼层</t>
    <phoneticPr fontId="3" type="noConversion"/>
  </si>
  <si>
    <t>收益法 (元) 2层</t>
  </si>
  <si>
    <t>收益法 (元) 2层</t>
    <phoneticPr fontId="16" type="noConversion"/>
  </si>
  <si>
    <t>不动产权号</t>
    <phoneticPr fontId="134" type="noConversion"/>
  </si>
  <si>
    <t>权利人</t>
    <phoneticPr fontId="134" type="noConversion"/>
  </si>
  <si>
    <t>坐落</t>
    <phoneticPr fontId="134" type="noConversion"/>
  </si>
  <si>
    <t>楼号或幢号</t>
    <phoneticPr fontId="134" type="noConversion"/>
  </si>
  <si>
    <t>房号</t>
    <phoneticPr fontId="134" type="noConversion"/>
  </si>
  <si>
    <t>建筑面积</t>
    <phoneticPr fontId="134" type="noConversion"/>
  </si>
  <si>
    <t>结构</t>
    <phoneticPr fontId="134" type="noConversion"/>
  </si>
  <si>
    <t>总层数</t>
    <phoneticPr fontId="134" type="noConversion"/>
  </si>
  <si>
    <t>所在层</t>
    <phoneticPr fontId="134" type="noConversion"/>
  </si>
  <si>
    <t>竣工时间</t>
    <phoneticPr fontId="134" type="noConversion"/>
  </si>
  <si>
    <t>建设用地使用权</t>
    <phoneticPr fontId="134" type="noConversion"/>
  </si>
  <si>
    <t>仁达单价</t>
    <phoneticPr fontId="134" type="noConversion"/>
  </si>
  <si>
    <t>仁达总价</t>
    <phoneticPr fontId="134" type="noConversion"/>
  </si>
  <si>
    <t>下浮5%单价</t>
    <phoneticPr fontId="134" type="noConversion"/>
  </si>
  <si>
    <t>复估单价</t>
    <phoneticPr fontId="134" type="noConversion"/>
  </si>
  <si>
    <t>总价</t>
    <phoneticPr fontId="134" type="noConversion"/>
  </si>
  <si>
    <r>
      <t>京</t>
    </r>
    <r>
      <rPr>
        <sz val="11"/>
        <color theme="1"/>
        <rFont val="宋体"/>
        <family val="3"/>
        <charset val="134"/>
        <scheme val="minor"/>
      </rPr>
      <t>(</t>
    </r>
    <r>
      <rPr>
        <sz val="11"/>
        <color theme="1"/>
        <rFont val="宋体"/>
        <family val="3"/>
        <charset val="134"/>
        <scheme val="minor"/>
      </rPr>
      <t>2</t>
    </r>
    <r>
      <rPr>
        <sz val="11"/>
        <color theme="1"/>
        <rFont val="宋体"/>
        <family val="3"/>
        <charset val="134"/>
        <scheme val="minor"/>
      </rPr>
      <t>025)朝不动产权第0010829号</t>
    </r>
    <phoneticPr fontId="134" type="noConversion"/>
  </si>
  <si>
    <t>北京久恒钰悦商业运营管理有限公司</t>
    <phoneticPr fontId="134" type="noConversion"/>
  </si>
  <si>
    <r>
      <t>朝阳区天溪园2</t>
    </r>
    <r>
      <rPr>
        <sz val="11"/>
        <color theme="1"/>
        <rFont val="宋体"/>
        <family val="3"/>
        <charset val="134"/>
        <scheme val="minor"/>
      </rPr>
      <t>0号楼1层商业3</t>
    </r>
    <phoneticPr fontId="134" type="noConversion"/>
  </si>
  <si>
    <t>配套商业</t>
    <phoneticPr fontId="134" type="noConversion"/>
  </si>
  <si>
    <t>20号楼</t>
    <phoneticPr fontId="134" type="noConversion"/>
  </si>
  <si>
    <t>商业3</t>
    <phoneticPr fontId="134" type="noConversion"/>
  </si>
  <si>
    <t>钢混</t>
    <phoneticPr fontId="134" type="noConversion"/>
  </si>
  <si>
    <r>
      <t>2（</t>
    </r>
    <r>
      <rPr>
        <sz val="11"/>
        <color theme="1"/>
        <rFont val="宋体"/>
        <family val="3"/>
        <charset val="134"/>
        <scheme val="minor"/>
      </rPr>
      <t>-02）</t>
    </r>
    <phoneticPr fontId="134" type="noConversion"/>
  </si>
  <si>
    <r>
      <t>京(</t>
    </r>
    <r>
      <rPr>
        <sz val="11"/>
        <color theme="1"/>
        <rFont val="宋体"/>
        <family val="3"/>
        <charset val="134"/>
        <scheme val="minor"/>
      </rPr>
      <t>2</t>
    </r>
    <r>
      <rPr>
        <sz val="11"/>
        <color theme="1"/>
        <rFont val="宋体"/>
        <family val="3"/>
        <charset val="134"/>
        <scheme val="minor"/>
      </rPr>
      <t>025)朝不动产权第0010427号</t>
    </r>
    <phoneticPr fontId="134" type="noConversion"/>
  </si>
  <si>
    <t>朝阳区天溪园20号楼1层商业4</t>
    <phoneticPr fontId="134" type="noConversion"/>
  </si>
  <si>
    <t>商业4</t>
    <phoneticPr fontId="134" type="noConversion"/>
  </si>
  <si>
    <r>
      <t>京(</t>
    </r>
    <r>
      <rPr>
        <sz val="11"/>
        <color theme="1"/>
        <rFont val="宋体"/>
        <family val="3"/>
        <charset val="134"/>
        <scheme val="minor"/>
      </rPr>
      <t>2</t>
    </r>
    <r>
      <rPr>
        <sz val="11"/>
        <color theme="1"/>
        <rFont val="宋体"/>
        <family val="3"/>
        <charset val="134"/>
        <scheme val="minor"/>
      </rPr>
      <t>025)朝不动产权第0010853号</t>
    </r>
    <phoneticPr fontId="134" type="noConversion"/>
  </si>
  <si>
    <t>朝阳区天溪园20号楼1层商业5</t>
    <phoneticPr fontId="134" type="noConversion"/>
  </si>
  <si>
    <t>商业5</t>
    <phoneticPr fontId="134" type="noConversion"/>
  </si>
  <si>
    <r>
      <t>京(</t>
    </r>
    <r>
      <rPr>
        <sz val="11"/>
        <color theme="1"/>
        <rFont val="宋体"/>
        <family val="3"/>
        <charset val="134"/>
        <scheme val="minor"/>
      </rPr>
      <t>2</t>
    </r>
    <r>
      <rPr>
        <sz val="11"/>
        <color theme="1"/>
        <rFont val="宋体"/>
        <family val="3"/>
        <charset val="134"/>
        <scheme val="minor"/>
      </rPr>
      <t>025)朝不动产权第0012603号</t>
    </r>
    <phoneticPr fontId="134" type="noConversion"/>
  </si>
  <si>
    <t>朝阳区天溪园20号楼1层商业6</t>
    <phoneticPr fontId="134" type="noConversion"/>
  </si>
  <si>
    <t>商业6</t>
    <phoneticPr fontId="134" type="noConversion"/>
  </si>
  <si>
    <r>
      <t>京(</t>
    </r>
    <r>
      <rPr>
        <sz val="11"/>
        <color theme="1"/>
        <rFont val="宋体"/>
        <family val="3"/>
        <charset val="134"/>
        <scheme val="minor"/>
      </rPr>
      <t>2</t>
    </r>
    <r>
      <rPr>
        <sz val="11"/>
        <color theme="1"/>
        <rFont val="宋体"/>
        <family val="3"/>
        <charset val="134"/>
        <scheme val="minor"/>
      </rPr>
      <t>025)朝不动产权第0010785号</t>
    </r>
    <phoneticPr fontId="134" type="noConversion"/>
  </si>
  <si>
    <t>朝阳区天溪园20号楼2层商业35</t>
    <phoneticPr fontId="134" type="noConversion"/>
  </si>
  <si>
    <t>商业35</t>
    <phoneticPr fontId="134" type="noConversion"/>
  </si>
  <si>
    <r>
      <t>京(</t>
    </r>
    <r>
      <rPr>
        <sz val="11"/>
        <color theme="1"/>
        <rFont val="宋体"/>
        <family val="3"/>
        <charset val="134"/>
        <scheme val="minor"/>
      </rPr>
      <t>2</t>
    </r>
    <r>
      <rPr>
        <sz val="11"/>
        <color theme="1"/>
        <rFont val="宋体"/>
        <family val="3"/>
        <charset val="134"/>
        <scheme val="minor"/>
      </rPr>
      <t>025)朝不动产权第0010796号</t>
    </r>
    <phoneticPr fontId="134" type="noConversion"/>
  </si>
  <si>
    <t>朝阳区天溪园20号楼2层商业42</t>
    <phoneticPr fontId="134" type="noConversion"/>
  </si>
  <si>
    <t>商业42</t>
    <phoneticPr fontId="134" type="noConversion"/>
  </si>
  <si>
    <r>
      <t>京(</t>
    </r>
    <r>
      <rPr>
        <sz val="11"/>
        <color theme="1"/>
        <rFont val="宋体"/>
        <family val="3"/>
        <charset val="134"/>
        <scheme val="minor"/>
      </rPr>
      <t>2</t>
    </r>
    <r>
      <rPr>
        <sz val="11"/>
        <color theme="1"/>
        <rFont val="宋体"/>
        <family val="3"/>
        <charset val="134"/>
        <scheme val="minor"/>
      </rPr>
      <t>025)朝不动产权第0010827号</t>
    </r>
    <phoneticPr fontId="134" type="noConversion"/>
  </si>
  <si>
    <t>朝阳区天溪园20号楼2层商业45</t>
    <phoneticPr fontId="134" type="noConversion"/>
  </si>
  <si>
    <t>商业45</t>
    <phoneticPr fontId="134" type="noConversion"/>
  </si>
  <si>
    <r>
      <t>京(</t>
    </r>
    <r>
      <rPr>
        <sz val="11"/>
        <color theme="1"/>
        <rFont val="宋体"/>
        <family val="3"/>
        <charset val="134"/>
        <scheme val="minor"/>
      </rPr>
      <t>2</t>
    </r>
    <r>
      <rPr>
        <sz val="11"/>
        <color theme="1"/>
        <rFont val="宋体"/>
        <family val="3"/>
        <charset val="134"/>
        <scheme val="minor"/>
      </rPr>
      <t>025)朝不动产权第0008980号</t>
    </r>
    <phoneticPr fontId="134" type="noConversion"/>
  </si>
  <si>
    <t>朝阳区天溪园20号楼2层商业46</t>
    <phoneticPr fontId="134" type="noConversion"/>
  </si>
  <si>
    <t>商业46</t>
    <phoneticPr fontId="134" type="noConversion"/>
  </si>
  <si>
    <t>1层商业不临外街</t>
    <phoneticPr fontId="134" type="noConversion"/>
  </si>
  <si>
    <r>
      <t>2层商业</t>
    </r>
    <r>
      <rPr>
        <sz val="11"/>
        <color theme="1"/>
        <rFont val="宋体"/>
        <family val="3"/>
        <charset val="134"/>
        <scheme val="minor"/>
      </rPr>
      <t>35与36相邻</t>
    </r>
    <phoneticPr fontId="134" type="noConversion"/>
  </si>
  <si>
    <r>
      <t>2层商业</t>
    </r>
    <r>
      <rPr>
        <sz val="11"/>
        <color theme="1"/>
        <rFont val="宋体"/>
        <family val="3"/>
        <charset val="134"/>
        <scheme val="minor"/>
      </rPr>
      <t>42与40相邻</t>
    </r>
    <phoneticPr fontId="134" type="noConversion"/>
  </si>
  <si>
    <r>
      <t>仁达的</t>
    </r>
    <r>
      <rPr>
        <sz val="11"/>
        <color theme="1"/>
        <rFont val="宋体"/>
        <family val="3"/>
        <charset val="134"/>
        <scheme val="minor"/>
      </rPr>
      <t>1层商业不临街，</t>
    </r>
    <r>
      <rPr>
        <sz val="11"/>
        <color theme="1"/>
        <rFont val="宋体"/>
        <family val="3"/>
        <charset val="134"/>
        <scheme val="minor"/>
      </rPr>
      <t>用2层的成交案例修了</t>
    </r>
    <r>
      <rPr>
        <sz val="11"/>
        <color theme="1"/>
        <rFont val="宋体"/>
        <family val="3"/>
        <charset val="134"/>
        <scheme val="minor"/>
      </rPr>
      <t>15个点</t>
    </r>
    <phoneticPr fontId="134" type="noConversion"/>
  </si>
  <si>
    <t>租金1层3.7元,2层3.2元</t>
    <phoneticPr fontId="134" type="noConversion"/>
  </si>
  <si>
    <t>楼层</t>
    <phoneticPr fontId="134" type="noConversion"/>
  </si>
  <si>
    <r>
      <t>1</t>
    </r>
    <r>
      <rPr>
        <sz val="11"/>
        <rFont val="宋体"/>
        <family val="3"/>
        <charset val="134"/>
      </rPr>
      <t>层</t>
    </r>
    <phoneticPr fontId="134" type="noConversion"/>
  </si>
  <si>
    <r>
      <t>2</t>
    </r>
    <r>
      <rPr>
        <sz val="11"/>
        <rFont val="宋体"/>
        <family val="3"/>
        <charset val="134"/>
      </rPr>
      <t>层</t>
    </r>
    <phoneticPr fontId="134" type="noConversion"/>
  </si>
  <si>
    <r>
      <t>1</t>
    </r>
    <r>
      <rPr>
        <sz val="11"/>
        <color indexed="8"/>
        <rFont val="宋体"/>
        <family val="3"/>
        <charset val="134"/>
      </rPr>
      <t>层</t>
    </r>
    <phoneticPr fontId="134" type="noConversion"/>
  </si>
  <si>
    <r>
      <t>2</t>
    </r>
    <r>
      <rPr>
        <sz val="11"/>
        <color indexed="8"/>
        <rFont val="宋体"/>
        <family val="3"/>
        <charset val="134"/>
      </rPr>
      <t>层</t>
    </r>
    <phoneticPr fontId="134" type="noConversion"/>
  </si>
  <si>
    <t>比较法-商业2层</t>
  </si>
  <si>
    <t>比较法-商业2层</t>
    <phoneticPr fontId="16" type="noConversion"/>
  </si>
  <si>
    <t>不临65条商业街</t>
  </si>
  <si>
    <t>与级别开发程度一致</t>
  </si>
  <si>
    <t>楼层修正</t>
  </si>
  <si>
    <t>较好</t>
  </si>
  <si>
    <t>好</t>
  </si>
  <si>
    <t>未包含在土地购买价格中</t>
  </si>
  <si>
    <t>已包含在土地取得成本中</t>
  </si>
  <si>
    <t>成本法 (元)2层</t>
    <phoneticPr fontId="16" type="noConversion"/>
  </si>
  <si>
    <t>成本法 (元)1层</t>
    <phoneticPr fontId="16" type="noConversion"/>
  </si>
  <si>
    <r>
      <t>2</t>
    </r>
    <r>
      <rPr>
        <sz val="10"/>
        <color indexed="8"/>
        <rFont val="宋体"/>
        <family val="3"/>
        <charset val="134"/>
      </rPr>
      <t>层商业</t>
    </r>
    <r>
      <rPr>
        <sz val="10"/>
        <color indexed="8"/>
        <rFont val="Arial"/>
        <family val="2"/>
      </rPr>
      <t>37</t>
    </r>
    <phoneticPr fontId="3" type="noConversion"/>
  </si>
  <si>
    <r>
      <t>2</t>
    </r>
    <r>
      <rPr>
        <sz val="10"/>
        <color indexed="8"/>
        <rFont val="宋体"/>
        <family val="3"/>
        <charset val="134"/>
      </rPr>
      <t>层商业</t>
    </r>
    <r>
      <rPr>
        <sz val="10"/>
        <color indexed="8"/>
        <rFont val="Arial"/>
        <family val="2"/>
      </rPr>
      <t>40</t>
    </r>
    <phoneticPr fontId="3" type="noConversion"/>
  </si>
  <si>
    <r>
      <t>1</t>
    </r>
    <r>
      <rPr>
        <sz val="11"/>
        <color indexed="8"/>
        <rFont val="宋体"/>
        <family val="3"/>
        <charset val="134"/>
      </rPr>
      <t>层临外街</t>
    </r>
    <phoneticPr fontId="134" type="noConversion"/>
  </si>
  <si>
    <t>康正复估单1层不临街商业租金4.8</t>
    <phoneticPr fontId="134" type="noConversion"/>
  </si>
  <si>
    <r>
      <t>2</t>
    </r>
    <r>
      <rPr>
        <sz val="10"/>
        <color indexed="8"/>
        <rFont val="宋体"/>
        <family val="3"/>
        <charset val="134"/>
      </rPr>
      <t>层商业</t>
    </r>
    <r>
      <rPr>
        <sz val="10"/>
        <color indexed="8"/>
        <rFont val="Arial"/>
        <family val="2"/>
      </rPr>
      <t>32</t>
    </r>
    <phoneticPr fontId="3" type="noConversion"/>
  </si>
  <si>
    <r>
      <t>2</t>
    </r>
    <r>
      <rPr>
        <sz val="10"/>
        <color indexed="8"/>
        <rFont val="宋体"/>
        <family val="3"/>
        <charset val="134"/>
      </rPr>
      <t>层商业</t>
    </r>
    <r>
      <rPr>
        <sz val="10"/>
        <color indexed="8"/>
        <rFont val="Arial"/>
        <family val="2"/>
      </rPr>
      <t>36</t>
    </r>
    <phoneticPr fontId="3" type="noConversion"/>
  </si>
  <si>
    <t>1层</t>
  </si>
  <si>
    <t>2层</t>
  </si>
  <si>
    <t>临街状况</t>
    <phoneticPr fontId="3" type="noConversion"/>
  </si>
  <si>
    <t>临街</t>
  </si>
  <si>
    <t>临街</t>
    <phoneticPr fontId="24" type="noConversion"/>
  </si>
  <si>
    <t>不临街</t>
  </si>
  <si>
    <t>不临街</t>
    <phoneticPr fontId="24" type="noConversion"/>
  </si>
  <si>
    <t>可视性</t>
    <phoneticPr fontId="3" type="noConversion"/>
  </si>
  <si>
    <t>较好</t>
    <phoneticPr fontId="24" type="noConversion"/>
  </si>
  <si>
    <t>一般</t>
    <phoneticPr fontId="24" type="noConversion"/>
  </si>
  <si>
    <t>较差</t>
  </si>
  <si>
    <t>较差</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</si>
</sst>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protection locked="0"/>
    </xf>
    <xf numFmtId="0" fontId="222" fillId="0" borderId="108" xfId="0" applyFont="1" applyBorder="1" applyAlignment="1" applyProtection="1">
      <alignment horizontal="center" vertical="center" wrapText="1"/>
      <protection locked="0"/>
    </xf>
    <xf numFmtId="0" fontId="95" fillId="0" borderId="1" xfId="0" applyFont="1" applyBorder="1" applyAlignment="1">
      <alignment vertical="center" wrapText="1"/>
    </xf>
    <xf numFmtId="0" fontId="95" fillId="0" borderId="1" xfId="0" applyFont="1" applyBorder="1">
      <alignment vertical="center"/>
    </xf>
    <xf numFmtId="0" fontId="95" fillId="0" borderId="0" xfId="0" applyFont="1" applyAlignment="1">
      <alignment vertical="center" wrapText="1"/>
    </xf>
    <xf numFmtId="0" fontId="95" fillId="5" borderId="1" xfId="0" applyFont="1" applyFill="1" applyBorder="1">
      <alignment vertical="center"/>
    </xf>
    <xf numFmtId="0" fontId="0" fillId="0" borderId="1" xfId="0" applyBorder="1" applyAlignment="1">
      <alignment vertical="center" wrapText="1"/>
    </xf>
    <xf numFmtId="0" fontId="0" fillId="0" borderId="1" xfId="0" applyBorder="1">
      <alignment vertical="center"/>
    </xf>
    <xf numFmtId="0" fontId="0" fillId="5" borderId="1" xfId="0" applyFill="1" applyBorder="1">
      <alignment vertical="center"/>
    </xf>
    <xf numFmtId="14" fontId="0" fillId="0" borderId="1" xfId="0" applyNumberFormat="1" applyBorder="1">
      <alignment vertical="center"/>
    </xf>
    <xf numFmtId="0" fontId="128" fillId="0" borderId="5" xfId="0" applyFont="1" applyBorder="1" applyAlignment="1" applyProtection="1">
      <alignment horizontal="center" vertical="center" wrapText="1"/>
      <protection locked="0"/>
    </xf>
    <xf numFmtId="0" fontId="113" fillId="5" borderId="32" xfId="0" applyFont="1" applyFill="1" applyBorder="1" applyAlignment="1" applyProtection="1">
      <alignment horizontal="righ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5" fillId="0" borderId="1" xfId="0" applyFont="1" applyBorder="1" applyAlignment="1">
      <alignment horizontal="center" vertical="center" wrapText="1"/>
    </xf>
    <xf numFmtId="0" fontId="0" fillId="0" borderId="1" xfId="0" applyBorder="1" applyAlignment="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73" fillId="12" borderId="0" xfId="0" applyFont="1" applyFill="1" applyAlignment="1" applyProtection="1">
      <alignment horizontal="center" vertical="center"/>
      <protection locked="0"/>
    </xf>
    <xf numFmtId="177" fontId="51" fillId="12" borderId="0" xfId="0" applyNumberFormat="1" applyFont="1" applyFill="1" applyAlignment="1" applyProtection="1">
      <alignment horizontal="center" vertical="center"/>
      <protection locked="0"/>
    </xf>
    <xf numFmtId="0" fontId="95" fillId="0" borderId="0" xfId="0" applyFont="1" applyFill="1" applyBorder="1" applyAlignment="1">
      <alignment vertical="center" wrapText="1"/>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7">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347521</xdr:colOff>
      <xdr:row>31</xdr:row>
      <xdr:rowOff>114300</xdr:rowOff>
    </xdr:to>
    <xdr:pic>
      <xdr:nvPicPr>
        <xdr:cNvPr id="2" name="图片 1">
          <a:extLst>
            <a:ext uri="{FF2B5EF4-FFF2-40B4-BE49-F238E27FC236}">
              <a16:creationId xmlns:a16="http://schemas.microsoft.com/office/drawing/2014/main" id="{941C2ED1-013B-08C5-42C9-81D804C6DF44}"/>
            </a:ext>
          </a:extLst>
        </xdr:cNvPr>
        <xdr:cNvPicPr>
          <a:picLocks noChangeAspect="1"/>
        </xdr:cNvPicPr>
      </xdr:nvPicPr>
      <xdr:blipFill>
        <a:blip xmlns:r="http://schemas.openxmlformats.org/officeDocument/2006/relationships" r:embed="rId1"/>
        <a:stretch>
          <a:fillRect/>
        </a:stretch>
      </xdr:blipFill>
      <xdr:spPr>
        <a:xfrm>
          <a:off x="0" y="0"/>
          <a:ext cx="7662721" cy="5783580"/>
        </a:xfrm>
        <a:prstGeom prst="rect">
          <a:avLst/>
        </a:prstGeom>
      </xdr:spPr>
    </xdr:pic>
    <xdr:clientData/>
  </xdr:twoCellAnchor>
  <xdr:twoCellAnchor editAs="oneCell">
    <xdr:from>
      <xdr:col>0</xdr:col>
      <xdr:colOff>0</xdr:colOff>
      <xdr:row>32</xdr:row>
      <xdr:rowOff>160020</xdr:rowOff>
    </xdr:from>
    <xdr:to>
      <xdr:col>13</xdr:col>
      <xdr:colOff>24608</xdr:colOff>
      <xdr:row>65</xdr:row>
      <xdr:rowOff>63782</xdr:rowOff>
    </xdr:to>
    <xdr:pic>
      <xdr:nvPicPr>
        <xdr:cNvPr id="3" name="图片 2">
          <a:extLst>
            <a:ext uri="{FF2B5EF4-FFF2-40B4-BE49-F238E27FC236}">
              <a16:creationId xmlns:a16="http://schemas.microsoft.com/office/drawing/2014/main" id="{98921502-ABB8-C0EE-FBE4-5725187A181A}"/>
            </a:ext>
          </a:extLst>
        </xdr:cNvPr>
        <xdr:cNvPicPr>
          <a:picLocks noChangeAspect="1"/>
        </xdr:cNvPicPr>
      </xdr:nvPicPr>
      <xdr:blipFill>
        <a:blip xmlns:r="http://schemas.openxmlformats.org/officeDocument/2006/relationships" r:embed="rId2"/>
        <a:stretch>
          <a:fillRect/>
        </a:stretch>
      </xdr:blipFill>
      <xdr:spPr>
        <a:xfrm>
          <a:off x="0" y="6012180"/>
          <a:ext cx="7949408" cy="5938802"/>
        </a:xfrm>
        <a:prstGeom prst="rect">
          <a:avLst/>
        </a:prstGeom>
      </xdr:spPr>
    </xdr:pic>
    <xdr:clientData/>
  </xdr:twoCellAnchor>
  <xdr:twoCellAnchor editAs="oneCell">
    <xdr:from>
      <xdr:col>0</xdr:col>
      <xdr:colOff>0</xdr:colOff>
      <xdr:row>66</xdr:row>
      <xdr:rowOff>22860</xdr:rowOff>
    </xdr:from>
    <xdr:to>
      <xdr:col>13</xdr:col>
      <xdr:colOff>123732</xdr:colOff>
      <xdr:row>98</xdr:row>
      <xdr:rowOff>31422</xdr:rowOff>
    </xdr:to>
    <xdr:pic>
      <xdr:nvPicPr>
        <xdr:cNvPr id="4" name="图片 3">
          <a:extLst>
            <a:ext uri="{FF2B5EF4-FFF2-40B4-BE49-F238E27FC236}">
              <a16:creationId xmlns:a16="http://schemas.microsoft.com/office/drawing/2014/main" id="{9C5CE595-DC37-E42C-5F04-B4A86D2D2C5E}"/>
            </a:ext>
          </a:extLst>
        </xdr:cNvPr>
        <xdr:cNvPicPr>
          <a:picLocks noChangeAspect="1"/>
        </xdr:cNvPicPr>
      </xdr:nvPicPr>
      <xdr:blipFill>
        <a:blip xmlns:r="http://schemas.openxmlformats.org/officeDocument/2006/relationships" r:embed="rId3"/>
        <a:stretch>
          <a:fillRect/>
        </a:stretch>
      </xdr:blipFill>
      <xdr:spPr>
        <a:xfrm>
          <a:off x="0" y="12092940"/>
          <a:ext cx="8048532" cy="5860722"/>
        </a:xfrm>
        <a:prstGeom prst="rect">
          <a:avLst/>
        </a:prstGeom>
      </xdr:spPr>
    </xdr:pic>
    <xdr:clientData/>
  </xdr:twoCellAnchor>
  <xdr:twoCellAnchor editAs="oneCell">
    <xdr:from>
      <xdr:col>15</xdr:col>
      <xdr:colOff>91440</xdr:colOff>
      <xdr:row>0</xdr:row>
      <xdr:rowOff>0</xdr:rowOff>
    </xdr:from>
    <xdr:to>
      <xdr:col>28</xdr:col>
      <xdr:colOff>111048</xdr:colOff>
      <xdr:row>30</xdr:row>
      <xdr:rowOff>55721</xdr:rowOff>
    </xdr:to>
    <xdr:pic>
      <xdr:nvPicPr>
        <xdr:cNvPr id="5" name="图片 4">
          <a:extLst>
            <a:ext uri="{FF2B5EF4-FFF2-40B4-BE49-F238E27FC236}">
              <a16:creationId xmlns:a16="http://schemas.microsoft.com/office/drawing/2014/main" id="{921D5042-A4F4-5CBF-D029-219CDB93435E}"/>
            </a:ext>
          </a:extLst>
        </xdr:cNvPr>
        <xdr:cNvPicPr>
          <a:picLocks noChangeAspect="1"/>
        </xdr:cNvPicPr>
      </xdr:nvPicPr>
      <xdr:blipFill>
        <a:blip xmlns:r="http://schemas.openxmlformats.org/officeDocument/2006/relationships" r:embed="rId4"/>
        <a:stretch>
          <a:fillRect/>
        </a:stretch>
      </xdr:blipFill>
      <xdr:spPr>
        <a:xfrm>
          <a:off x="9235440" y="0"/>
          <a:ext cx="7944408" cy="5542121"/>
        </a:xfrm>
        <a:prstGeom prst="rect">
          <a:avLst/>
        </a:prstGeom>
      </xdr:spPr>
    </xdr:pic>
    <xdr:clientData/>
  </xdr:twoCellAnchor>
  <xdr:twoCellAnchor editAs="oneCell">
    <xdr:from>
      <xdr:col>15</xdr:col>
      <xdr:colOff>0</xdr:colOff>
      <xdr:row>32</xdr:row>
      <xdr:rowOff>0</xdr:rowOff>
    </xdr:from>
    <xdr:to>
      <xdr:col>32</xdr:col>
      <xdr:colOff>446324</xdr:colOff>
      <xdr:row>73</xdr:row>
      <xdr:rowOff>159063</xdr:rowOff>
    </xdr:to>
    <xdr:pic>
      <xdr:nvPicPr>
        <xdr:cNvPr id="6" name="图片 5">
          <a:extLst>
            <a:ext uri="{FF2B5EF4-FFF2-40B4-BE49-F238E27FC236}">
              <a16:creationId xmlns:a16="http://schemas.microsoft.com/office/drawing/2014/main" id="{713860F8-CD54-92B6-F854-9E14B7415F45}"/>
            </a:ext>
          </a:extLst>
        </xdr:cNvPr>
        <xdr:cNvPicPr>
          <a:picLocks noChangeAspect="1"/>
        </xdr:cNvPicPr>
      </xdr:nvPicPr>
      <xdr:blipFill>
        <a:blip xmlns:r="http://schemas.openxmlformats.org/officeDocument/2006/relationships" r:embed="rId5"/>
        <a:stretch>
          <a:fillRect/>
        </a:stretch>
      </xdr:blipFill>
      <xdr:spPr>
        <a:xfrm>
          <a:off x="9144000" y="5852160"/>
          <a:ext cx="10809524" cy="7657143"/>
        </a:xfrm>
        <a:prstGeom prst="rect">
          <a:avLst/>
        </a:prstGeom>
      </xdr:spPr>
    </xdr:pic>
    <xdr:clientData/>
  </xdr:twoCellAnchor>
  <xdr:twoCellAnchor editAs="oneCell">
    <xdr:from>
      <xdr:col>14</xdr:col>
      <xdr:colOff>367598</xdr:colOff>
      <xdr:row>74</xdr:row>
      <xdr:rowOff>22860</xdr:rowOff>
    </xdr:from>
    <xdr:to>
      <xdr:col>29</xdr:col>
      <xdr:colOff>429179</xdr:colOff>
      <xdr:row>108</xdr:row>
      <xdr:rowOff>96232</xdr:rowOff>
    </xdr:to>
    <xdr:pic>
      <xdr:nvPicPr>
        <xdr:cNvPr id="7" name="图片 6">
          <a:extLst>
            <a:ext uri="{FF2B5EF4-FFF2-40B4-BE49-F238E27FC236}">
              <a16:creationId xmlns:a16="http://schemas.microsoft.com/office/drawing/2014/main" id="{684850A5-D07A-90D2-B3CB-B4BC8015AE4D}"/>
            </a:ext>
          </a:extLst>
        </xdr:cNvPr>
        <xdr:cNvPicPr>
          <a:picLocks noChangeAspect="1"/>
        </xdr:cNvPicPr>
      </xdr:nvPicPr>
      <xdr:blipFill>
        <a:blip xmlns:r="http://schemas.openxmlformats.org/officeDocument/2006/relationships" r:embed="rId6"/>
        <a:stretch>
          <a:fillRect/>
        </a:stretch>
      </xdr:blipFill>
      <xdr:spPr>
        <a:xfrm>
          <a:off x="8901998" y="13555980"/>
          <a:ext cx="9205581" cy="6291292"/>
        </a:xfrm>
        <a:prstGeom prst="rect">
          <a:avLst/>
        </a:prstGeom>
      </xdr:spPr>
    </xdr:pic>
    <xdr:clientData/>
  </xdr:twoCellAnchor>
  <xdr:twoCellAnchor editAs="oneCell">
    <xdr:from>
      <xdr:col>15</xdr:col>
      <xdr:colOff>36844</xdr:colOff>
      <xdr:row>110</xdr:row>
      <xdr:rowOff>15240</xdr:rowOff>
    </xdr:from>
    <xdr:to>
      <xdr:col>32</xdr:col>
      <xdr:colOff>366254</xdr:colOff>
      <xdr:row>146</xdr:row>
      <xdr:rowOff>162942</xdr:rowOff>
    </xdr:to>
    <xdr:pic>
      <xdr:nvPicPr>
        <xdr:cNvPr id="8" name="图片 7">
          <a:extLst>
            <a:ext uri="{FF2B5EF4-FFF2-40B4-BE49-F238E27FC236}">
              <a16:creationId xmlns:a16="http://schemas.microsoft.com/office/drawing/2014/main" id="{0EA7C36C-442F-329E-3614-7B7FEC5EACD4}"/>
            </a:ext>
          </a:extLst>
        </xdr:cNvPr>
        <xdr:cNvPicPr>
          <a:picLocks noChangeAspect="1"/>
        </xdr:cNvPicPr>
      </xdr:nvPicPr>
      <xdr:blipFill>
        <a:blip xmlns:r="http://schemas.openxmlformats.org/officeDocument/2006/relationships" r:embed="rId7"/>
        <a:stretch>
          <a:fillRect/>
        </a:stretch>
      </xdr:blipFill>
      <xdr:spPr>
        <a:xfrm>
          <a:off x="9180844" y="20132040"/>
          <a:ext cx="10692610" cy="67313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579120</xdr:colOff>
      <xdr:row>15</xdr:row>
      <xdr:rowOff>68580</xdr:rowOff>
    </xdr:from>
    <xdr:to>
      <xdr:col>21</xdr:col>
      <xdr:colOff>458156</xdr:colOff>
      <xdr:row>53</xdr:row>
      <xdr:rowOff>71521</xdr:rowOff>
    </xdr:to>
    <xdr:pic>
      <xdr:nvPicPr>
        <xdr:cNvPr id="2" name="图片 1">
          <a:extLst>
            <a:ext uri="{FF2B5EF4-FFF2-40B4-BE49-F238E27FC236}">
              <a16:creationId xmlns:a16="http://schemas.microsoft.com/office/drawing/2014/main" id="{D72D3B90-3CF4-608E-764D-B6B78F5C8137}"/>
            </a:ext>
          </a:extLst>
        </xdr:cNvPr>
        <xdr:cNvPicPr>
          <a:picLocks noChangeAspect="1"/>
        </xdr:cNvPicPr>
      </xdr:nvPicPr>
      <xdr:blipFill>
        <a:blip xmlns:r="http://schemas.openxmlformats.org/officeDocument/2006/relationships" r:embed="rId1"/>
        <a:stretch>
          <a:fillRect/>
        </a:stretch>
      </xdr:blipFill>
      <xdr:spPr>
        <a:xfrm>
          <a:off x="6736080" y="4183380"/>
          <a:ext cx="7590476" cy="6952381"/>
        </a:xfrm>
        <a:prstGeom prst="rect">
          <a:avLst/>
        </a:prstGeom>
      </xdr:spPr>
    </xdr:pic>
    <xdr:clientData/>
  </xdr:twoCellAnchor>
  <xdr:twoCellAnchor editAs="oneCell">
    <xdr:from>
      <xdr:col>22</xdr:col>
      <xdr:colOff>0</xdr:colOff>
      <xdr:row>0</xdr:row>
      <xdr:rowOff>0</xdr:rowOff>
    </xdr:from>
    <xdr:to>
      <xdr:col>35</xdr:col>
      <xdr:colOff>179962</xdr:colOff>
      <xdr:row>25</xdr:row>
      <xdr:rowOff>31569</xdr:rowOff>
    </xdr:to>
    <xdr:pic>
      <xdr:nvPicPr>
        <xdr:cNvPr id="3" name="图片 2">
          <a:extLst>
            <a:ext uri="{FF2B5EF4-FFF2-40B4-BE49-F238E27FC236}">
              <a16:creationId xmlns:a16="http://schemas.microsoft.com/office/drawing/2014/main" id="{200A8166-81AB-E514-6C2F-6B1C56731D06}"/>
            </a:ext>
          </a:extLst>
        </xdr:cNvPr>
        <xdr:cNvPicPr>
          <a:picLocks noChangeAspect="1"/>
        </xdr:cNvPicPr>
      </xdr:nvPicPr>
      <xdr:blipFill>
        <a:blip xmlns:r="http://schemas.openxmlformats.org/officeDocument/2006/relationships" r:embed="rId2"/>
        <a:stretch>
          <a:fillRect/>
        </a:stretch>
      </xdr:blipFill>
      <xdr:spPr>
        <a:xfrm>
          <a:off x="14691360" y="0"/>
          <a:ext cx="8104762" cy="65238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E:\2025\&#24402;&#26723;\2025-1-0212-P01-08-&#22825;&#28330;&#22253;8&#22871;&#21830;&#19994;&#21556;&#22992;&#20013;&#34892;&#22797;&#20272;\P01\&#26368;&#32456;\&#21830;&#19994;3&#27979;&#31639;&#34920;.xlsx" TargetMode="External"/><Relationship Id="rId1" Type="http://schemas.openxmlformats.org/officeDocument/2006/relationships/externalLinkPath" Target="file:///E:\2025\&#24402;&#26723;\2025-1-0212-P01-08-&#22825;&#28330;&#22253;8&#22871;&#21830;&#19994;&#21556;&#22992;&#20013;&#34892;&#22797;&#20272;\P01\&#26368;&#32456;\&#21830;&#19994;3&#27979;&#3163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信息"/>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K2">
            <v>2007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北京市朝阳区天溪园20号楼房地产抵押价值预评估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受贵公司委托，我公司对北京市朝阳区天溪园20号楼房地产抵押价值进行了预评估。</v>
      </c>
    </row>
    <row r="7" spans="1:2">
      <c r="A7" s="1119" t="s">
        <v>566</v>
      </c>
      <c r="B7" s="1120" t="str">
        <f>'预评函-1'!A7</f>
        <v>估价对象为北京市朝阳区天溪园20号楼房地产，为所有。根据《国有土地使用证》[]，估价对象（分摊）出让国有建设用地使用权面积为0平方米，建筑面积为165.09平方米。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天溪园20号楼房地产,属开发建设的商业项目，该项目尚在开发建设中。根据《国有土地使用证》[]，估价对象（分摊）出让国有建设用地使用权面积为0平方米，规划建筑面积为165.09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天溪园20号楼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2025年6月23日</v>
      </c>
    </row>
    <row r="13" spans="1:2">
      <c r="A13" s="1119" t="s">
        <v>529</v>
      </c>
      <c r="B13" s="1120" t="str">
        <f>'预评函-1'!A18</f>
        <v>本次估价的“房地产价值”是指在正常市场情况下，在价值时点2025年6月23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679</v>
      </c>
    </row>
    <row r="21" spans="1:2">
      <c r="A21" s="1119" t="s">
        <v>537</v>
      </c>
      <c r="B21" s="1120">
        <f ca="1">'预评函-2'!D7</f>
        <v>41135</v>
      </c>
    </row>
    <row r="22" spans="1:2">
      <c r="A22" s="1119" t="s">
        <v>538</v>
      </c>
      <c r="B22" s="1120" t="str">
        <f ca="1">'预评函-2'!D6</f>
        <v>陆佰柒拾玖万元整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679</v>
      </c>
    </row>
    <row r="31" spans="1:2">
      <c r="A31" s="1119" t="s">
        <v>576</v>
      </c>
      <c r="B31" s="1120">
        <f ca="1">'预评函-2'!D15</f>
        <v>41135</v>
      </c>
    </row>
    <row r="32" spans="1:2">
      <c r="A32" s="1119" t="s">
        <v>543</v>
      </c>
      <c r="B32" s="1120" t="str">
        <f ca="1">'预评函-2'!D14</f>
        <v>陆佰柒拾玖万元整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北京市朝阳区天溪园20号楼房地产</v>
      </c>
    </row>
    <row r="42" spans="1:2" ht="31.2">
      <c r="A42" s="1119" t="s">
        <v>590</v>
      </c>
      <c r="B42" s="1120" t="str">
        <f>'预评函-3'!B2</f>
        <v>建筑面积</v>
      </c>
    </row>
    <row r="43" spans="1:2">
      <c r="A43" s="1119" t="s">
        <v>591</v>
      </c>
      <c r="B43" s="1120">
        <f>'预评函-3'!B4</f>
        <v>165.09</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4" workbookViewId="0">
      <selection activeCell="B23" sqref="B23"/>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3346</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3332</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3333</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3334</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3335</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3336</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3337</v>
      </c>
    </row>
    <row r="8" spans="1:23">
      <c r="A8" s="1441" t="s">
        <v>1026</v>
      </c>
      <c r="B8" s="1441" t="s">
        <v>1027</v>
      </c>
      <c r="C8" s="1442" t="s">
        <v>319</v>
      </c>
      <c r="F8" s="1443" t="s">
        <v>1028</v>
      </c>
      <c r="H8" s="1443" t="s">
        <v>2573</v>
      </c>
      <c r="I8" s="1443" t="s">
        <v>3338</v>
      </c>
    </row>
    <row r="9" spans="1:23">
      <c r="A9" s="1441" t="s">
        <v>1029</v>
      </c>
      <c r="B9" s="1441" t="s">
        <v>1030</v>
      </c>
      <c r="C9" s="1442" t="s">
        <v>320</v>
      </c>
      <c r="F9" s="1443" t="s">
        <v>1031</v>
      </c>
      <c r="H9" s="1443"/>
      <c r="I9" s="1445" t="s">
        <v>3339</v>
      </c>
    </row>
    <row r="10" spans="1:23">
      <c r="A10" s="1441" t="s">
        <v>1032</v>
      </c>
      <c r="B10" s="1441" t="s">
        <v>1033</v>
      </c>
      <c r="C10" s="1442" t="s">
        <v>321</v>
      </c>
      <c r="F10" s="1443" t="s">
        <v>2574</v>
      </c>
      <c r="I10" s="1445" t="s">
        <v>3340</v>
      </c>
    </row>
    <row r="11" spans="1:23">
      <c r="A11" s="1441" t="s">
        <v>1034</v>
      </c>
      <c r="B11" s="1441" t="s">
        <v>1035</v>
      </c>
      <c r="C11" s="1442" t="s">
        <v>322</v>
      </c>
      <c r="F11" s="1443" t="s">
        <v>13</v>
      </c>
      <c r="I11" s="1445" t="s">
        <v>3341</v>
      </c>
    </row>
    <row r="12" spans="1:23">
      <c r="A12" s="1441" t="s">
        <v>1036</v>
      </c>
      <c r="B12" s="1441" t="s">
        <v>1037</v>
      </c>
      <c r="C12" s="1442" t="s">
        <v>323</v>
      </c>
      <c r="I12" s="1445" t="s">
        <v>3342</v>
      </c>
    </row>
    <row r="13" spans="1:23">
      <c r="A13" s="1441" t="s">
        <v>1038</v>
      </c>
      <c r="B13" s="1441" t="s">
        <v>1039</v>
      </c>
      <c r="C13" s="1442" t="s">
        <v>324</v>
      </c>
      <c r="I13" s="1445" t="s">
        <v>3343</v>
      </c>
    </row>
    <row r="14" spans="1:23">
      <c r="A14" s="1441" t="s">
        <v>1040</v>
      </c>
      <c r="B14" s="1441" t="s">
        <v>1041</v>
      </c>
      <c r="C14" s="1443" t="s">
        <v>13</v>
      </c>
      <c r="I14" s="1445" t="s">
        <v>3344</v>
      </c>
    </row>
    <row r="15" spans="1:23">
      <c r="A15" s="1441" t="s">
        <v>1042</v>
      </c>
      <c r="B15" s="1441" t="s">
        <v>1043</v>
      </c>
      <c r="C15" s="1442"/>
      <c r="I15" s="1445" t="s">
        <v>3345</v>
      </c>
    </row>
    <row r="16" spans="1:23">
      <c r="A16" s="1441" t="s">
        <v>1044</v>
      </c>
      <c r="B16" s="1441" t="s">
        <v>312</v>
      </c>
      <c r="C16" s="1442"/>
    </row>
    <row r="17" spans="1:3">
      <c r="A17" s="1441" t="s">
        <v>1045</v>
      </c>
      <c r="B17" s="1441" t="s">
        <v>2289</v>
      </c>
      <c r="C17" s="1442"/>
    </row>
    <row r="18" spans="1:3">
      <c r="A18" s="1441" t="s">
        <v>1046</v>
      </c>
      <c r="B18" s="1441" t="s">
        <v>2429</v>
      </c>
      <c r="C18" s="1442"/>
    </row>
    <row r="19" spans="1:3">
      <c r="A19" s="1441" t="s">
        <v>1047</v>
      </c>
      <c r="B19" s="1441" t="s">
        <v>3439</v>
      </c>
      <c r="C19" s="1442"/>
    </row>
    <row r="20" spans="1:3">
      <c r="A20" s="1441" t="s">
        <v>1048</v>
      </c>
      <c r="B20" s="1441" t="s">
        <v>3496</v>
      </c>
      <c r="C20" s="1442"/>
    </row>
    <row r="21" spans="1:3">
      <c r="A21" s="1441" t="s">
        <v>1049</v>
      </c>
      <c r="B21" s="1441" t="s">
        <v>3504</v>
      </c>
      <c r="C21" s="1442"/>
    </row>
    <row r="22" spans="1:3">
      <c r="A22" s="1441" t="s">
        <v>1050</v>
      </c>
      <c r="B22" s="1441" t="s">
        <v>3505</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天溪园20号楼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6"/>
      <c r="B54" s="1447" t="s">
        <v>385</v>
      </c>
      <c r="C54" s="1445" t="s">
        <v>583</v>
      </c>
    </row>
    <row r="55" spans="1:4">
      <c r="A55" s="3216"/>
      <c r="B55" s="1447" t="s">
        <v>386</v>
      </c>
      <c r="C55" s="1445" t="s">
        <v>584</v>
      </c>
    </row>
    <row r="56" spans="1:4">
      <c r="A56" s="3216"/>
      <c r="B56" s="1447" t="s">
        <v>387</v>
      </c>
      <c r="C56" s="1445" t="s">
        <v>588</v>
      </c>
    </row>
    <row r="57" spans="1:4">
      <c r="A57" s="321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2496</v>
      </c>
      <c r="B1" s="2755"/>
      <c r="C1" s="2755"/>
      <c r="D1" s="2755"/>
      <c r="E1" s="2755"/>
      <c r="F1" s="2756"/>
      <c r="I1" s="3133" t="s">
        <v>2589</v>
      </c>
      <c r="J1" s="2781"/>
      <c r="K1" s="2781"/>
      <c r="L1" s="2781"/>
      <c r="M1" s="2781"/>
      <c r="N1" s="2966"/>
      <c r="O1" s="2966"/>
      <c r="P1" s="2966"/>
      <c r="Q1" s="2966"/>
      <c r="R1" s="2966"/>
    </row>
    <row r="2" spans="1:18">
      <c r="A2" s="2758"/>
      <c r="B2" s="2759"/>
      <c r="C2" s="2759"/>
      <c r="D2" s="2759"/>
      <c r="E2" s="2759"/>
      <c r="F2" s="2760"/>
      <c r="I2" s="3217" t="s">
        <v>2576</v>
      </c>
      <c r="J2" s="3217"/>
      <c r="K2" s="3217"/>
      <c r="L2" s="3217"/>
      <c r="M2" s="3217"/>
      <c r="N2" s="3217"/>
      <c r="O2" s="3217"/>
      <c r="P2" s="3217"/>
      <c r="Q2" s="3217"/>
      <c r="R2" s="3217"/>
    </row>
    <row r="3" spans="1:18">
      <c r="A3" s="2761" t="s">
        <v>2497</v>
      </c>
      <c r="B3" s="2762">
        <f>项目基本情况!D3</f>
        <v>45831</v>
      </c>
      <c r="C3" s="2764"/>
      <c r="D3" s="2764"/>
      <c r="E3" s="2764"/>
      <c r="F3" s="2760"/>
      <c r="I3" s="2776"/>
      <c r="J3" s="2776" t="s">
        <v>2580</v>
      </c>
      <c r="K3" s="2776" t="s">
        <v>2581</v>
      </c>
      <c r="L3" s="2776" t="s">
        <v>2582</v>
      </c>
      <c r="M3" s="2776" t="s">
        <v>2583</v>
      </c>
      <c r="N3" s="3134" t="s">
        <v>2584</v>
      </c>
      <c r="O3" s="3134" t="s">
        <v>2585</v>
      </c>
      <c r="P3" s="3134" t="s">
        <v>2586</v>
      </c>
      <c r="Q3" s="3134" t="s">
        <v>2587</v>
      </c>
      <c r="R3" s="3134" t="s">
        <v>2588</v>
      </c>
    </row>
    <row r="4" spans="1:18">
      <c r="A4" s="2761" t="s">
        <v>2498</v>
      </c>
      <c r="B4" s="2764" t="s">
        <v>2499</v>
      </c>
      <c r="C4" s="2764" t="s">
        <v>2500</v>
      </c>
      <c r="D4" s="2764" t="s">
        <v>2501</v>
      </c>
      <c r="E4" s="2764" t="s">
        <v>2502</v>
      </c>
      <c r="F4" s="2760"/>
      <c r="I4" s="2776" t="s">
        <v>2577</v>
      </c>
      <c r="J4" s="2776">
        <v>80</v>
      </c>
      <c r="K4" s="2776">
        <v>70</v>
      </c>
      <c r="L4" s="2776">
        <v>20</v>
      </c>
      <c r="M4" s="2776">
        <v>30</v>
      </c>
      <c r="N4" s="2764">
        <v>45</v>
      </c>
      <c r="O4" s="2764">
        <v>60</v>
      </c>
      <c r="P4" s="2764">
        <v>50</v>
      </c>
      <c r="Q4" s="2764">
        <v>20</v>
      </c>
      <c r="R4" s="2764">
        <v>375</v>
      </c>
    </row>
    <row r="5" spans="1:18">
      <c r="A5" s="2765">
        <v>40</v>
      </c>
      <c r="B5" s="2762">
        <v>46375</v>
      </c>
      <c r="C5" s="2764">
        <f>ROUNDDOWN(MIN((B5-B3)/365,A5),2)</f>
        <v>1.49</v>
      </c>
      <c r="D5" s="2766">
        <f>IF(ISERROR(ROUND(POWER(1+E5,A5-C5)*(POWER(1+E5,C5)-1)/(POWER(1+E5,A5)-1),3)),0,ROUND(POWER(1+E5,A5-C5)*(POWER(1+E5,C5)-1)/(POWER(1+E5,A5)-1),4))</f>
        <v>7.17E-2</v>
      </c>
      <c r="E5" s="2767">
        <v>0.04</v>
      </c>
      <c r="F5" s="2760"/>
      <c r="I5" s="2776" t="s">
        <v>2578</v>
      </c>
      <c r="J5" s="2776">
        <v>70</v>
      </c>
      <c r="K5" s="2776">
        <v>60</v>
      </c>
      <c r="L5" s="2776">
        <v>15</v>
      </c>
      <c r="M5" s="2776">
        <v>25</v>
      </c>
      <c r="N5" s="2764">
        <v>40</v>
      </c>
      <c r="O5" s="2764">
        <v>50</v>
      </c>
      <c r="P5" s="2764">
        <v>40</v>
      </c>
      <c r="Q5" s="2764">
        <v>15</v>
      </c>
      <c r="R5" s="2764">
        <v>315</v>
      </c>
    </row>
    <row r="6" spans="1:18">
      <c r="A6" s="2765">
        <v>50</v>
      </c>
      <c r="B6" s="2762">
        <v>50028</v>
      </c>
      <c r="C6" s="2764">
        <f>ROUNDDOWN(MIN((B6-B3)/365,A6),2)</f>
        <v>11.49</v>
      </c>
      <c r="D6" s="2766">
        <f>IF(ISERROR(ROUND(POWER(1+E6,A6-C6)*(POWER(1+E6,C6)-1)/(POWER(1+E6,A6)-1),3)),0,ROUND(POWER(1+E6,A6-C6)*(POWER(1+E6,C6)-1)/(POWER(1+E6,A6)-1),4))</f>
        <v>0.42220000000000002</v>
      </c>
      <c r="E6" s="2767">
        <v>0.04</v>
      </c>
      <c r="F6" s="2760"/>
      <c r="I6" s="2776" t="s">
        <v>2579</v>
      </c>
      <c r="J6" s="2776">
        <v>60</v>
      </c>
      <c r="K6" s="2776">
        <v>50</v>
      </c>
      <c r="L6" s="2776">
        <v>10</v>
      </c>
      <c r="M6" s="2776">
        <v>20</v>
      </c>
      <c r="N6" s="2764">
        <v>35</v>
      </c>
      <c r="O6" s="2764">
        <v>40</v>
      </c>
      <c r="P6" s="2764">
        <v>30</v>
      </c>
      <c r="Q6" s="2764">
        <v>10</v>
      </c>
      <c r="R6" s="2764">
        <v>255</v>
      </c>
    </row>
    <row r="7" spans="1:18">
      <c r="A7" s="2765">
        <v>70</v>
      </c>
      <c r="B7" s="2762">
        <v>57333</v>
      </c>
      <c r="C7" s="2764">
        <f>ROUNDDOWN(MIN((B7-B3)/365,A7),2)</f>
        <v>31.51</v>
      </c>
      <c r="D7" s="2766">
        <f>IF(ISERROR(ROUND(POWER(1+E7,A7-C7)*(POWER(1+E7,C7)-1)/(POWER(1+E7,A7)-1),3)),0,ROUND(POWER(1+E7,A7-C7)*(POWER(1+E7,C7)-1)/(POWER(1+E7,A7)-1),4))</f>
        <v>0.7581</v>
      </c>
      <c r="E7" s="2767">
        <v>0.04</v>
      </c>
      <c r="F7" s="2760"/>
    </row>
    <row r="8" spans="1:18">
      <c r="A8" s="2758"/>
      <c r="B8" s="2759"/>
      <c r="C8" s="2759"/>
      <c r="D8" s="2759"/>
      <c r="E8" s="2759"/>
      <c r="F8" s="2760"/>
    </row>
    <row r="9" spans="1:18">
      <c r="A9" s="2761" t="s">
        <v>2503</v>
      </c>
      <c r="B9" s="2764"/>
      <c r="C9" s="2764"/>
      <c r="D9" s="2764"/>
      <c r="E9" s="2764"/>
      <c r="F9" s="2768"/>
    </row>
    <row r="10" spans="1:18">
      <c r="A10" s="2761" t="s">
        <v>2504</v>
      </c>
      <c r="B10" s="2764"/>
      <c r="C10" s="2764"/>
      <c r="D10" s="2764" t="s">
        <v>2502</v>
      </c>
      <c r="E10" s="2764"/>
      <c r="F10" s="2768" t="s">
        <v>2501</v>
      </c>
    </row>
    <row r="11" spans="1:18">
      <c r="A11" s="2761" t="s">
        <v>2505</v>
      </c>
      <c r="B11" s="2769">
        <v>70</v>
      </c>
      <c r="C11" s="2764" t="s">
        <v>2506</v>
      </c>
      <c r="D11" s="2769">
        <v>4.4999999999999998E-2</v>
      </c>
      <c r="E11" s="2764" t="s">
        <v>2507</v>
      </c>
      <c r="F11" s="2770">
        <f>ROUND(1-(1/(POWER(1+D11,B11))),4)</f>
        <v>0.95409999999999995</v>
      </c>
    </row>
    <row r="12" spans="1:18">
      <c r="A12" s="2761" t="s">
        <v>2508</v>
      </c>
      <c r="B12" s="2769">
        <v>40</v>
      </c>
      <c r="C12" s="2764" t="s">
        <v>2509</v>
      </c>
      <c r="D12" s="2769">
        <v>4.4999999999999998E-2</v>
      </c>
      <c r="E12" s="2764" t="s">
        <v>2510</v>
      </c>
      <c r="F12" s="2770">
        <f>ROUND(1-(1/(POWER(1+D12,B12))),4)</f>
        <v>0.82809999999999995</v>
      </c>
    </row>
    <row r="13" spans="1:18">
      <c r="A13" s="2761" t="s">
        <v>2511</v>
      </c>
      <c r="B13" s="2764"/>
      <c r="C13" s="2764"/>
      <c r="D13" s="2759"/>
      <c r="E13" s="2759"/>
      <c r="F13" s="2760"/>
    </row>
    <row r="14" spans="1:18">
      <c r="A14" s="2761" t="s">
        <v>2512</v>
      </c>
      <c r="B14" s="2769">
        <v>5000</v>
      </c>
      <c r="C14" s="2763"/>
      <c r="D14" s="2759"/>
      <c r="E14" s="2759"/>
      <c r="F14" s="2760"/>
    </row>
    <row r="15" spans="1:18">
      <c r="A15" s="2761" t="s">
        <v>2513</v>
      </c>
      <c r="B15" s="2764">
        <f>ROUND(B14*F12/F11,2)</f>
        <v>4339.6899999999996</v>
      </c>
      <c r="C15" s="2764">
        <f>ROUND(F12/F11,4)</f>
        <v>0.8679</v>
      </c>
      <c r="D15" s="2759"/>
      <c r="E15" s="2759"/>
      <c r="F15" s="2760"/>
    </row>
    <row r="16" spans="1:18">
      <c r="A16" s="2761" t="s">
        <v>2514</v>
      </c>
      <c r="B16" s="2764"/>
      <c r="C16" s="2764"/>
      <c r="D16" s="2759"/>
      <c r="E16" s="2759"/>
      <c r="F16" s="2760"/>
    </row>
    <row r="17" spans="1:14">
      <c r="A17" s="2761" t="s">
        <v>2513</v>
      </c>
      <c r="B17" s="2769">
        <v>4810</v>
      </c>
      <c r="C17" s="2763"/>
      <c r="D17" s="2759"/>
      <c r="E17" s="2759"/>
      <c r="F17" s="2760"/>
    </row>
    <row r="18" spans="1:14" ht="15" thickBot="1">
      <c r="A18" s="2771" t="s">
        <v>2512</v>
      </c>
      <c r="B18" s="2772">
        <f>ROUND(B17*F11/F12,2)</f>
        <v>5541.87</v>
      </c>
      <c r="C18" s="2772">
        <f>ROUND(F11/F12,4)</f>
        <v>1.1521999999999999</v>
      </c>
      <c r="D18" s="2773"/>
      <c r="E18" s="2773"/>
      <c r="F18" s="2774"/>
    </row>
    <row r="19" spans="1:14" ht="15" thickBot="1"/>
    <row r="20" spans="1:14" s="2807" customFormat="1" ht="15" thickTop="1">
      <c r="A20" s="2804" t="s">
        <v>2515</v>
      </c>
      <c r="B20" s="2805"/>
      <c r="C20" s="2805"/>
      <c r="D20" s="2805"/>
      <c r="E20" s="2805"/>
      <c r="F20" s="2805"/>
      <c r="G20" s="2806"/>
      <c r="I20" s="2808" t="s">
        <v>2560</v>
      </c>
      <c r="J20" s="2808" t="s">
        <v>2565</v>
      </c>
      <c r="K20" s="2808"/>
      <c r="L20" s="2808"/>
      <c r="M20" s="2808"/>
    </row>
    <row r="21" spans="1:14">
      <c r="A21" s="2775"/>
      <c r="B21" s="2776" t="s">
        <v>2516</v>
      </c>
      <c r="C21" s="2776" t="s">
        <v>2517</v>
      </c>
      <c r="D21" s="2776" t="s">
        <v>2518</v>
      </c>
      <c r="E21" s="2776" t="s">
        <v>2519</v>
      </c>
      <c r="F21" s="2776" t="s">
        <v>2520</v>
      </c>
      <c r="G21" s="2777" t="s">
        <v>2521</v>
      </c>
      <c r="I21" s="2798">
        <v>5</v>
      </c>
      <c r="J21" s="2798">
        <v>54.2</v>
      </c>
    </row>
    <row r="22" spans="1:14">
      <c r="A22" s="2775" t="s">
        <v>2522</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2523</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2563</v>
      </c>
      <c r="N23" s="3151" t="s">
        <v>2564</v>
      </c>
    </row>
    <row r="24" spans="1:14">
      <c r="A24" s="2775" t="s">
        <v>2524</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2562</v>
      </c>
      <c r="N24" s="3151">
        <v>10</v>
      </c>
    </row>
    <row r="25" spans="1:14">
      <c r="A25" s="2775" t="s">
        <v>2525</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2566</v>
      </c>
      <c r="N25" s="3151">
        <v>8</v>
      </c>
    </row>
    <row r="26" spans="1:14">
      <c r="A26" s="2780"/>
      <c r="B26" s="2781"/>
      <c r="C26" s="2781"/>
      <c r="D26" s="2781"/>
      <c r="E26" s="2781"/>
      <c r="F26" s="2781"/>
      <c r="G26" s="2782"/>
      <c r="I26" s="2798">
        <v>30</v>
      </c>
      <c r="J26" s="2798">
        <v>90.5</v>
      </c>
      <c r="K26" s="2798">
        <f t="shared" si="2"/>
        <v>4.2000000000000028</v>
      </c>
      <c r="L26" s="2798" t="s">
        <v>2567</v>
      </c>
      <c r="N26" s="3151">
        <v>5</v>
      </c>
    </row>
    <row r="27" spans="1:14">
      <c r="A27" s="2780" t="s">
        <v>2526</v>
      </c>
      <c r="B27" s="2781"/>
      <c r="C27" s="2781"/>
      <c r="D27" s="2781"/>
      <c r="E27" s="2781"/>
      <c r="F27" s="2781"/>
      <c r="G27" s="2782"/>
      <c r="I27" s="2798">
        <v>35</v>
      </c>
      <c r="J27" s="2798">
        <v>93.8</v>
      </c>
      <c r="K27" s="2798">
        <f t="shared" si="2"/>
        <v>3.2999999999999972</v>
      </c>
      <c r="L27" s="2798" t="s">
        <v>2568</v>
      </c>
      <c r="N27" s="3151">
        <v>3</v>
      </c>
    </row>
    <row r="28" spans="1:14">
      <c r="A28" s="2780" t="s">
        <v>2527</v>
      </c>
      <c r="B28" s="2781"/>
      <c r="C28" s="2781"/>
      <c r="D28" s="2781"/>
      <c r="E28" s="2781"/>
      <c r="F28" s="2781"/>
      <c r="G28" s="2782"/>
      <c r="I28" s="2798">
        <v>40</v>
      </c>
      <c r="J28" s="2798">
        <v>96.4</v>
      </c>
      <c r="K28" s="2798">
        <f t="shared" si="2"/>
        <v>2.6000000000000085</v>
      </c>
      <c r="L28" s="2798" t="s">
        <v>2569</v>
      </c>
      <c r="N28" s="3151">
        <v>2</v>
      </c>
    </row>
    <row r="29" spans="1:14">
      <c r="A29" s="2780" t="s">
        <v>2528</v>
      </c>
      <c r="B29" s="2781"/>
      <c r="C29" s="2781"/>
      <c r="D29" s="2781"/>
      <c r="E29" s="2781"/>
      <c r="F29" s="2781"/>
      <c r="G29" s="2782"/>
      <c r="I29" s="2798">
        <v>45</v>
      </c>
      <c r="J29" s="2798">
        <v>98.4</v>
      </c>
      <c r="K29" s="2798">
        <f t="shared" si="2"/>
        <v>2</v>
      </c>
    </row>
    <row r="30" spans="1:14">
      <c r="A30" s="2780" t="s">
        <v>2529</v>
      </c>
      <c r="B30" s="2781"/>
      <c r="C30" s="2781"/>
      <c r="D30" s="2781"/>
      <c r="E30" s="2781"/>
      <c r="F30" s="2781"/>
      <c r="G30" s="2782"/>
      <c r="I30" s="2798">
        <v>50</v>
      </c>
      <c r="J30" s="2798">
        <v>100</v>
      </c>
      <c r="K30" s="2798">
        <f t="shared" si="2"/>
        <v>1.5999999999999943</v>
      </c>
    </row>
    <row r="31" spans="1:14">
      <c r="A31" s="2780" t="s">
        <v>2530</v>
      </c>
      <c r="B31" s="2781"/>
      <c r="C31" s="2781"/>
      <c r="D31" s="2781"/>
      <c r="E31" s="2781"/>
      <c r="F31" s="2781"/>
      <c r="G31" s="2782"/>
      <c r="I31" s="2798" t="s">
        <v>2561</v>
      </c>
    </row>
    <row r="32" spans="1:14">
      <c r="A32" s="2780" t="s">
        <v>2531</v>
      </c>
      <c r="B32" s="2781"/>
      <c r="C32" s="2781"/>
      <c r="D32" s="2781"/>
      <c r="E32" s="2781"/>
      <c r="F32" s="2781"/>
      <c r="G32" s="2782"/>
    </row>
    <row r="33" spans="1:14">
      <c r="A33" s="2780" t="s">
        <v>2532</v>
      </c>
      <c r="B33" s="2781"/>
      <c r="C33" s="2781"/>
      <c r="D33" s="2781"/>
      <c r="E33" s="2781"/>
      <c r="F33" s="2781"/>
      <c r="G33" s="2782"/>
      <c r="I33" s="2798" t="s">
        <v>2560</v>
      </c>
      <c r="J33" s="2798" t="s">
        <v>2570</v>
      </c>
    </row>
    <row r="34" spans="1:14">
      <c r="A34" s="2780" t="s">
        <v>2533</v>
      </c>
      <c r="B34" s="2781"/>
      <c r="C34" s="2781"/>
      <c r="D34" s="2781"/>
      <c r="E34" s="2781"/>
      <c r="F34" s="2781"/>
      <c r="G34" s="2782"/>
      <c r="I34" s="2798">
        <v>5</v>
      </c>
      <c r="J34" s="2798">
        <v>55.1</v>
      </c>
    </row>
    <row r="35" spans="1:14">
      <c r="A35" s="2780" t="s">
        <v>2534</v>
      </c>
      <c r="B35" s="2781"/>
      <c r="C35" s="2781"/>
      <c r="D35" s="2781"/>
      <c r="E35" s="2781"/>
      <c r="F35" s="2781"/>
      <c r="G35" s="2782"/>
      <c r="I35" s="2798">
        <v>10</v>
      </c>
      <c r="J35" s="2798">
        <v>67</v>
      </c>
      <c r="K35" s="2798">
        <f>J35-J34</f>
        <v>11.899999999999999</v>
      </c>
    </row>
    <row r="36" spans="1:14">
      <c r="A36" s="2780" t="s">
        <v>2535</v>
      </c>
      <c r="B36" s="2781"/>
      <c r="C36" s="2781"/>
      <c r="D36" s="2781"/>
      <c r="E36" s="2781"/>
      <c r="F36" s="2781"/>
      <c r="G36" s="2782"/>
      <c r="I36" s="2798">
        <v>15</v>
      </c>
      <c r="J36" s="2798">
        <v>76.3</v>
      </c>
      <c r="K36" s="2798">
        <f t="shared" ref="K36:K41" si="3">J36-J35</f>
        <v>9.2999999999999972</v>
      </c>
      <c r="L36" s="2798" t="s">
        <v>2563</v>
      </c>
      <c r="N36" s="3151" t="s">
        <v>2564</v>
      </c>
    </row>
    <row r="37" spans="1:14">
      <c r="A37" s="2780" t="s">
        <v>2536</v>
      </c>
      <c r="B37" s="2781"/>
      <c r="C37" s="2781"/>
      <c r="D37" s="2781"/>
      <c r="E37" s="2781"/>
      <c r="F37" s="2781"/>
      <c r="G37" s="2782"/>
      <c r="I37" s="2798">
        <v>20</v>
      </c>
      <c r="J37" s="2798">
        <v>83.6</v>
      </c>
      <c r="K37" s="2798">
        <f t="shared" si="3"/>
        <v>7.2999999999999972</v>
      </c>
      <c r="L37" s="2798" t="s">
        <v>2562</v>
      </c>
      <c r="N37" s="3151">
        <v>10</v>
      </c>
    </row>
    <row r="38" spans="1:14">
      <c r="A38" s="2780" t="s">
        <v>2537</v>
      </c>
      <c r="B38" s="2781"/>
      <c r="C38" s="2781"/>
      <c r="D38" s="2781"/>
      <c r="E38" s="2781"/>
      <c r="F38" s="2781"/>
      <c r="G38" s="2782"/>
      <c r="I38" s="2798">
        <v>25</v>
      </c>
      <c r="J38" s="2798">
        <v>89.3</v>
      </c>
      <c r="K38" s="2798">
        <f t="shared" si="3"/>
        <v>5.7000000000000028</v>
      </c>
      <c r="L38" s="2798" t="s">
        <v>2566</v>
      </c>
      <c r="N38" s="3151">
        <v>8</v>
      </c>
    </row>
    <row r="39" spans="1:14">
      <c r="A39" s="2780"/>
      <c r="B39" s="2781"/>
      <c r="C39" s="2781"/>
      <c r="D39" s="2781"/>
      <c r="E39" s="2781"/>
      <c r="F39" s="2781"/>
      <c r="G39" s="2782"/>
      <c r="I39" s="2798">
        <v>30</v>
      </c>
      <c r="J39" s="2798">
        <v>93.8</v>
      </c>
      <c r="K39" s="2798">
        <f t="shared" si="3"/>
        <v>4.5</v>
      </c>
      <c r="L39" s="2798" t="s">
        <v>2567</v>
      </c>
      <c r="N39" s="3151">
        <v>6</v>
      </c>
    </row>
    <row r="40" spans="1:14">
      <c r="A40" s="2783" t="s">
        <v>2538</v>
      </c>
      <c r="B40" s="2784"/>
      <c r="C40" s="2784"/>
      <c r="D40" s="2784"/>
      <c r="E40" s="2784"/>
      <c r="F40" s="2784"/>
      <c r="G40" s="2785"/>
      <c r="I40" s="2798">
        <v>35</v>
      </c>
      <c r="J40" s="2798">
        <v>97.2</v>
      </c>
      <c r="K40" s="2798">
        <f t="shared" si="3"/>
        <v>3.4000000000000057</v>
      </c>
      <c r="L40" s="2798" t="s">
        <v>2568</v>
      </c>
      <c r="N40" s="3151">
        <v>3</v>
      </c>
    </row>
    <row r="41" spans="1:14">
      <c r="A41" s="2786" t="s">
        <v>2539</v>
      </c>
      <c r="B41" s="2787" t="s">
        <v>2540</v>
      </c>
      <c r="C41" s="2788" t="s">
        <v>2541</v>
      </c>
      <c r="D41" s="2788" t="s">
        <v>2542</v>
      </c>
      <c r="E41" s="2789"/>
      <c r="F41" s="2790"/>
      <c r="G41" s="2791"/>
      <c r="I41" s="2798">
        <v>40</v>
      </c>
      <c r="J41" s="2798">
        <v>100</v>
      </c>
      <c r="K41" s="2798">
        <f t="shared" si="3"/>
        <v>2.7999999999999972</v>
      </c>
    </row>
    <row r="42" spans="1:14">
      <c r="A42" s="2786" t="s">
        <v>2543</v>
      </c>
      <c r="B42" s="2787" t="s">
        <v>2544</v>
      </c>
      <c r="C42" s="2788" t="s">
        <v>2545</v>
      </c>
      <c r="D42" s="2792" t="s">
        <v>2546</v>
      </c>
      <c r="E42" s="2784" t="s">
        <v>2547</v>
      </c>
      <c r="F42" s="2784"/>
      <c r="G42" s="2785"/>
    </row>
    <row r="43" spans="1:14">
      <c r="A43" s="2786" t="s">
        <v>2548</v>
      </c>
      <c r="B43" s="2787" t="s">
        <v>2549</v>
      </c>
      <c r="C43" s="2788" t="s">
        <v>2550</v>
      </c>
      <c r="D43" s="2788" t="s">
        <v>2551</v>
      </c>
      <c r="E43" s="2789" t="s">
        <v>2552</v>
      </c>
      <c r="F43" s="2790"/>
      <c r="G43" s="2791"/>
      <c r="I43" s="2798" t="s">
        <v>2560</v>
      </c>
      <c r="J43" s="2798" t="s">
        <v>2571</v>
      </c>
    </row>
    <row r="44" spans="1:14">
      <c r="A44" s="2786" t="s">
        <v>2553</v>
      </c>
      <c r="B44" s="2787" t="s">
        <v>2554</v>
      </c>
      <c r="C44" s="2788" t="s">
        <v>2555</v>
      </c>
      <c r="D44" s="2792">
        <v>0.5</v>
      </c>
      <c r="E44" s="2789" t="s">
        <v>2556</v>
      </c>
      <c r="F44" s="2790"/>
      <c r="G44" s="2791"/>
      <c r="I44" s="2798">
        <v>30</v>
      </c>
      <c r="J44" s="2798">
        <v>81.7</v>
      </c>
    </row>
    <row r="45" spans="1:14" ht="15" thickBot="1">
      <c r="A45" s="2793" t="s">
        <v>2557</v>
      </c>
      <c r="B45" s="2794" t="s">
        <v>2544</v>
      </c>
      <c r="C45" s="2795" t="s">
        <v>2544</v>
      </c>
      <c r="D45" s="2795" t="s">
        <v>2558</v>
      </c>
      <c r="E45" s="2796" t="s">
        <v>2559</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3382</v>
      </c>
    </row>
    <row r="50" spans="1:4">
      <c r="A50" s="3143" t="s">
        <v>3383</v>
      </c>
      <c r="B50" s="3143" t="s">
        <v>3384</v>
      </c>
      <c r="C50" s="3143" t="s">
        <v>3385</v>
      </c>
      <c r="D50" s="3143" t="s">
        <v>3386</v>
      </c>
    </row>
    <row r="51" spans="1:4">
      <c r="A51" s="3143" t="s">
        <v>3387</v>
      </c>
      <c r="B51" s="2763">
        <f>B52+B53</f>
        <v>15000</v>
      </c>
      <c r="C51" s="3144">
        <f>D51/B51</f>
        <v>2666.6666666666665</v>
      </c>
      <c r="D51" s="2763">
        <f>D52+D53</f>
        <v>40000000</v>
      </c>
    </row>
    <row r="52" spans="1:4">
      <c r="A52" s="3145" t="s">
        <v>3388</v>
      </c>
      <c r="B52" s="3146">
        <v>10000</v>
      </c>
      <c r="C52" s="3146">
        <v>1500</v>
      </c>
      <c r="D52" s="3147">
        <f>C52*B52</f>
        <v>15000000</v>
      </c>
    </row>
    <row r="53" spans="1:4">
      <c r="A53" s="3145" t="s">
        <v>3389</v>
      </c>
      <c r="B53" s="3146">
        <v>5000</v>
      </c>
      <c r="C53" s="3146">
        <v>5000</v>
      </c>
      <c r="D53" s="3147">
        <f>C53*B53</f>
        <v>25000000</v>
      </c>
    </row>
    <row r="54" spans="1:4">
      <c r="A54" s="3143" t="s">
        <v>3390</v>
      </c>
      <c r="B54" s="2763">
        <f>B51</f>
        <v>15000</v>
      </c>
      <c r="C54" s="2769">
        <v>700</v>
      </c>
      <c r="D54" s="2763">
        <f t="shared" ref="D54:D55" si="5">C54*B54</f>
        <v>10500000</v>
      </c>
    </row>
    <row r="55" spans="1:4">
      <c r="A55" s="3143" t="s">
        <v>3391</v>
      </c>
      <c r="B55" s="2763">
        <f>B51</f>
        <v>15000</v>
      </c>
      <c r="C55" s="2769">
        <v>1500</v>
      </c>
      <c r="D55" s="2763">
        <f t="shared" si="5"/>
        <v>22500000</v>
      </c>
    </row>
    <row r="56" spans="1:4">
      <c r="A56" s="3143" t="s">
        <v>3392</v>
      </c>
      <c r="B56" s="2763">
        <f>B51</f>
        <v>15000</v>
      </c>
      <c r="C56" s="3148">
        <f>C51+C54+C55</f>
        <v>4866.6666666666661</v>
      </c>
      <c r="D56" s="2763">
        <f>D51+D54+D55</f>
        <v>73000000</v>
      </c>
    </row>
    <row r="58" spans="1:4">
      <c r="A58" s="3143" t="s">
        <v>3393</v>
      </c>
      <c r="B58" s="3149">
        <v>0.05</v>
      </c>
      <c r="C58" s="2763">
        <f>C56*(1+B58)</f>
        <v>5110</v>
      </c>
      <c r="D58" s="2763">
        <f>D56*B58</f>
        <v>3650000</v>
      </c>
    </row>
    <row r="60" spans="1:4">
      <c r="A60" s="3143" t="s">
        <v>3394</v>
      </c>
      <c r="B60" s="2769">
        <v>3500</v>
      </c>
      <c r="C60" s="2769">
        <f>C53</f>
        <v>5000</v>
      </c>
      <c r="D60" s="2763">
        <f>C60*B60</f>
        <v>17500000</v>
      </c>
    </row>
    <row r="62" spans="1:4">
      <c r="A62" s="3143" t="s">
        <v>3395</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E5" sqref="E5"/>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2164</v>
      </c>
      <c r="B1" s="3225" t="str">
        <f>IF(B10="北京市","北京市",C10)&amp;F10&amp;IF(结果表1层!G1="在建","出让国有建设用地使用权及在建建筑物",IF(结果表1层!G1="土地","出让国有建设用地使用权",))&amp;B9&amp;"预评估"</f>
        <v>北京市朝阳区天溪园20号楼房地产抵押价值预评估</v>
      </c>
      <c r="C1" s="3226"/>
      <c r="D1" s="3226"/>
      <c r="E1" s="3226"/>
      <c r="F1" s="3226"/>
      <c r="G1" s="3226"/>
      <c r="H1" s="3226"/>
      <c r="I1" s="3227"/>
      <c r="J1" s="2244"/>
      <c r="K1" s="2182"/>
      <c r="L1" s="2183"/>
      <c r="M1" s="2183"/>
      <c r="N1" s="2181"/>
      <c r="O1" s="1466"/>
      <c r="P1" s="2181"/>
      <c r="Q1" s="2181"/>
      <c r="R1" s="2181"/>
      <c r="S1" s="1561" t="str">
        <f>IF(B10="北京市","北京市",C10)&amp;F10&amp;IF(结果表1层!G1="在建","出让国有建设用地使用权及在建建筑物房地产抵押价值",IF(结果表1层!G1="土地","出让国有建设用地使用权抵押价值",B9))</f>
        <v>北京市朝阳区天溪园20号楼房地产抵押价值</v>
      </c>
      <c r="T1" s="1618"/>
      <c r="U1" s="1618"/>
      <c r="V1" s="1618"/>
      <c r="W1" s="1618"/>
      <c r="X1" s="1618"/>
      <c r="Y1" s="1618"/>
      <c r="Z1" s="1618"/>
      <c r="AA1" s="1618"/>
      <c r="AB1" s="1618"/>
    </row>
    <row r="2" spans="1:30">
      <c r="A2" s="2181" t="s">
        <v>2165</v>
      </c>
      <c r="B2" s="122"/>
      <c r="D2" s="2446"/>
      <c r="E2" s="2440"/>
      <c r="F2" s="2440"/>
      <c r="G2" s="2441"/>
      <c r="H2" s="2441"/>
      <c r="I2" s="2441"/>
      <c r="J2" s="2244"/>
      <c r="K2" s="2182"/>
      <c r="L2" s="2183"/>
      <c r="M2" s="2183"/>
      <c r="N2" s="2181"/>
      <c r="O2" s="1466"/>
      <c r="P2" s="2181"/>
      <c r="Q2" s="2181"/>
      <c r="R2" s="2181"/>
      <c r="S2" s="1561" t="str">
        <f>IF(B10="北京市","北京市",C10)&amp;F10&amp;IF(结果表1层!G1="在建","出让国有建设用地使用权及在建建筑物房地产",IF(结果表1层!G1="土地","出让国有建设用地使用权","房地产"))</f>
        <v>北京市朝阳区天溪园20号楼房地产</v>
      </c>
      <c r="T2" s="1618"/>
      <c r="U2" s="1618"/>
      <c r="V2" s="1618"/>
      <c r="W2" s="1618"/>
      <c r="X2" s="1618"/>
      <c r="Y2" s="1618"/>
      <c r="Z2" s="1618"/>
      <c r="AA2" s="1618"/>
      <c r="AB2" s="1618"/>
    </row>
    <row r="3" spans="1:30">
      <c r="A3" s="294" t="s">
        <v>2166</v>
      </c>
      <c r="B3" s="2184"/>
      <c r="C3" s="2185" t="s">
        <v>2167</v>
      </c>
      <c r="D3" s="2184">
        <v>45831</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8" thickBot="1">
      <c r="A4" s="1027" t="s">
        <v>2168</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6"/>
      <c r="P4" s="2181"/>
      <c r="Q4" s="2181"/>
      <c r="R4" s="2181"/>
      <c r="S4" s="1561"/>
      <c r="T4" s="1618"/>
      <c r="U4" s="1618"/>
      <c r="V4" s="1618"/>
      <c r="W4" s="1618"/>
      <c r="X4" s="1618"/>
      <c r="Y4" s="1618"/>
      <c r="Z4" s="1618"/>
      <c r="AA4" s="1618"/>
      <c r="AB4" s="1618"/>
    </row>
    <row r="5" spans="1:30" ht="13.8" thickTop="1">
      <c r="A5" s="2189" t="s">
        <v>2169</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2170</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2171</v>
      </c>
      <c r="B7" s="2197"/>
      <c r="C7" s="2195"/>
      <c r="D7" s="2196"/>
      <c r="E7" s="2440"/>
      <c r="F7" s="2441"/>
      <c r="G7" s="2441"/>
      <c r="H7" s="2441"/>
      <c r="I7" s="2441"/>
      <c r="J7" s="2244"/>
      <c r="K7" s="2401"/>
      <c r="L7" s="2398"/>
      <c r="M7" s="2398"/>
      <c r="N7" s="2244"/>
      <c r="O7" s="1670"/>
      <c r="P7" s="2244"/>
      <c r="Q7" s="2244"/>
      <c r="R7" s="2244"/>
    </row>
    <row r="8" spans="1:30">
      <c r="A8" s="2198" t="s">
        <v>2172</v>
      </c>
      <c r="B8" s="2199" t="s">
        <v>3407</v>
      </c>
      <c r="C8" s="2200"/>
      <c r="D8" s="3228" t="s">
        <v>2173</v>
      </c>
      <c r="E8" s="2201" t="s">
        <v>3408</v>
      </c>
      <c r="F8" s="2202"/>
      <c r="G8" s="2441"/>
      <c r="H8" s="2441"/>
      <c r="I8" s="2441"/>
      <c r="J8" s="2244"/>
      <c r="K8" s="2399"/>
      <c r="L8" s="2398"/>
      <c r="M8" s="2398"/>
      <c r="N8" s="2244"/>
      <c r="O8" s="1670"/>
      <c r="P8" s="2244"/>
      <c r="Q8" s="2244"/>
      <c r="R8" s="2244"/>
    </row>
    <row r="9" spans="1:30" ht="13.8" thickBot="1">
      <c r="A9" s="2203" t="s">
        <v>2174</v>
      </c>
      <c r="B9" s="2204" t="s">
        <v>3408</v>
      </c>
      <c r="C9" s="2205"/>
      <c r="D9" s="3229"/>
      <c r="E9" s="2204" t="s">
        <v>43</v>
      </c>
      <c r="F9" s="2206"/>
      <c r="G9" s="2442"/>
      <c r="H9" s="2442"/>
      <c r="I9" s="2442"/>
      <c r="J9" s="2244"/>
      <c r="K9" s="2401"/>
      <c r="L9" s="2398"/>
      <c r="M9" s="2398"/>
      <c r="N9" s="2244"/>
      <c r="O9" s="1670"/>
      <c r="P9" s="2244"/>
      <c r="Q9" s="2244"/>
      <c r="R9" s="2244"/>
    </row>
    <row r="10" spans="1:30" ht="13.8" thickTop="1">
      <c r="A10" s="2207" t="s">
        <v>2175</v>
      </c>
      <c r="B10" s="2208" t="s">
        <v>3409</v>
      </c>
      <c r="C10" s="2209"/>
      <c r="D10" s="2192"/>
      <c r="E10" s="2210" t="s">
        <v>2176</v>
      </c>
      <c r="F10" s="3161" t="s">
        <v>3411</v>
      </c>
      <c r="G10" s="2443"/>
      <c r="H10" s="2444"/>
      <c r="I10" s="2445"/>
      <c r="J10" s="2244"/>
      <c r="K10" s="2401"/>
      <c r="L10" s="2398"/>
      <c r="M10" s="2398"/>
      <c r="N10" s="2244"/>
      <c r="O10" s="1670"/>
      <c r="P10" s="2244"/>
      <c r="Q10" s="2244"/>
      <c r="R10" s="2244"/>
    </row>
    <row r="11" spans="1:30">
      <c r="A11" s="2211" t="s">
        <v>2177</v>
      </c>
      <c r="B11" s="2212" t="s">
        <v>3410</v>
      </c>
      <c r="C11" s="2213"/>
      <c r="D11" s="2214"/>
      <c r="E11" s="2181"/>
      <c r="F11" s="2181"/>
      <c r="G11" s="2181"/>
      <c r="H11" s="2181"/>
      <c r="I11" s="2181"/>
      <c r="J11" s="2800"/>
      <c r="K11" s="2398"/>
      <c r="L11" s="2398"/>
      <c r="M11" s="2398"/>
      <c r="N11" s="2244"/>
      <c r="O11" s="1670"/>
      <c r="P11" s="2244"/>
      <c r="Q11" s="2244"/>
      <c r="R11" s="2244"/>
    </row>
    <row r="12" spans="1:30">
      <c r="A12" s="2215" t="s">
        <v>2178</v>
      </c>
      <c r="B12" s="315" t="s">
        <v>2179</v>
      </c>
      <c r="C12" s="2216" t="s">
        <v>2180</v>
      </c>
      <c r="D12" s="2216" t="s">
        <v>2181</v>
      </c>
      <c r="E12" s="2216" t="s">
        <v>2182</v>
      </c>
      <c r="F12" s="2216" t="s">
        <v>2183</v>
      </c>
      <c r="G12" s="2216" t="s">
        <v>2184</v>
      </c>
      <c r="H12" s="2216" t="s">
        <v>2185</v>
      </c>
      <c r="I12" s="2799" t="s">
        <v>2572</v>
      </c>
      <c r="J12" s="2801"/>
      <c r="K12" s="2398"/>
      <c r="L12" s="2398"/>
      <c r="M12" s="2244"/>
      <c r="N12" s="1670"/>
      <c r="O12" s="2244"/>
      <c r="P12" s="2244"/>
      <c r="Q12" s="2244"/>
      <c r="AD12" s="1618"/>
    </row>
    <row r="13" spans="1:30">
      <c r="A13" s="3120" t="s">
        <v>3328</v>
      </c>
      <c r="B13" s="2217" t="s">
        <v>2186</v>
      </c>
      <c r="C13" s="803"/>
      <c r="D13" s="803">
        <v>52298</v>
      </c>
      <c r="E13" s="803"/>
      <c r="F13" s="803"/>
      <c r="G13" s="803"/>
      <c r="H13" s="803"/>
      <c r="I13" s="803"/>
      <c r="J13" s="2801"/>
      <c r="K13" s="2398"/>
      <c r="L13" s="2398"/>
      <c r="M13" s="2244"/>
      <c r="N13" s="1670"/>
      <c r="O13" s="2244"/>
      <c r="P13" s="2244"/>
      <c r="Q13" s="2244"/>
      <c r="AD13" s="1618"/>
    </row>
    <row r="14" spans="1:30">
      <c r="A14" s="1018"/>
      <c r="B14" s="2217" t="s">
        <v>2187</v>
      </c>
      <c r="C14" s="2218"/>
      <c r="D14" s="2218">
        <v>40</v>
      </c>
      <c r="E14" s="2218"/>
      <c r="F14" s="2218"/>
      <c r="G14" s="2218"/>
      <c r="H14" s="2218"/>
      <c r="I14" s="2218"/>
      <c r="J14" s="2802"/>
      <c r="K14" s="2398"/>
      <c r="L14" s="2398"/>
      <c r="M14" s="2244"/>
      <c r="N14" s="1670"/>
      <c r="O14" s="2244"/>
      <c r="P14" s="2244"/>
      <c r="Q14" s="2244"/>
      <c r="AD14" s="1618"/>
    </row>
    <row r="15" spans="1:30">
      <c r="A15" s="312"/>
      <c r="B15" s="2219" t="s">
        <v>2188</v>
      </c>
      <c r="C15" s="2220" t="str">
        <f>IF(A13="出让",IF(C13="","",ROUNDDOWN(MIN((C13-$D$3)/365,C14),2)),C14)</f>
        <v/>
      </c>
      <c r="D15" s="2220">
        <f>IF(A13="出让",IF(D13="","",ROUNDDOWN(MIN((D13-$D$3)/365,D14),2)),D14)</f>
        <v>17.71</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0" t="s">
        <v>2189</v>
      </c>
      <c r="B16" s="3235"/>
      <c r="C16" s="3236"/>
      <c r="D16" s="3237"/>
      <c r="E16" s="2221" t="s">
        <v>2190</v>
      </c>
      <c r="F16" s="3238"/>
      <c r="G16" s="3239"/>
      <c r="H16" s="3239"/>
      <c r="I16" s="3240"/>
      <c r="J16" s="2244"/>
      <c r="K16" s="2402"/>
      <c r="L16" s="1670"/>
      <c r="M16" s="1670"/>
      <c r="N16" s="2244"/>
      <c r="O16" s="1670"/>
      <c r="P16" s="2244"/>
      <c r="Q16" s="2244"/>
      <c r="R16" s="2244"/>
    </row>
    <row r="17" spans="1:28">
      <c r="A17" s="305" t="s">
        <v>2191</v>
      </c>
      <c r="B17" s="294" t="s">
        <v>2192</v>
      </c>
      <c r="C17" s="8">
        <f>'数据-汇总表'!E3</f>
        <v>165.09</v>
      </c>
      <c r="D17" s="1256" t="s">
        <v>2193</v>
      </c>
      <c r="E17" s="3241" t="s">
        <v>2194</v>
      </c>
      <c r="F17" s="3242"/>
      <c r="G17" s="3242"/>
      <c r="H17" s="3242"/>
      <c r="I17" s="3243"/>
      <c r="J17" s="2244"/>
      <c r="K17" s="2403"/>
      <c r="L17" s="1670"/>
      <c r="M17" s="1670"/>
      <c r="N17" s="2244"/>
      <c r="O17" s="1670"/>
      <c r="P17" s="2244"/>
      <c r="Q17" s="2244"/>
      <c r="R17" s="2244"/>
      <c r="S17" s="2244"/>
      <c r="T17" s="2244"/>
      <c r="U17" s="2244"/>
      <c r="V17" s="2244"/>
    </row>
    <row r="18" spans="1:28" ht="24.6" thickBot="1">
      <c r="A18" s="2222" t="s">
        <v>2195</v>
      </c>
      <c r="B18" s="1027" t="s">
        <v>2196</v>
      </c>
      <c r="C18" s="2223">
        <f>'数据-汇总表'!D3</f>
        <v>0</v>
      </c>
      <c r="D18" s="1029" t="s">
        <v>2197</v>
      </c>
      <c r="E18" s="3244" t="s">
        <v>2198</v>
      </c>
      <c r="F18" s="3245"/>
      <c r="G18" s="3245"/>
      <c r="H18" s="3245"/>
      <c r="I18" s="3246"/>
      <c r="J18" s="2244"/>
      <c r="K18" s="2403"/>
      <c r="L18" s="1670"/>
      <c r="M18" s="1670"/>
      <c r="N18" s="2244"/>
      <c r="O18" s="1670"/>
      <c r="P18" s="2244"/>
      <c r="Q18" s="2244"/>
      <c r="R18" s="2244"/>
      <c r="S18" s="2244"/>
      <c r="T18" s="2244"/>
      <c r="U18" s="2244"/>
      <c r="V18" s="2244"/>
    </row>
    <row r="19" spans="1:28" ht="37.200000000000003" thickTop="1" thickBot="1">
      <c r="A19" s="319" t="s">
        <v>1055</v>
      </c>
      <c r="B19" s="299" t="s">
        <v>2199</v>
      </c>
      <c r="C19" s="1455"/>
      <c r="D19" s="1456" t="s">
        <v>2200</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2201</v>
      </c>
      <c r="B20" s="3231" t="s">
        <v>2202</v>
      </c>
      <c r="C20" s="3232"/>
      <c r="D20" s="3233" t="s">
        <v>2203</v>
      </c>
      <c r="E20" s="3234"/>
      <c r="F20" s="2429" t="s">
        <v>1056</v>
      </c>
      <c r="G20" s="2441"/>
      <c r="H20" s="2441"/>
      <c r="I20" s="2441"/>
      <c r="J20" s="2244"/>
      <c r="K20" s="3230" t="s">
        <v>2204</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6"/>
      <c r="B21" s="2417" t="s">
        <v>2205</v>
      </c>
      <c r="C21" s="2295" t="s">
        <v>1057</v>
      </c>
      <c r="D21" s="1460" t="s">
        <v>2206</v>
      </c>
      <c r="E21" s="2418" t="s">
        <v>1057</v>
      </c>
      <c r="F21" s="2430"/>
      <c r="G21" s="2441"/>
      <c r="H21" s="2441"/>
      <c r="I21" s="2441"/>
      <c r="J21" s="2244"/>
      <c r="K21" s="323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36.6" thickBot="1">
      <c r="A22" s="2416"/>
      <c r="B22" s="2419" t="s">
        <v>2207</v>
      </c>
      <c r="C22" s="2295" t="s">
        <v>1058</v>
      </c>
      <c r="D22" s="2441"/>
      <c r="E22" s="2441"/>
      <c r="F22" s="2441"/>
      <c r="G22" s="2441"/>
      <c r="H22" s="2441"/>
      <c r="I22" s="2441"/>
      <c r="J22" s="2244"/>
      <c r="K22" s="3230"/>
      <c r="L22" s="646" t="str">
        <f>IF(E19="否","",IF(结果表1层!D36="同一抵押权人同一抵押物续贷","由于本次评估为同一抵押权人的续贷房地产抵押估价，故未将已抵押担保的债权数额（"&amp;C26&amp;"）作为法定优先受偿款予以扣减。",IF(结果表1层!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2208</v>
      </c>
      <c r="B23" s="2292" t="s">
        <v>2209</v>
      </c>
      <c r="C23" s="2421"/>
      <c r="D23" s="2422" t="s">
        <v>2209</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19" t="s">
        <v>2210</v>
      </c>
      <c r="B27" s="312" t="s">
        <v>2211</v>
      </c>
      <c r="C27" s="2224" t="s">
        <v>3413</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19"/>
      <c r="B28" s="294" t="s">
        <v>2212</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19"/>
      <c r="B29" s="294" t="s">
        <v>2213</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20"/>
      <c r="B30" s="294" t="s">
        <v>2214</v>
      </c>
      <c r="C30" s="3221"/>
      <c r="D30" s="3222"/>
      <c r="E30" s="2441"/>
      <c r="F30" s="2441"/>
      <c r="G30" s="2441"/>
      <c r="H30" s="2441"/>
      <c r="I30" s="2441"/>
      <c r="J30" s="2244"/>
      <c r="K30" s="2401"/>
      <c r="L30" s="2398"/>
      <c r="M30" s="2398"/>
      <c r="N30" s="2244"/>
      <c r="O30" s="1670"/>
      <c r="P30" s="2244"/>
      <c r="Q30" s="2244"/>
      <c r="R30" s="2244"/>
      <c r="S30" s="2244"/>
      <c r="T30" s="2244"/>
      <c r="U30" s="2244"/>
      <c r="V30" s="2244"/>
    </row>
    <row r="31" spans="1:28">
      <c r="A31" s="3223" t="s">
        <v>2215</v>
      </c>
      <c r="B31" s="2230" t="s">
        <v>3412</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24"/>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24"/>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2216</v>
      </c>
      <c r="B34" s="1870"/>
      <c r="C34" s="1870"/>
      <c r="D34" s="1870"/>
      <c r="E34" s="1870"/>
      <c r="F34" s="1870"/>
      <c r="G34" s="1870"/>
      <c r="H34" s="1870"/>
      <c r="I34" s="2441"/>
      <c r="J34" s="2244"/>
      <c r="K34" s="8">
        <f>COUNTIF(B34:H34,"——")</f>
        <v>0</v>
      </c>
      <c r="L34" s="315" t="s">
        <v>2217</v>
      </c>
      <c r="M34" s="315" t="s">
        <v>2218</v>
      </c>
      <c r="N34" s="315" t="s">
        <v>2219</v>
      </c>
      <c r="O34" s="315" t="s">
        <v>2220</v>
      </c>
      <c r="P34" s="315" t="s">
        <v>2221</v>
      </c>
      <c r="Q34" s="315" t="s">
        <v>2222</v>
      </c>
      <c r="R34" s="315" t="s">
        <v>2223</v>
      </c>
      <c r="S34" s="3218" t="s">
        <v>2224</v>
      </c>
      <c r="T34" s="315" t="str">
        <f>NUMBERSTRING(7-K34,1)&amp;"通"</f>
        <v>七通</v>
      </c>
      <c r="U34" s="2244"/>
      <c r="V34" s="2244"/>
    </row>
    <row r="35" spans="1:30">
      <c r="A35" s="2235"/>
      <c r="B35" s="3218" t="s">
        <v>2225</v>
      </c>
      <c r="C35" s="3218"/>
      <c r="D35" s="3218"/>
      <c r="E35" s="3218"/>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8"/>
      <c r="T35" s="138" t="str">
        <f>IF(T34="一通",L35,IF(T34="二通",M35,IF(T34="三通",N35,IF(T34="四通",O35,IF(T34="五通",P35,IF(T34="六通",Q35,R35))))))</f>
        <v>、、、、、、</v>
      </c>
      <c r="U35" s="2244"/>
      <c r="V35" s="2244"/>
    </row>
    <row r="36" spans="1:30">
      <c r="A36" s="2182"/>
      <c r="B36" s="8" t="s">
        <v>2181</v>
      </c>
      <c r="C36" s="8" t="s">
        <v>2182</v>
      </c>
      <c r="D36" s="8" t="s">
        <v>2180</v>
      </c>
      <c r="E36" s="8" t="s">
        <v>2185</v>
      </c>
      <c r="F36" s="2799" t="s">
        <v>2575</v>
      </c>
      <c r="G36" s="2441"/>
      <c r="H36" s="2441"/>
      <c r="I36" s="2441"/>
      <c r="J36" s="2244"/>
      <c r="K36" s="2401"/>
      <c r="L36" s="2398"/>
      <c r="M36" s="2398"/>
      <c r="N36" s="2244"/>
      <c r="O36" s="1670"/>
      <c r="P36" s="2244"/>
      <c r="Q36" s="2244"/>
      <c r="R36" s="2244"/>
      <c r="S36" s="2244"/>
      <c r="T36" s="2244"/>
      <c r="U36" s="2244"/>
      <c r="V36" s="2244"/>
    </row>
    <row r="37" spans="1:30">
      <c r="A37" s="2414" t="s">
        <v>2226</v>
      </c>
      <c r="B37" s="2236" t="s">
        <v>303</v>
      </c>
      <c r="C37" s="2236"/>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2227</v>
      </c>
      <c r="B38" s="2237" t="s">
        <v>2979</v>
      </c>
      <c r="C38" s="2237"/>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2228</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70"/>
      <c r="M40" s="1670"/>
      <c r="N40" s="2244"/>
      <c r="O40" s="1670"/>
      <c r="P40" s="2244"/>
      <c r="Q40" s="2244"/>
      <c r="R40" s="2244"/>
      <c r="S40" s="2244"/>
      <c r="T40" s="2244"/>
      <c r="U40" s="2244"/>
      <c r="V40" s="2244"/>
    </row>
    <row r="41" spans="1:30">
      <c r="A41" s="2241" t="s">
        <v>2229</v>
      </c>
      <c r="B41" s="1627"/>
      <c r="C41" s="1281"/>
      <c r="D41" s="2181"/>
      <c r="E41" s="2181"/>
      <c r="F41" s="2181"/>
      <c r="G41" s="2181"/>
      <c r="H41" s="2181"/>
      <c r="I41" s="1466"/>
      <c r="J41" s="2244"/>
      <c r="K41" s="2401"/>
      <c r="L41" s="2398"/>
      <c r="M41" s="2398"/>
      <c r="N41" s="2244"/>
      <c r="O41" s="1670"/>
      <c r="P41" s="2244"/>
      <c r="Q41" s="2244"/>
      <c r="R41" s="2244"/>
      <c r="S41" s="2244"/>
      <c r="T41" s="2244"/>
      <c r="U41" s="2244"/>
      <c r="V41" s="2244"/>
    </row>
    <row r="42" spans="1:30" ht="25.2">
      <c r="A42" s="315" t="s">
        <v>2230</v>
      </c>
      <c r="B42" s="8" t="s">
        <v>2231</v>
      </c>
      <c r="C42" s="8" t="s">
        <v>2232</v>
      </c>
      <c r="D42" s="8" t="s">
        <v>2233</v>
      </c>
      <c r="E42" s="8" t="s">
        <v>2234</v>
      </c>
      <c r="F42" s="8" t="s">
        <v>2235</v>
      </c>
      <c r="G42" s="8" t="s">
        <v>2236</v>
      </c>
      <c r="H42" s="8" t="s">
        <v>2237</v>
      </c>
      <c r="I42" s="8" t="s">
        <v>2238</v>
      </c>
      <c r="J42" s="2410" t="s">
        <v>2239</v>
      </c>
      <c r="K42" s="2411" t="s">
        <v>2240</v>
      </c>
      <c r="L42" s="2411" t="s">
        <v>2241</v>
      </c>
      <c r="M42" s="2411" t="s">
        <v>2242</v>
      </c>
      <c r="N42" s="2404" t="s">
        <v>2243</v>
      </c>
      <c r="O42" s="2404" t="s">
        <v>2244</v>
      </c>
      <c r="P42" s="2404" t="s">
        <v>2245</v>
      </c>
      <c r="Q42" s="2405" t="s">
        <v>2246</v>
      </c>
      <c r="R42" s="2405" t="s">
        <v>2247</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956.34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956.34</v>
      </c>
      <c r="H5" s="13">
        <f t="shared" ref="H5:AT5" si="0">SUM(H13:H656)</f>
        <v>956.34</v>
      </c>
      <c r="I5" s="13">
        <f t="shared" si="0"/>
        <v>956.34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165.09</v>
      </c>
      <c r="BA5" s="15">
        <f t="shared" si="1"/>
        <v>165.09</v>
      </c>
      <c r="BB5" s="15">
        <f t="shared" si="1"/>
        <v>165.09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3415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t="s">
        <v>3416</v>
      </c>
      <c r="D13" s="1513" t="s">
        <v>3414</v>
      </c>
      <c r="E13" s="13">
        <f>IF($C$3="是",ROUND($A$3*G13/$B$3,2),ROUND($A$3*(G13-AT13)/$B$3,2))</f>
        <v>0</v>
      </c>
      <c r="F13" s="29"/>
      <c r="G13" s="30">
        <f>H13+AC13+AT13</f>
        <v>165.09</v>
      </c>
      <c r="H13" s="17">
        <f>SUMIF(I$12:AB$12,"总值",I13:AB13)</f>
        <v>165.09</v>
      </c>
      <c r="I13" s="1514">
        <v>165.09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1层商业21</v>
      </c>
      <c r="AY13" s="1260">
        <f>ROUND($AY$6*AZ13/$AZ$5,2)</f>
        <v>0</v>
      </c>
      <c r="AZ13" s="13">
        <f>BA13+BL13</f>
        <v>165.09</v>
      </c>
      <c r="BA13" s="13">
        <f>SUM(BB13:BK13)</f>
        <v>165.09</v>
      </c>
      <c r="BB13" s="13">
        <f>IF($D13="是",I13-J13,0)</f>
        <v>165.09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t="s">
        <v>3510</v>
      </c>
      <c r="D14" s="1513"/>
      <c r="E14" s="13">
        <f>IF($C$3="是",ROUND($A$3*G14/$B$3,2),ROUND($A$3*(G14-AT14)/$B$3,2))</f>
        <v>0</v>
      </c>
      <c r="F14" s="29"/>
      <c r="G14" s="30">
        <f>H14+AC14+AT14</f>
        <v>177.63</v>
      </c>
      <c r="H14" s="17">
        <f>SUMIF(I$12:AB$12,"总值",I14:AB14)</f>
        <v>177.63</v>
      </c>
      <c r="I14" s="1514">
        <v>177.63</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t="str">
        <f t="shared" si="6"/>
        <v>2层商业32</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t="s">
        <v>3511</v>
      </c>
      <c r="D15" s="1513"/>
      <c r="E15" s="13">
        <f>IF($C$3="是",ROUND($A$3*G15/$B$3,2),ROUND($A$3*(G15-AT15)/$B$3,2))</f>
        <v>0</v>
      </c>
      <c r="F15" s="29"/>
      <c r="G15" s="30">
        <f>H15+AC15+AT15</f>
        <v>212.29</v>
      </c>
      <c r="H15" s="17">
        <f>SUMIF(I$12:AB$12,"总值",I15:AB15)</f>
        <v>212.29</v>
      </c>
      <c r="I15" s="1514">
        <v>212.29</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t="str">
        <f t="shared" si="6"/>
        <v>2层商业36</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t="s">
        <v>3506</v>
      </c>
      <c r="D16" s="1513"/>
      <c r="E16" s="13">
        <f>IF($C$3="是",ROUND($A$3*G16/$B$3,2),ROUND($A$3*(G16-AT16)/$B$3,2))</f>
        <v>0</v>
      </c>
      <c r="F16" s="29"/>
      <c r="G16" s="30">
        <f>H16+AC16+AT16</f>
        <v>186.71</v>
      </c>
      <c r="H16" s="17">
        <f>SUMIF(I$12:AB$12,"总值",I16:AB16)</f>
        <v>186.71</v>
      </c>
      <c r="I16" s="1514">
        <v>186.71</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t="str">
        <f t="shared" si="6"/>
        <v>2层商业37</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t="s">
        <v>3507</v>
      </c>
      <c r="D17" s="1513"/>
      <c r="E17" s="13">
        <f>IF($C$3="是",ROUND($A$3*G17/$B$3,2),ROUND($A$3*(G17-AT17)/$B$3,2))</f>
        <v>0</v>
      </c>
      <c r="F17" s="29"/>
      <c r="G17" s="30">
        <f>H17+AC17+AT17</f>
        <v>214.62</v>
      </c>
      <c r="H17" s="17">
        <f>SUMIF(I$12:AB$12,"总值",I17:AB17)</f>
        <v>214.62</v>
      </c>
      <c r="I17" s="1514">
        <v>214.62</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t="str">
        <f t="shared" si="6"/>
        <v>2层商业40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H20" sqref="H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6" t="s">
        <v>1131</v>
      </c>
      <c r="B2" s="3256"/>
      <c r="C2" s="3256"/>
      <c r="D2" s="748" t="s">
        <v>1107</v>
      </c>
      <c r="E2" s="1523" t="s">
        <v>1108</v>
      </c>
      <c r="F2" s="2438"/>
      <c r="G2" s="2431"/>
      <c r="H2" s="2432"/>
      <c r="I2" s="2145" t="s">
        <v>1132</v>
      </c>
      <c r="J2" s="2438"/>
      <c r="K2" s="2438"/>
      <c r="L2" s="2438"/>
      <c r="M2" s="2438"/>
      <c r="N2" s="2439"/>
      <c r="O2" s="2438"/>
      <c r="P2" s="2438"/>
    </row>
    <row r="3" spans="1:16" ht="15" thickBot="1">
      <c r="A3" s="3257" t="s">
        <v>1105</v>
      </c>
      <c r="B3" s="3257"/>
      <c r="C3" s="3257"/>
      <c r="D3" s="41">
        <f>'数据-基础表'!AY6</f>
        <v>0</v>
      </c>
      <c r="E3" s="41">
        <f>'数据-基础表'!AZ5</f>
        <v>165.09</v>
      </c>
      <c r="F3" s="2438"/>
      <c r="G3" s="42"/>
      <c r="H3" s="43" t="s">
        <v>1106</v>
      </c>
      <c r="I3" s="802" t="e">
        <f>ROUND('数据-基础表'!B3/'数据-基础表'!A3,2)</f>
        <v>#DIV/0!</v>
      </c>
      <c r="J3" s="2438"/>
      <c r="K3" s="2438"/>
      <c r="L3" s="2438"/>
      <c r="M3" s="2438"/>
      <c r="N3" s="2439"/>
      <c r="O3" s="2438"/>
      <c r="P3" s="2438"/>
    </row>
    <row r="4" spans="1:16" ht="14.4">
      <c r="A4" s="3258"/>
      <c r="B4" s="3259"/>
      <c r="C4" s="3260"/>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61" t="s">
        <v>1110</v>
      </c>
      <c r="C5" s="3261"/>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1" t="s">
        <v>1111</v>
      </c>
      <c r="C6" s="3261"/>
      <c r="D6" s="43">
        <f>ROUND($D$3*E6/$E$3,2)</f>
        <v>0</v>
      </c>
      <c r="E6" s="44">
        <f>E3-E5</f>
        <v>165.09</v>
      </c>
      <c r="F6" s="2438"/>
      <c r="G6" s="1529" t="s">
        <v>1112</v>
      </c>
      <c r="H6" s="45" t="s">
        <v>1113</v>
      </c>
      <c r="I6" s="2434" t="e">
        <f>ROUND(F31/D31,2)</f>
        <v>#DIV/0!</v>
      </c>
      <c r="J6" s="2438"/>
      <c r="K6" s="2438"/>
      <c r="L6" s="2438"/>
      <c r="M6" s="2438"/>
      <c r="N6" s="2438"/>
      <c r="O6" s="2438"/>
      <c r="P6" s="2438"/>
    </row>
    <row r="7" spans="1:16" ht="15" thickBot="1">
      <c r="A7" s="3253"/>
      <c r="B7" s="3254"/>
      <c r="C7" s="3255"/>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165.09</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165.09</v>
      </c>
      <c r="F16" s="2438"/>
      <c r="G16" s="2438"/>
      <c r="H16" s="1531" t="s">
        <v>1135</v>
      </c>
      <c r="I16" s="1532"/>
      <c r="J16" s="1071"/>
      <c r="K16" s="3250" t="s">
        <v>1135</v>
      </c>
      <c r="L16" s="3251"/>
      <c r="M16" s="3251"/>
      <c r="N16" s="3251"/>
      <c r="O16" s="3251"/>
      <c r="P16" s="3252"/>
    </row>
    <row r="17" spans="1:19" ht="14.4">
      <c r="A17" s="1533" t="s">
        <v>1136</v>
      </c>
      <c r="B17" s="1534" t="s">
        <v>1137</v>
      </c>
      <c r="C17" s="1535" t="s">
        <v>1138</v>
      </c>
      <c r="D17" s="1536" t="s">
        <v>1126</v>
      </c>
      <c r="E17" s="1537" t="s">
        <v>1127</v>
      </c>
      <c r="F17" s="1538"/>
      <c r="G17" s="1539"/>
      <c r="H17" s="1540" t="s">
        <v>1139</v>
      </c>
      <c r="I17" s="1541" t="s">
        <v>1124</v>
      </c>
      <c r="J17" s="1071"/>
      <c r="K17" s="3247" t="s">
        <v>1140</v>
      </c>
      <c r="L17" s="3248"/>
      <c r="M17" s="3249"/>
      <c r="N17" s="3247" t="s">
        <v>1141</v>
      </c>
      <c r="O17" s="3248"/>
      <c r="P17" s="3249"/>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3418</v>
      </c>
      <c r="D19" s="43">
        <f>ROUND($D$3*E19/$E$3,2)</f>
        <v>0</v>
      </c>
      <c r="E19" s="51">
        <f t="shared" ref="E19:E26" si="1">SUM(F19:G19)</f>
        <v>165.09</v>
      </c>
      <c r="F19" s="2556">
        <f>'数据-基础表'!G13</f>
        <v>165.09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165.09</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165.09</v>
      </c>
      <c r="F27" s="1072">
        <f>IF(SUM(F19:F26)=E8,SUM(F19:F26),"地上面积有误")</f>
        <v>165.09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165.09</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165.09</v>
      </c>
      <c r="F31" s="644">
        <f>F27+F30</f>
        <v>165.09</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2" priority="1" stopIfTrue="1" operator="containsText" text="面积有误">
      <formula>NOT(ISERROR(SEARCH("面积有误",E27)))</formula>
    </cfRule>
    <cfRule type="cellIs" dxfId="171" priority="3" stopIfTrue="1" operator="equal">
      <formula>"地下面积有误"</formula>
    </cfRule>
  </conditionalFormatting>
  <conditionalFormatting sqref="F27">
    <cfRule type="cellIs" dxfId="170"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AL10" sqref="AL10"/>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45831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3420</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1层商业21</v>
      </c>
      <c r="B6" s="1587" t="str">
        <f>IF(A6=0,"","经营性")</f>
        <v>经营性</v>
      </c>
      <c r="C6" s="1588" t="s">
        <v>673</v>
      </c>
      <c r="D6" s="805">
        <f>SUMIF(项目基本情况!C$12:I$12,C6,项目基本情况!C$14:I$14)</f>
        <v>40</v>
      </c>
      <c r="E6" s="804">
        <f>IF(B6="","",SUMIF(项目基本情况!C$12:I$12,C6,项目基本情况!C$13:I$13))</f>
        <v>52298</v>
      </c>
      <c r="F6" s="61">
        <f>SUMIF(项目基本情况!C$12:I$12,C6,项目基本情况!C$15:I$15)</f>
        <v>17.71</v>
      </c>
      <c r="G6" s="62">
        <f>IF(ISERROR(ROUND(POWER(1+H6,D6-F6)*(POWER(1+H6,F6)-1)/(POWER(1+H6,D6)-1),3)),0,ROUND(POWER(1+H6,D6-F6)*(POWER(1+H6,F6)-1)/(POWER(1+H6,D6)-1),3))</f>
        <v>0.67400000000000004</v>
      </c>
      <c r="H6" s="691">
        <v>0.05</v>
      </c>
      <c r="I6" s="691">
        <v>5.5E-2</v>
      </c>
      <c r="J6" s="63">
        <v>7.0000000000000007E-2</v>
      </c>
      <c r="K6" s="970">
        <f>SUMIF('数据-汇总表'!C$19:C$33,A6,'数据-汇总表'!E$19:E$33)</f>
        <v>165.09</v>
      </c>
      <c r="L6" s="692">
        <v>3000</v>
      </c>
      <c r="M6" s="64">
        <f t="shared" ref="M6:M14" si="0">ROUND(K6*L6/10000,0)</f>
        <v>50</v>
      </c>
      <c r="N6" s="690">
        <f>N19</f>
        <v>0.7</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5">
        <v>7</v>
      </c>
      <c r="V6" s="67">
        <v>0.02</v>
      </c>
      <c r="W6" s="67">
        <v>0.1</v>
      </c>
      <c r="X6" s="979"/>
      <c r="Y6" s="68">
        <f>N6</f>
        <v>0.7</v>
      </c>
      <c r="Z6" s="69"/>
      <c r="AA6" s="63"/>
      <c r="AB6" s="63"/>
      <c r="AC6" s="979"/>
      <c r="AD6" s="70"/>
      <c r="AE6" s="980">
        <f ca="1">IF(AN6="",0,SUMIF(INDIRECT("'"&amp;AN6&amp;"'"&amp;"!E:E"),$AE$5,INDIRECT("'"&amp;AN6&amp;"'"&amp;"!F:F")))</f>
        <v>17.71</v>
      </c>
      <c r="AF6" s="74"/>
      <c r="AG6" s="130">
        <f>IF(AF6="",0,AE6-AF6)</f>
        <v>0</v>
      </c>
      <c r="AH6" s="71"/>
      <c r="AI6" s="73">
        <v>365</v>
      </c>
      <c r="AJ6" s="74"/>
      <c r="AK6" s="75">
        <v>0.01</v>
      </c>
      <c r="AL6" s="76">
        <v>1E-3</v>
      </c>
      <c r="AM6" s="77">
        <v>0.01</v>
      </c>
      <c r="AN6" s="1589" t="s">
        <v>3421</v>
      </c>
      <c r="AO6" s="50">
        <f ca="1">SUMIF(INDIRECT("'"&amp;AN6&amp;"'"&amp;"!A:A"),"总价",INDIRECT("'"&amp;AN6&amp;"'"&amp;"!B:B"))</f>
        <v>400.10180000000003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t="e">
        <f t="shared" ref="AE7:AE13" ca="1" si="6">IF(AN7="",0,SUMIF(INDIRECT("'"&amp;AN7&amp;"'"&amp;"!E:E"),$AE$5,INDIRECT("'"&amp;AN7&amp;"'"&amp;"!F:F")))</f>
        <v>#N/A</v>
      </c>
      <c r="AF7" s="74"/>
      <c r="AG7" s="130">
        <f t="shared" ref="AG7:AG13" si="7">IF(AF7="",0,AE7-AF7)</f>
        <v>0</v>
      </c>
      <c r="AH7" s="71"/>
      <c r="AI7" s="73">
        <v>365</v>
      </c>
      <c r="AJ7" s="74"/>
      <c r="AK7" s="75"/>
      <c r="AL7" s="76"/>
      <c r="AM7" s="77"/>
      <c r="AN7" s="1589" t="s">
        <v>3438</v>
      </c>
      <c r="AO7" s="50" t="e">
        <f t="shared" ref="AO7:AO13" ca="1" si="8">SUMIF(INDIRECT("'"&amp;AN7&amp;"'"&amp;"!A:A"),"总价",INDIRECT("'"&amp;AN7&amp;"'"&amp;"!B:B"))</f>
        <v>#N/A</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0.67400000000000004</v>
      </c>
      <c r="H16" s="84">
        <f>ROUND(SUMPRODUCT(H6:H13,K6:K13)/SUMPRODUCT((H6:H13&gt;0)*(K6:K13)),3)</f>
        <v>0.05</v>
      </c>
      <c r="I16" s="85"/>
      <c r="J16" s="85"/>
      <c r="K16" s="86">
        <f>SUM(K6:K15)</f>
        <v>165.09</v>
      </c>
      <c r="L16" s="87">
        <f>ROUND(M16*10000/SUM(K6:K14),0)</f>
        <v>3029</v>
      </c>
      <c r="M16" s="87">
        <f>SUM(M6:M14)</f>
        <v>50</v>
      </c>
      <c r="N16" s="88">
        <f>ROUND(SUMPRODUCT(M6:M14,N6:N14)/M16,3)</f>
        <v>0.7</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62" t="s">
        <v>3419</v>
      </c>
      <c r="N18" s="2447">
        <f>[2]信息!$K$2</f>
        <v>2007</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2298</v>
      </c>
      <c r="D19" s="2450"/>
      <c r="E19" s="2438"/>
      <c r="F19" s="2438"/>
      <c r="G19" s="2438"/>
      <c r="H19" s="2438"/>
      <c r="I19" s="2438"/>
      <c r="J19" s="2438"/>
      <c r="K19" s="2448"/>
      <c r="L19" s="2448"/>
      <c r="M19" s="2447"/>
      <c r="N19" s="2447">
        <f>ROUND(1-(1-0)*(2025-N18)/60,2)</f>
        <v>0.7</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1</v>
      </c>
      <c r="C20" s="2560" t="s">
        <v>2296</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1</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1</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1</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2300</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2290</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3378</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2291</v>
      </c>
      <c r="D34" s="2458" t="s">
        <v>2297</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2292</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3396</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3379</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3380</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2306</v>
      </c>
      <c r="B40" s="1015">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6.000000000000001E-3</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7.0000000000000007E-2</v>
      </c>
      <c r="C44" s="2563" t="s">
        <v>3381</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2293</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2294</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2301</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2293</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2295</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3</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303</v>
      </c>
      <c r="C53" s="2439" t="s">
        <v>1246</v>
      </c>
      <c r="D53" s="2564" t="s">
        <v>2299</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f>C58</f>
        <v>3</v>
      </c>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62" t="s">
        <v>2282</v>
      </c>
      <c r="B1" s="3263"/>
      <c r="C1" s="3263"/>
      <c r="D1" s="3263"/>
      <c r="E1" s="3263"/>
      <c r="F1" s="3263"/>
      <c r="G1" s="3263"/>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2277</v>
      </c>
      <c r="D2" s="1595"/>
      <c r="E2" s="2259"/>
      <c r="F2" s="2262"/>
      <c r="G2" s="2261" t="s">
        <v>2278</v>
      </c>
      <c r="H2" s="751"/>
      <c r="I2" s="751"/>
      <c r="J2" s="751"/>
      <c r="K2" s="751"/>
      <c r="L2" s="751"/>
      <c r="M2" s="751"/>
      <c r="N2" s="751"/>
      <c r="O2" s="751"/>
      <c r="P2" s="751"/>
      <c r="Q2" s="751"/>
    </row>
    <row r="3" spans="1:29" ht="48">
      <c r="A3" s="2246" t="s">
        <v>2279</v>
      </c>
      <c r="B3" s="2263" t="s">
        <v>2248</v>
      </c>
      <c r="C3" s="2264" t="s">
        <v>2280</v>
      </c>
      <c r="D3" s="2265"/>
      <c r="E3" s="2247" t="s">
        <v>2279</v>
      </c>
      <c r="F3" s="2266" t="s">
        <v>2249</v>
      </c>
      <c r="G3" s="2267" t="s">
        <v>2281</v>
      </c>
      <c r="H3" s="751"/>
      <c r="I3" s="751"/>
      <c r="J3" s="751"/>
      <c r="K3" s="751"/>
      <c r="L3" s="751"/>
      <c r="M3" s="751"/>
      <c r="N3" s="751"/>
      <c r="O3" s="751"/>
      <c r="P3" s="751"/>
      <c r="Q3" s="751"/>
    </row>
    <row r="4" spans="1:29" ht="37.200000000000003">
      <c r="A4" s="2247"/>
      <c r="B4" s="315" t="s">
        <v>2250</v>
      </c>
      <c r="C4" s="2268" t="s">
        <v>2251</v>
      </c>
      <c r="D4" s="2265"/>
      <c r="E4" s="2269"/>
      <c r="F4" s="1281" t="s">
        <v>2252</v>
      </c>
      <c r="G4" s="2270" t="s">
        <v>2253</v>
      </c>
      <c r="H4" s="751"/>
      <c r="I4" s="751"/>
      <c r="J4" s="751"/>
      <c r="K4" s="751"/>
      <c r="L4" s="751"/>
      <c r="M4" s="751"/>
      <c r="N4" s="751"/>
      <c r="O4" s="751"/>
      <c r="P4" s="751"/>
      <c r="Q4" s="751"/>
    </row>
    <row r="5" spans="1:29" ht="37.200000000000003">
      <c r="A5" s="2247"/>
      <c r="B5" s="315" t="s">
        <v>2254</v>
      </c>
      <c r="C5" s="2268" t="s">
        <v>2255</v>
      </c>
      <c r="D5" s="2265"/>
      <c r="E5" s="2269"/>
      <c r="F5" s="315" t="s">
        <v>2256</v>
      </c>
      <c r="G5" s="2270" t="s">
        <v>2257</v>
      </c>
      <c r="H5" s="751"/>
      <c r="I5" s="751"/>
      <c r="J5" s="751"/>
      <c r="K5" s="751"/>
      <c r="L5" s="751"/>
      <c r="M5" s="751"/>
      <c r="N5" s="751"/>
      <c r="O5" s="751"/>
      <c r="P5" s="751"/>
      <c r="Q5" s="751"/>
    </row>
    <row r="6" spans="1:29" ht="48">
      <c r="A6" s="2247"/>
      <c r="B6" s="315" t="s">
        <v>2258</v>
      </c>
      <c r="C6" s="2270" t="s">
        <v>2253</v>
      </c>
      <c r="D6" s="2265"/>
      <c r="E6" s="2269"/>
      <c r="F6" s="315" t="s">
        <v>2259</v>
      </c>
      <c r="G6" s="2270" t="s">
        <v>2260</v>
      </c>
      <c r="H6" s="751"/>
      <c r="I6" s="751"/>
      <c r="J6" s="751"/>
      <c r="K6" s="751"/>
      <c r="L6" s="751"/>
      <c r="M6" s="751"/>
      <c r="N6" s="751"/>
      <c r="O6" s="751"/>
      <c r="P6" s="751"/>
      <c r="Q6" s="751"/>
    </row>
    <row r="7" spans="1:29" ht="36.6" thickBot="1">
      <c r="A7" s="2247"/>
      <c r="B7" s="315" t="s">
        <v>2256</v>
      </c>
      <c r="C7" s="2270" t="s">
        <v>2257</v>
      </c>
      <c r="D7" s="2244"/>
      <c r="E7" s="2271"/>
      <c r="F7" s="2272" t="s">
        <v>2261</v>
      </c>
      <c r="G7" s="2273" t="s">
        <v>2262</v>
      </c>
      <c r="H7" s="751"/>
      <c r="I7" s="751"/>
      <c r="J7" s="751"/>
      <c r="K7" s="751"/>
      <c r="L7" s="751"/>
      <c r="M7" s="751"/>
      <c r="N7" s="751"/>
      <c r="O7" s="751"/>
      <c r="P7" s="751"/>
      <c r="Q7" s="751"/>
    </row>
    <row r="8" spans="1:29" ht="24">
      <c r="A8" s="2247"/>
      <c r="B8" s="315" t="s">
        <v>2259</v>
      </c>
      <c r="C8" s="2270" t="s">
        <v>2260</v>
      </c>
      <c r="D8" s="2244"/>
      <c r="E8" s="2244"/>
      <c r="F8" s="121"/>
      <c r="G8" s="121"/>
      <c r="H8" s="751"/>
      <c r="I8" s="751"/>
      <c r="J8" s="751"/>
      <c r="K8" s="751"/>
      <c r="L8" s="751"/>
      <c r="M8" s="751"/>
      <c r="N8" s="751"/>
      <c r="O8" s="751"/>
      <c r="P8" s="751"/>
      <c r="Q8" s="751"/>
    </row>
    <row r="9" spans="1:29" ht="24">
      <c r="A9" s="2247"/>
      <c r="B9" s="315" t="s">
        <v>2263</v>
      </c>
      <c r="C9" s="2268" t="s">
        <v>2264</v>
      </c>
      <c r="D9" s="2265"/>
      <c r="E9" s="2244"/>
      <c r="F9" s="121"/>
      <c r="G9" s="121"/>
      <c r="H9" s="751"/>
      <c r="I9" s="751"/>
      <c r="J9" s="751"/>
      <c r="K9" s="751"/>
      <c r="L9" s="751"/>
      <c r="M9" s="751"/>
      <c r="N9" s="751"/>
      <c r="O9" s="751"/>
      <c r="P9" s="751"/>
      <c r="Q9" s="751"/>
    </row>
    <row r="10" spans="1:29" ht="14.4" thickBot="1">
      <c r="A10" s="2248"/>
      <c r="B10" s="2274" t="s">
        <v>2265</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2283</v>
      </c>
      <c r="B13" s="2279"/>
      <c r="C13" s="2279"/>
      <c r="D13" s="2278"/>
      <c r="E13" s="2279"/>
      <c r="F13" s="2279"/>
      <c r="G13" s="2279"/>
    </row>
    <row r="14" spans="1:29" ht="14.4" thickBot="1">
      <c r="A14" s="2284"/>
      <c r="B14" s="2284"/>
      <c r="C14" s="2285" t="s">
        <v>2266</v>
      </c>
      <c r="D14" s="2265"/>
      <c r="E14" s="2286"/>
      <c r="F14" s="2286"/>
      <c r="G14" s="2261" t="s">
        <v>2267</v>
      </c>
    </row>
    <row r="15" spans="1:29" ht="52.8">
      <c r="A15" s="2249" t="s">
        <v>2268</v>
      </c>
      <c r="B15" s="2287" t="s">
        <v>2248</v>
      </c>
      <c r="C15" s="2288" t="str">
        <f>C3</f>
        <v>估价对象周边居住用地比例、居住小区规模和社区发展完善程度，综合评价居住社区成熟度一般</v>
      </c>
      <c r="D15" s="2265"/>
      <c r="E15" s="2250" t="s">
        <v>2269</v>
      </c>
      <c r="F15" s="2287" t="s">
        <v>2270</v>
      </c>
      <c r="G15" s="2289" t="str">
        <f>G3</f>
        <v>估价对象位于XX开发区，园区建设成熟度XX，产业集聚程度XX</v>
      </c>
    </row>
    <row r="16" spans="1:29" ht="39.6">
      <c r="A16" s="2251"/>
      <c r="B16" s="2290" t="s">
        <v>2250</v>
      </c>
      <c r="C16" s="2291" t="str">
        <f>C4</f>
        <v>估价对象位于XX商圈，周边商业氛围成熟，人流量大，商业繁华度好</v>
      </c>
      <c r="D16" s="2265"/>
      <c r="E16" s="2252"/>
      <c r="F16" s="2292" t="s">
        <v>2252</v>
      </c>
      <c r="G16" s="2293" t="str">
        <f>G4</f>
        <v>估价对象周边道路状况、公共交通通达情况、停车便捷程度，综合评价交通便捷度较好</v>
      </c>
    </row>
    <row r="17" spans="1:17" ht="39.6">
      <c r="A17" s="2251"/>
      <c r="B17" s="2290" t="s">
        <v>2254</v>
      </c>
      <c r="C17" s="2291" t="str">
        <f>C5</f>
        <v>估价对象位于XX商圈，周边办公楼项目较多，入驻率高，办公集聚程度较好</v>
      </c>
      <c r="D17" s="2244"/>
      <c r="E17" s="2252"/>
      <c r="F17" s="2292" t="s">
        <v>2271</v>
      </c>
      <c r="G17" s="2294"/>
    </row>
    <row r="18" spans="1:17" ht="52.8">
      <c r="A18" s="2251"/>
      <c r="B18" s="2292" t="s">
        <v>2258</v>
      </c>
      <c r="C18" s="2293" t="str">
        <f>C6</f>
        <v>估价对象周边道路状况、公共交通通达情况、停车便捷程度，综合评价交通便捷度较好</v>
      </c>
      <c r="D18" s="2244"/>
      <c r="E18" s="2252"/>
      <c r="F18" s="2292" t="s">
        <v>2261</v>
      </c>
      <c r="G18" s="2293" t="str">
        <f>G7</f>
        <v>该园区内是否有污染型企业，绿化情况，卫生条件，整体环境状况判断</v>
      </c>
    </row>
    <row r="19" spans="1:17" ht="26.4">
      <c r="A19" s="2251"/>
      <c r="B19" s="2292" t="s">
        <v>2272</v>
      </c>
      <c r="C19" s="2294"/>
      <c r="D19" s="2265"/>
      <c r="E19" s="2252"/>
      <c r="F19" s="315" t="s">
        <v>2256</v>
      </c>
      <c r="G19" s="2293" t="str">
        <f>G5</f>
        <v>估价对象所在区域公共配套设施齐备情况</v>
      </c>
    </row>
    <row r="20" spans="1:17" ht="26.4">
      <c r="A20" s="2251"/>
      <c r="B20" s="2292" t="s">
        <v>2273</v>
      </c>
      <c r="C20" s="2291" t="str">
        <f>C9</f>
        <v>区域自然环境：；人文环境；综合评价环境状况一般</v>
      </c>
      <c r="D20" s="2244"/>
      <c r="E20" s="2252"/>
      <c r="F20" s="315" t="s">
        <v>2259</v>
      </c>
      <c r="G20" s="2293" t="str">
        <f>G6</f>
        <v>估价对象所在区域基础设施水平</v>
      </c>
    </row>
    <row r="21" spans="1:17" ht="26.4">
      <c r="A21" s="2251"/>
      <c r="B21" s="315" t="s">
        <v>2256</v>
      </c>
      <c r="C21" s="2293" t="str">
        <f>C7</f>
        <v>估价对象所在区域公共配套设施齐备情况</v>
      </c>
      <c r="D21" s="2265"/>
      <c r="E21" s="2252"/>
      <c r="F21" s="2292" t="s">
        <v>2274</v>
      </c>
      <c r="G21" s="2295"/>
    </row>
    <row r="22" spans="1:17" ht="13.5" customHeight="1">
      <c r="A22" s="2251"/>
      <c r="B22" s="315" t="s">
        <v>2259</v>
      </c>
      <c r="C22" s="2293" t="str">
        <f>C8</f>
        <v>估价对象所在区域基础设施水平</v>
      </c>
      <c r="D22" s="2265"/>
      <c r="E22" s="2252"/>
      <c r="F22" s="2292" t="s">
        <v>2265</v>
      </c>
      <c r="G22" s="2294"/>
    </row>
    <row r="23" spans="1:17" s="751" customFormat="1" ht="14.4" thickBot="1">
      <c r="A23" s="2251"/>
      <c r="B23" s="2292" t="s">
        <v>2274</v>
      </c>
      <c r="C23" s="2295"/>
      <c r="D23" s="1614"/>
      <c r="E23" s="2253"/>
      <c r="F23" s="2296" t="s">
        <v>2275</v>
      </c>
      <c r="G23" s="2297"/>
      <c r="H23" s="2276"/>
      <c r="I23" s="2276"/>
      <c r="J23" s="2276"/>
      <c r="K23" s="2276"/>
      <c r="L23" s="2276"/>
      <c r="M23" s="2276"/>
      <c r="N23" s="2276"/>
      <c r="O23" s="2276"/>
      <c r="P23" s="2276"/>
      <c r="Q23" s="2276"/>
    </row>
    <row r="24" spans="1:17" s="751" customFormat="1" ht="14.4" thickBot="1">
      <c r="A24" s="2254"/>
      <c r="B24" s="2296" t="s">
        <v>2276</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956.34</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45831</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2428</v>
      </c>
      <c r="C5" s="2299">
        <f ca="1">IF(B5=D14,结果表1层!H102,ROUND(B5*10000/$B$1,0))</f>
        <v>41135</v>
      </c>
      <c r="D5" s="2299" t="e">
        <f ca="1">ROUND(B5*10000/$B$2,0)</f>
        <v>#DIV/0!</v>
      </c>
      <c r="E5" s="2460"/>
      <c r="F5" s="2461"/>
      <c r="G5" s="2461"/>
      <c r="H5" s="2461"/>
      <c r="I5" s="2461"/>
      <c r="J5" s="2461"/>
      <c r="K5" s="2461"/>
    </row>
    <row r="6" spans="1:11" ht="15.6">
      <c r="A6" s="2299" t="s">
        <v>656</v>
      </c>
      <c r="B6" s="2299">
        <f ca="1">SUM(G14:G23)</f>
        <v>2428</v>
      </c>
      <c r="C6" s="2299">
        <f ca="1">IF(B6=G14,结果表1层!H108,ROUND(B6*10000/$B$1,0))</f>
        <v>41135</v>
      </c>
      <c r="D6" s="2299" t="e">
        <f ca="1">ROUND(B6*10000/$B$2,0)</f>
        <v>#DIV/0!</v>
      </c>
      <c r="E6" s="2460"/>
      <c r="F6" s="2461"/>
      <c r="G6" s="2461"/>
      <c r="H6" s="2461"/>
      <c r="I6" s="2461"/>
      <c r="J6" s="2461"/>
      <c r="K6" s="2461"/>
    </row>
    <row r="7" spans="1:11" ht="15.6">
      <c r="A7" s="2299" t="s">
        <v>664</v>
      </c>
      <c r="B7" s="2299">
        <f>SUM(H14:H23)</f>
        <v>0</v>
      </c>
      <c r="C7" s="2299" t="str">
        <f>IF(B7=H14,结果表1层!H110,ROUND(B7*10000/$B$1,0))</f>
        <v>——</v>
      </c>
      <c r="D7" s="2299" t="e">
        <f>ROUND(B7*10000/$B$2,0)</f>
        <v>#DIV/0!</v>
      </c>
      <c r="E7" s="2460"/>
      <c r="F7" s="2461"/>
      <c r="G7" s="2461"/>
      <c r="H7" s="2461"/>
      <c r="I7" s="2461"/>
      <c r="J7" s="2461"/>
      <c r="K7" s="2461"/>
    </row>
    <row r="8" spans="1:11" ht="15.6">
      <c r="A8" s="2299" t="s">
        <v>587</v>
      </c>
      <c r="B8" s="2299">
        <f>SUM(I14:I23)</f>
        <v>0</v>
      </c>
      <c r="C8" s="2299" t="str">
        <f>IF(B8=I14,结果表1层!H112,ROUND(B8*10000/$B$1,0))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3351</v>
      </c>
      <c r="D10" s="2299" t="s">
        <v>3352</v>
      </c>
      <c r="E10" s="3135"/>
      <c r="F10" s="3139" t="s">
        <v>3353</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典型户型修正!B22</f>
        <v>956.34</v>
      </c>
      <c r="C14" s="2305"/>
      <c r="D14" s="2305">
        <f ca="1">典型户型修正!S22</f>
        <v>2428</v>
      </c>
      <c r="E14" s="2305">
        <f ca="1">ROUND(D14*10000/B14,0)</f>
        <v>25388</v>
      </c>
      <c r="F14" s="2305" t="e">
        <f ca="1">ROUND(D14*10000/C14,0)</f>
        <v>#DIV/0!</v>
      </c>
      <c r="G14" s="2305">
        <f ca="1">D14</f>
        <v>2428</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0" zoomScale="70" zoomScaleNormal="100" zoomScaleSheetLayoutView="70" zoomScalePageLayoutView="80" workbookViewId="0">
      <selection activeCell="C14" sqref="C14:C16"/>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3417</v>
      </c>
      <c r="D1" s="646"/>
      <c r="E1" s="646"/>
      <c r="F1" s="1621" t="s">
        <v>1263</v>
      </c>
      <c r="G1" s="1453" t="s">
        <v>3412</v>
      </c>
      <c r="H1" s="1621" t="str">
        <f>IF(G1="现房","——","估价对象范围")</f>
        <v>——</v>
      </c>
      <c r="I1" s="1622"/>
    </row>
    <row r="2" spans="1:12" ht="21.75" customHeight="1" thickBot="1">
      <c r="A2" s="3298" t="str">
        <f>项目基本情况!S2</f>
        <v>北京市朝阳区天溪园20号楼房地产</v>
      </c>
      <c r="B2" s="3299"/>
      <c r="C2" s="3299"/>
      <c r="D2" s="3299"/>
      <c r="E2" s="3299"/>
      <c r="F2" s="3299"/>
      <c r="G2" s="3299"/>
      <c r="H2" s="3299"/>
      <c r="I2" s="3300"/>
    </row>
    <row r="3" spans="1:12" ht="13.2">
      <c r="A3" s="3302" t="s">
        <v>1264</v>
      </c>
      <c r="B3" s="3303"/>
      <c r="C3" s="3303"/>
      <c r="D3" s="3303"/>
      <c r="E3" s="3303"/>
      <c r="F3" s="3303"/>
      <c r="G3" s="3303"/>
      <c r="H3" s="3303"/>
      <c r="I3" s="3303"/>
    </row>
    <row r="4" spans="1:12" ht="14.4">
      <c r="A4" s="1624" t="s">
        <v>1265</v>
      </c>
      <c r="B4" s="1625" t="s">
        <v>1266</v>
      </c>
      <c r="C4" s="1626" t="s">
        <v>3431</v>
      </c>
      <c r="D4" s="1626" t="s">
        <v>3421</v>
      </c>
      <c r="E4" s="3304" t="s">
        <v>1267</v>
      </c>
      <c r="F4" s="3305"/>
      <c r="G4" s="3305"/>
      <c r="H4" s="3305"/>
      <c r="I4" s="3306"/>
      <c r="K4" s="138" t="str">
        <f>IF(ISNUMBER(FIND("比较法",结果表1层!C4)),"比较法",IF(ISNUMBER(FIND("成本法",结果表1层!C4)),"成本法",IF(ISNUMBER(FIND("假设开发法",结果表1层!C4)),"假设开发法",IF(ISNUMBER(FIND("收益法",结果表1层!C4)),"收益法","基准地价系数修正法"))))</f>
        <v>比较法</v>
      </c>
      <c r="L4" s="138" t="str">
        <f>IF(ISNUMBER(FIND("比较法",结果表1层!D4)),"比较法",IF(ISNUMBER(FIND("成本法",结果表1层!D4)),"成本法",IF(ISNUMBER(FIND("假设开发法",结果表1层!D4)),"假设开发法",IF(ISNUMBER(FIND("收益法",结果表1层!D4)),"收益法","基准地价系数修正法"))))</f>
        <v>收益法</v>
      </c>
    </row>
    <row r="5" spans="1:12" ht="13.2">
      <c r="A5" s="3278" t="s">
        <v>1268</v>
      </c>
      <c r="B5" s="3265">
        <v>25</v>
      </c>
      <c r="C5" s="3281"/>
      <c r="D5" s="3301"/>
      <c r="E5" s="123" t="s">
        <v>1269</v>
      </c>
      <c r="F5" s="1627"/>
      <c r="G5" s="1627"/>
      <c r="H5" s="1627"/>
      <c r="I5" s="1281"/>
    </row>
    <row r="6" spans="1:12" ht="13.2">
      <c r="A6" s="3278"/>
      <c r="B6" s="3265"/>
      <c r="C6" s="3282"/>
      <c r="D6" s="3301"/>
      <c r="E6" s="123" t="s">
        <v>1270</v>
      </c>
      <c r="F6" s="1627"/>
      <c r="G6" s="1627"/>
      <c r="H6" s="1627"/>
      <c r="I6" s="1281"/>
    </row>
    <row r="7" spans="1:12" ht="13.2">
      <c r="A7" s="3278"/>
      <c r="B7" s="3265"/>
      <c r="C7" s="3283"/>
      <c r="D7" s="3301"/>
      <c r="E7" s="123" t="s">
        <v>1271</v>
      </c>
      <c r="F7" s="1627"/>
      <c r="G7" s="1627"/>
      <c r="H7" s="1627"/>
      <c r="I7" s="1281"/>
    </row>
    <row r="8" spans="1:12" ht="13.2">
      <c r="A8" s="3278" t="s">
        <v>1272</v>
      </c>
      <c r="B8" s="3265">
        <v>15</v>
      </c>
      <c r="C8" s="3281"/>
      <c r="D8" s="3301"/>
      <c r="E8" s="123" t="s">
        <v>1273</v>
      </c>
      <c r="F8" s="1627"/>
      <c r="G8" s="1627"/>
      <c r="H8" s="1627"/>
      <c r="I8" s="1281"/>
    </row>
    <row r="9" spans="1:12" ht="13.2">
      <c r="A9" s="3278"/>
      <c r="B9" s="3265"/>
      <c r="C9" s="3283"/>
      <c r="D9" s="3301"/>
      <c r="E9" s="123" t="s">
        <v>1274</v>
      </c>
      <c r="F9" s="1627"/>
      <c r="G9" s="1627"/>
      <c r="H9" s="1627"/>
      <c r="I9" s="1281"/>
    </row>
    <row r="10" spans="1:12" ht="13.2">
      <c r="A10" s="3278" t="s">
        <v>1275</v>
      </c>
      <c r="B10" s="3265">
        <v>15</v>
      </c>
      <c r="C10" s="3281"/>
      <c r="D10" s="3301"/>
      <c r="E10" s="123" t="s">
        <v>1276</v>
      </c>
      <c r="F10" s="1627"/>
      <c r="G10" s="1627"/>
      <c r="H10" s="1627"/>
      <c r="I10" s="1281"/>
    </row>
    <row r="11" spans="1:12" ht="13.2">
      <c r="A11" s="3278"/>
      <c r="B11" s="3265"/>
      <c r="C11" s="3283"/>
      <c r="D11" s="3301"/>
      <c r="E11" s="123" t="s">
        <v>1277</v>
      </c>
      <c r="F11" s="1627"/>
      <c r="G11" s="1627"/>
      <c r="H11" s="1627"/>
      <c r="I11" s="1281"/>
    </row>
    <row r="12" spans="1:12" ht="13.2">
      <c r="A12" s="3278" t="s">
        <v>1278</v>
      </c>
      <c r="B12" s="3265">
        <v>15</v>
      </c>
      <c r="C12" s="3281"/>
      <c r="D12" s="3301"/>
      <c r="E12" s="123" t="s">
        <v>1279</v>
      </c>
      <c r="F12" s="1627"/>
      <c r="G12" s="1627"/>
      <c r="H12" s="1627"/>
      <c r="I12" s="1281"/>
    </row>
    <row r="13" spans="1:12" ht="13.2">
      <c r="A13" s="3278"/>
      <c r="B13" s="3265"/>
      <c r="C13" s="3283"/>
      <c r="D13" s="3301"/>
      <c r="E13" s="123" t="s">
        <v>1280</v>
      </c>
      <c r="F13" s="1627"/>
      <c r="G13" s="1627"/>
      <c r="H13" s="1627"/>
      <c r="I13" s="1281"/>
    </row>
    <row r="14" spans="1:12" ht="13.2">
      <c r="A14" s="3278" t="s">
        <v>1281</v>
      </c>
      <c r="B14" s="3265">
        <v>30</v>
      </c>
      <c r="C14" s="3281">
        <v>6</v>
      </c>
      <c r="D14" s="3301">
        <v>4</v>
      </c>
      <c r="E14" s="123" t="s">
        <v>1282</v>
      </c>
      <c r="F14" s="1627"/>
      <c r="G14" s="1627"/>
      <c r="H14" s="1627"/>
      <c r="I14" s="1281"/>
    </row>
    <row r="15" spans="1:12" ht="13.2">
      <c r="A15" s="3278"/>
      <c r="B15" s="3265"/>
      <c r="C15" s="3282"/>
      <c r="D15" s="3301"/>
      <c r="E15" s="123" t="s">
        <v>1283</v>
      </c>
      <c r="F15" s="1627"/>
      <c r="G15" s="1627"/>
      <c r="H15" s="1627"/>
      <c r="I15" s="1281"/>
    </row>
    <row r="16" spans="1:12" ht="13.2">
      <c r="A16" s="3278"/>
      <c r="B16" s="3265"/>
      <c r="C16" s="3283"/>
      <c r="D16" s="3301"/>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88" t="s">
        <v>2127</v>
      </c>
      <c r="F18" s="3289"/>
      <c r="G18" s="3289"/>
      <c r="H18" s="3289"/>
      <c r="I18" s="3289"/>
      <c r="K18" s="294" t="s">
        <v>1289</v>
      </c>
      <c r="L18" s="294">
        <f>IF(C1="",'数据-汇总表'!E3,SUMIF(项目类型,C1,'数据-汇总表'!E17:E26)+SUMIF(项目类型,C1,'数据-汇总表'!I17:I26))</f>
        <v>165.09</v>
      </c>
      <c r="M18" s="294">
        <f>IF(C1="",'数据-汇总表'!E3,SUMIF(项目类型,C1,'数据-汇总表'!E17:E26))</f>
        <v>165.09</v>
      </c>
    </row>
    <row r="19" spans="1:36" ht="14.4">
      <c r="A19" s="1630" t="s">
        <v>1290</v>
      </c>
      <c r="B19" s="1631" t="s">
        <v>1291</v>
      </c>
      <c r="C19" s="126">
        <f ca="1">SUMIF(INDIRECT("'"&amp;C4&amp;"'"&amp;"!A:A"),结果表1层!B19,INDIRECT("'"&amp;C4&amp;"'"&amp;"!B:B"))</f>
        <v>865.08810000000005</v>
      </c>
      <c r="D19" s="127">
        <f ca="1">SUMIF(INDIRECT("'"&amp;D4&amp;"'"&amp;"!A:A"),结果表1层!B19,INDIRECT("'"&amp;D4&amp;"'"&amp;"!B:B"))</f>
        <v>400.10180000000003</v>
      </c>
      <c r="E19" s="1630" t="s">
        <v>1292</v>
      </c>
      <c r="F19" s="1631" t="s">
        <v>1291</v>
      </c>
      <c r="G19" s="128">
        <f ca="1">ROUND(C19*$C$18+D19*$D$18,0)</f>
        <v>679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SUMIF(INDIRECT("'"&amp;C4&amp;"'"&amp;"!A:A"),结果表1层!B20,INDIRECT("'"&amp;C4&amp;"'"&amp;"!B:B"))</f>
        <v>52401</v>
      </c>
      <c r="D20" s="130">
        <f ca="1">SUMIF(INDIRECT("'"&amp;D4&amp;"'"&amp;"!A:A"),结果表1层!B20,INDIRECT("'"&amp;D4&amp;"'"&amp;"!B:B"))</f>
        <v>24235</v>
      </c>
      <c r="E20" s="1633"/>
      <c r="F20" s="43" t="s">
        <v>1295</v>
      </c>
      <c r="G20" s="131">
        <f ca="1">ROUND(C20*$C$18+D20*$D$18,0)</f>
        <v>41135</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1.1621699777406649</v>
      </c>
      <c r="E22" s="121"/>
      <c r="F22" s="121"/>
      <c r="G22" s="121"/>
      <c r="H22" s="121"/>
      <c r="I22" s="121"/>
    </row>
    <row r="23" spans="1:36" ht="13.8" thickBot="1">
      <c r="A23" s="646"/>
      <c r="B23" s="646"/>
      <c r="C23" s="646"/>
      <c r="D23" s="646"/>
      <c r="E23" s="121"/>
      <c r="F23" s="121"/>
      <c r="G23" s="121"/>
      <c r="H23" s="121"/>
      <c r="I23" s="121"/>
    </row>
    <row r="24" spans="1:36" ht="14.4">
      <c r="A24" s="3272" t="s">
        <v>1299</v>
      </c>
      <c r="B24" s="1631" t="s">
        <v>1291</v>
      </c>
      <c r="C24" s="128">
        <f>IF(B30=0,0,D30)</f>
        <v>0</v>
      </c>
      <c r="D24" s="1637"/>
      <c r="E24" s="121"/>
      <c r="F24" s="121"/>
      <c r="G24" s="121"/>
      <c r="H24" s="121"/>
      <c r="I24" s="121"/>
    </row>
    <row r="25" spans="1:36" ht="14.4">
      <c r="A25" s="327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2128</v>
      </c>
      <c r="F30" s="121"/>
      <c r="G30" s="121"/>
      <c r="H30" s="121"/>
      <c r="I30" s="121"/>
    </row>
    <row r="31" spans="1:36" s="2132" customFormat="1" ht="26.4" customHeight="1" thickTop="1" thickBot="1">
      <c r="A31" s="2127"/>
      <c r="B31" s="2128"/>
      <c r="C31" s="2128"/>
      <c r="D31" s="2128"/>
      <c r="E31" s="2128"/>
      <c r="F31" s="2128"/>
      <c r="G31" s="2128"/>
      <c r="H31" s="2128"/>
      <c r="I31" s="2129" t="s">
        <v>2129</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41135</v>
      </c>
      <c r="D32" s="1641" t="s">
        <v>3432</v>
      </c>
      <c r="E32" s="121"/>
      <c r="F32" s="121"/>
      <c r="G32" s="121"/>
      <c r="H32" s="121"/>
      <c r="I32" s="121"/>
    </row>
    <row r="33" spans="1:15" ht="14.4">
      <c r="A33" s="740" t="s">
        <v>1306</v>
      </c>
      <c r="B33" s="123"/>
      <c r="C33" s="1642" t="s">
        <v>3433</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2" t="s">
        <v>1312</v>
      </c>
      <c r="B36" s="1652" t="s">
        <v>1313</v>
      </c>
      <c r="C36" s="137"/>
      <c r="D36" s="1653"/>
      <c r="E36" s="1567"/>
      <c r="F36" s="1654"/>
      <c r="G36" s="121"/>
      <c r="H36" s="121"/>
      <c r="I36" s="121"/>
    </row>
    <row r="37" spans="1:15" ht="15" thickBot="1">
      <c r="A37" s="3293"/>
      <c r="B37" s="1555" t="s">
        <v>1314</v>
      </c>
      <c r="C37" s="139"/>
      <c r="D37" s="1071"/>
      <c r="E37" s="1071"/>
      <c r="F37" s="1654"/>
      <c r="G37" s="121"/>
      <c r="H37" s="121"/>
      <c r="I37" s="121"/>
    </row>
    <row r="38" spans="1:15" ht="15" thickBot="1">
      <c r="A38" s="3294"/>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9" t="s">
        <v>1326</v>
      </c>
      <c r="B45" s="3270"/>
      <c r="C45" s="3271"/>
      <c r="D45" s="147">
        <f ca="1">ROUND(H101*F45,0)</f>
        <v>679</v>
      </c>
      <c r="E45" s="148" t="s">
        <v>1327</v>
      </c>
      <c r="F45" s="149">
        <v>1</v>
      </c>
      <c r="G45" s="150" t="s">
        <v>1328</v>
      </c>
      <c r="H45" s="121"/>
      <c r="I45" s="121"/>
      <c r="J45" s="3347" t="s">
        <v>1329</v>
      </c>
      <c r="K45" s="3347"/>
      <c r="L45" s="3347"/>
      <c r="M45" s="3347"/>
      <c r="N45" s="3347"/>
      <c r="O45" s="3347"/>
    </row>
    <row r="46" spans="1:15" ht="14.25" customHeight="1">
      <c r="A46" s="3266" t="s">
        <v>1330</v>
      </c>
      <c r="B46" s="3267"/>
      <c r="C46" s="3267"/>
      <c r="D46" s="3267"/>
      <c r="E46" s="3267"/>
      <c r="F46" s="3267"/>
      <c r="G46" s="3268"/>
      <c r="H46" s="1668"/>
      <c r="I46" s="151"/>
      <c r="J46" s="2309">
        <v>1</v>
      </c>
      <c r="K46" s="3328" t="s">
        <v>1331</v>
      </c>
      <c r="L46" s="3328"/>
      <c r="M46" s="3348"/>
      <c r="N46" s="3348"/>
      <c r="O46" s="3348"/>
    </row>
    <row r="47" spans="1:15" ht="12" customHeight="1">
      <c r="A47" s="152" t="s">
        <v>1332</v>
      </c>
      <c r="B47" s="153"/>
      <c r="C47" s="154"/>
      <c r="D47" s="1024" t="s">
        <v>1333</v>
      </c>
      <c r="E47" s="294" t="s">
        <v>1334</v>
      </c>
      <c r="F47" s="155" t="s">
        <v>1335</v>
      </c>
      <c r="G47" s="2332" t="s">
        <v>1336</v>
      </c>
      <c r="H47" s="2333"/>
      <c r="I47" s="151"/>
      <c r="J47" s="2309">
        <v>2</v>
      </c>
      <c r="K47" s="3328" t="s">
        <v>1337</v>
      </c>
      <c r="L47" s="3328"/>
      <c r="M47" s="3349">
        <f>'数据-取费表'!B2</f>
        <v>45831</v>
      </c>
      <c r="N47" s="3349"/>
      <c r="O47" s="3349"/>
    </row>
    <row r="48" spans="1:15" ht="26.4">
      <c r="A48" s="3297" t="s">
        <v>1338</v>
      </c>
      <c r="B48" s="3280"/>
      <c r="C48" s="3280"/>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28" t="s">
        <v>1340</v>
      </c>
      <c r="L48" s="3328"/>
      <c r="M48" s="3350">
        <f ca="1">H101</f>
        <v>679</v>
      </c>
      <c r="N48" s="3350"/>
      <c r="O48" s="3350"/>
    </row>
    <row r="49" spans="1:35" ht="25.5" customHeight="1">
      <c r="A49" s="2151" t="s">
        <v>1341</v>
      </c>
      <c r="B49" s="3264" t="s">
        <v>1342</v>
      </c>
      <c r="C49" s="3264"/>
      <c r="D49" s="1478">
        <v>0</v>
      </c>
      <c r="E49" s="316" t="s">
        <v>1343</v>
      </c>
      <c r="F49" s="2232" t="s">
        <v>28</v>
      </c>
      <c r="G49" s="3334"/>
      <c r="H49" s="2133" t="s">
        <v>2130</v>
      </c>
      <c r="I49" s="2134"/>
      <c r="J49" s="2309">
        <v>4</v>
      </c>
      <c r="K49" s="3328" t="str">
        <f>IF(项目基本情况!E8="房地产抵押价值","房地产抵押价值","抵押担保权已注销时的房地产抵押价值")</f>
        <v>房地产抵押价值</v>
      </c>
      <c r="L49" s="3328"/>
      <c r="M49" s="3350">
        <f ca="1">IF(项目基本情况!E8="房地产抵押价值",H107,H109)</f>
        <v>679</v>
      </c>
      <c r="N49" s="3350"/>
      <c r="O49" s="3350"/>
    </row>
    <row r="50" spans="1:35" ht="25.5" customHeight="1">
      <c r="A50" s="2337"/>
      <c r="B50" s="3264" t="s">
        <v>1344</v>
      </c>
      <c r="C50" s="3264"/>
      <c r="D50" s="2188"/>
      <c r="E50" s="323"/>
      <c r="F50" s="2232"/>
      <c r="G50" s="3335"/>
      <c r="H50" s="2135" t="s">
        <v>2131</v>
      </c>
      <c r="I50" s="2134"/>
      <c r="J50" s="3347" t="s">
        <v>1345</v>
      </c>
      <c r="K50" s="3347"/>
      <c r="L50" s="3347"/>
      <c r="M50" s="3347"/>
      <c r="N50" s="3347"/>
      <c r="O50" s="3347"/>
    </row>
    <row r="51" spans="1:35" ht="20.399999999999999" customHeight="1">
      <c r="A51" s="2338"/>
      <c r="B51" s="3264" t="s">
        <v>1346</v>
      </c>
      <c r="C51" s="3264"/>
      <c r="D51" s="1024"/>
      <c r="E51" s="319"/>
      <c r="F51" s="2232"/>
      <c r="G51" s="3336"/>
      <c r="H51" s="2135" t="s">
        <v>2132</v>
      </c>
      <c r="I51" s="2134"/>
      <c r="J51" s="2310" t="s">
        <v>1347</v>
      </c>
      <c r="K51" s="3328" t="s">
        <v>1348</v>
      </c>
      <c r="L51" s="3328"/>
      <c r="M51" s="2310" t="s">
        <v>1349</v>
      </c>
      <c r="N51" s="2310" t="s">
        <v>1350</v>
      </c>
      <c r="O51" s="2310" t="s">
        <v>1351</v>
      </c>
    </row>
    <row r="52" spans="1:35" ht="24" customHeight="1">
      <c r="A52" s="2152" t="s">
        <v>1352</v>
      </c>
      <c r="B52" s="3264" t="s">
        <v>1353</v>
      </c>
      <c r="C52" s="3264"/>
      <c r="D52" s="1024">
        <f ca="1">ROUND(D45*'数据-取费表'!B41/(1+'数据-取费表'!C42),0)</f>
        <v>36</v>
      </c>
      <c r="E52" s="1256" t="s">
        <v>1354</v>
      </c>
      <c r="F52" s="2339">
        <f>'数据-取费表'!B41</f>
        <v>5.6000000000000001E-2</v>
      </c>
      <c r="G52" s="2340"/>
      <c r="H52" s="2330"/>
      <c r="I52" s="1669"/>
      <c r="J52" s="2309">
        <v>1</v>
      </c>
      <c r="K52" s="3329" t="s">
        <v>1355</v>
      </c>
      <c r="L52" s="3329"/>
      <c r="M52" s="2311" t="b">
        <f>D48</f>
        <v>0</v>
      </c>
      <c r="N52" s="2309" t="str">
        <f>E48</f>
        <v>销售额×税（费）率</v>
      </c>
      <c r="O52" s="2312">
        <f>F48</f>
        <v>5.6000000000000001E-2</v>
      </c>
    </row>
    <row r="53" spans="1:35" ht="12" customHeight="1">
      <c r="A53" s="2152" t="s">
        <v>1356</v>
      </c>
      <c r="B53" s="3290" t="s">
        <v>2287</v>
      </c>
      <c r="C53" s="3291"/>
      <c r="D53" s="1024">
        <f ca="1">ROUND(D45*'数据-取费表'!B41/(1+'数据-取费表'!C42),0)</f>
        <v>36</v>
      </c>
      <c r="E53" s="1256" t="s">
        <v>1354</v>
      </c>
      <c r="F53" s="2339">
        <f>'数据-取费表'!B41</f>
        <v>5.6000000000000001E-2</v>
      </c>
      <c r="G53" s="2340"/>
      <c r="H53" s="2330"/>
      <c r="I53" s="1669"/>
      <c r="J53" s="2309">
        <v>2</v>
      </c>
      <c r="K53" s="3329" t="s">
        <v>1357</v>
      </c>
      <c r="L53" s="3329"/>
      <c r="M53" s="2311">
        <f t="shared" ref="M53:O54" ca="1" si="0">D55</f>
        <v>0</v>
      </c>
      <c r="N53" s="2309" t="str">
        <f t="shared" si="0"/>
        <v>销售额×税（费）率</v>
      </c>
      <c r="O53" s="2312" t="str">
        <f t="shared" si="0"/>
        <v>免征</v>
      </c>
    </row>
    <row r="54" spans="1:35" ht="12" customHeight="1">
      <c r="A54" s="2152" t="s">
        <v>1358</v>
      </c>
      <c r="B54" s="3290" t="s">
        <v>2288</v>
      </c>
      <c r="C54" s="3291"/>
      <c r="D54" s="1024">
        <f ca="1">C68</f>
        <v>36</v>
      </c>
      <c r="E54" s="319" t="s">
        <v>1359</v>
      </c>
      <c r="F54" s="2339">
        <f>'数据-取费表'!B41</f>
        <v>5.6000000000000001E-2</v>
      </c>
      <c r="G54" s="2340"/>
      <c r="H54" s="2341"/>
      <c r="I54" s="1669"/>
      <c r="J54" s="2309">
        <v>3</v>
      </c>
      <c r="K54" s="3329" t="s">
        <v>1360</v>
      </c>
      <c r="L54" s="3329"/>
      <c r="M54" s="2311">
        <f t="shared" ca="1" si="0"/>
        <v>384</v>
      </c>
      <c r="N54" s="2309" t="str">
        <f t="shared" si="0"/>
        <v>增值额×税（费）率</v>
      </c>
      <c r="O54" s="2313" t="str">
        <f t="shared" si="0"/>
        <v>免征</v>
      </c>
    </row>
    <row r="55" spans="1:35" ht="24" customHeight="1">
      <c r="A55" s="3279" t="s">
        <v>1361</v>
      </c>
      <c r="B55" s="3280"/>
      <c r="C55" s="3280"/>
      <c r="D55" s="12">
        <f ca="1">IF(H55="个人住宅",0,ROUND(D45*I55,0))</f>
        <v>0</v>
      </c>
      <c r="E55" s="1256" t="s">
        <v>1362</v>
      </c>
      <c r="F55" s="2339" t="str">
        <f>IF(H55="正常",I55,"免征")</f>
        <v>免征</v>
      </c>
      <c r="G55" s="2340"/>
      <c r="H55" s="2336"/>
      <c r="I55" s="157">
        <f>'数据-取费表'!B49</f>
        <v>5.0000000000000001E-4</v>
      </c>
      <c r="J55" s="2309">
        <f>IF(H59="非个人房产","",4)</f>
        <v>4</v>
      </c>
      <c r="K55" s="3329" t="str">
        <f>IF(H59="非个人房产","——","个人所得税")</f>
        <v>个人所得税</v>
      </c>
      <c r="L55" s="3329"/>
      <c r="M55" s="2314">
        <f ca="1">D59</f>
        <v>6</v>
      </c>
      <c r="N55" s="1883" t="str">
        <f>E59</f>
        <v>差额计税</v>
      </c>
      <c r="O55" s="2315">
        <f>F59</f>
        <v>0.01</v>
      </c>
    </row>
    <row r="56" spans="1:35" ht="25.2">
      <c r="A56" s="3279" t="s">
        <v>1363</v>
      </c>
      <c r="B56" s="3280"/>
      <c r="C56" s="3280"/>
      <c r="D56" s="12">
        <f ca="1">IF(H56="个人住宅",D57,D58)</f>
        <v>384</v>
      </c>
      <c r="E56" s="1256" t="s">
        <v>1364</v>
      </c>
      <c r="F56" s="2339" t="str">
        <f>IF(H56="正常",F58,"免征")</f>
        <v>免征</v>
      </c>
      <c r="G56" s="2342" t="s">
        <v>1365</v>
      </c>
      <c r="H56" s="2343"/>
      <c r="I56" s="1670"/>
      <c r="J56" s="2309" t="str">
        <f>IF(项目基本情况!K6="上海银行",IF(J55="",4,J55+1),"")</f>
        <v/>
      </c>
      <c r="K56" s="3352" t="str">
        <f>IF(项目基本情况!K6="上海银行","其他处置费用","")</f>
        <v/>
      </c>
      <c r="L56" s="3353"/>
      <c r="M56" s="2311" t="str">
        <f>IF(项目基本情况!K6="上海银行",M69,"")</f>
        <v/>
      </c>
      <c r="N56" s="3352" t="str">
        <f>IF(项目基本情况!K6="上海银行","包含处置中涉及的律师、诉讼、拍卖、评估等费用","")</f>
        <v/>
      </c>
      <c r="O56" s="3355"/>
    </row>
    <row r="57" spans="1:35" ht="13.2">
      <c r="A57" s="2152" t="s">
        <v>1341</v>
      </c>
      <c r="B57" s="3290" t="s">
        <v>1366</v>
      </c>
      <c r="C57" s="3291"/>
      <c r="D57" s="1478">
        <v>0</v>
      </c>
      <c r="E57" s="316" t="s">
        <v>1343</v>
      </c>
      <c r="F57" s="294"/>
      <c r="G57" s="2340"/>
      <c r="H57" s="2344"/>
      <c r="I57" s="1670"/>
      <c r="J57" s="3329">
        <f>IF(AND(J55="",J56=""),4,IF(项目基本情况!K6="上海银行",结果表1层!J56+1,结果表1层!J55+1))</f>
        <v>5</v>
      </c>
      <c r="K57" s="3329" t="s">
        <v>1367</v>
      </c>
      <c r="L57" s="2316" t="s">
        <v>1368</v>
      </c>
      <c r="M57" s="2317"/>
      <c r="N57" s="2318">
        <f ca="1">SUMIF(M52:M56,"&lt;9e307")</f>
        <v>390</v>
      </c>
      <c r="O57" s="2319"/>
      <c r="P57" s="2463">
        <f ca="1">N57/M49</f>
        <v>0.57437407952871866</v>
      </c>
    </row>
    <row r="58" spans="1:35" ht="25.2">
      <c r="A58" s="2152" t="s">
        <v>1352</v>
      </c>
      <c r="B58" s="3290" t="s">
        <v>1369</v>
      </c>
      <c r="C58" s="3264"/>
      <c r="D58" s="12">
        <f ca="1">IF(H58="转让取得",C81,C97)</f>
        <v>384</v>
      </c>
      <c r="E58" s="1256" t="s">
        <v>1364</v>
      </c>
      <c r="F58" s="294" t="s">
        <v>28</v>
      </c>
      <c r="G58" s="2340"/>
      <c r="H58" s="2343"/>
      <c r="I58" s="1670"/>
      <c r="J58" s="3329"/>
      <c r="K58" s="3329"/>
      <c r="L58" s="2316" t="s">
        <v>1370</v>
      </c>
      <c r="M58" s="2320"/>
      <c r="N58" s="2321" t="str">
        <f ca="1">NUMBERSTRING(INT(N57*10000),2)&amp;"元整"</f>
        <v>叁佰玖拾万元整</v>
      </c>
      <c r="O58" s="2322"/>
    </row>
    <row r="59" spans="1:35" ht="24.6" thickBot="1">
      <c r="A59" s="3332" t="s">
        <v>1371</v>
      </c>
      <c r="B59" s="3333"/>
      <c r="C59" s="3333"/>
      <c r="D59" s="2345">
        <f ca="1">IF(H59="非个人房产","——",IF(H59="个人住宅（满五唯一有凭证）",0,IF(H59="个人其他（无凭证）",ROUND(D45*F59,0),ROUND(C67*F59,0))))</f>
        <v>6</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2133</v>
      </c>
      <c r="J59" s="3330">
        <f>J57+1</f>
        <v>6</v>
      </c>
      <c r="K59" s="3329" t="s">
        <v>1372</v>
      </c>
      <c r="L59" s="2309" t="s">
        <v>1368</v>
      </c>
      <c r="M59" s="2323"/>
      <c r="N59" s="2324">
        <f ca="1">M49-N57</f>
        <v>289</v>
      </c>
      <c r="O59" s="2325"/>
    </row>
    <row r="60" spans="1:35" ht="12" customHeight="1">
      <c r="A60" s="1671"/>
      <c r="B60" s="646"/>
      <c r="C60" s="646"/>
      <c r="D60" s="646"/>
      <c r="E60" s="1466"/>
      <c r="F60" s="1670"/>
      <c r="G60" s="1670"/>
      <c r="H60" s="151"/>
      <c r="I60" s="121"/>
      <c r="J60" s="3331"/>
      <c r="K60" s="3329"/>
      <c r="L60" s="2316" t="s">
        <v>1370</v>
      </c>
      <c r="M60" s="2320"/>
      <c r="N60" s="2321" t="str">
        <f ca="1">NUMBERSTRING(INT(N59*10000),2)&amp;"元整"</f>
        <v>贰佰捌拾玖万元整</v>
      </c>
      <c r="O60" s="2322"/>
    </row>
    <row r="61" spans="1:35" ht="13.8" thickBot="1">
      <c r="A61" s="3277" t="s">
        <v>1373</v>
      </c>
      <c r="B61" s="3277"/>
      <c r="C61" s="3277"/>
      <c r="D61" s="3277"/>
      <c r="E61" s="3277"/>
      <c r="F61" s="1670"/>
      <c r="G61" s="1670"/>
      <c r="H61" s="151"/>
      <c r="I61" s="121"/>
      <c r="J61" s="2309">
        <f>J59+1</f>
        <v>7</v>
      </c>
      <c r="K61" s="3329" t="s">
        <v>1374</v>
      </c>
      <c r="L61" s="3329"/>
      <c r="M61" s="2326"/>
      <c r="N61" s="2327">
        <f ca="1">ROUND(N59*10000/'数据-汇总表'!E3,0)</f>
        <v>17506</v>
      </c>
      <c r="O61" s="2328"/>
    </row>
    <row r="62" spans="1:35" ht="13.2">
      <c r="A62" s="3295" t="s">
        <v>1375</v>
      </c>
      <c r="B62" s="3296"/>
      <c r="C62" s="1865"/>
      <c r="D62" s="1865" t="s">
        <v>1376</v>
      </c>
      <c r="E62" s="158" t="s">
        <v>1377</v>
      </c>
      <c r="F62" s="1670"/>
      <c r="G62" s="1670"/>
      <c r="H62" s="151"/>
      <c r="I62" s="121"/>
    </row>
    <row r="63" spans="1:35" ht="13.2">
      <c r="A63" s="165" t="s">
        <v>330</v>
      </c>
      <c r="B63" s="159" t="s">
        <v>1378</v>
      </c>
      <c r="C63" s="2349">
        <f ca="1">ROUND((C64+C65)/(1+'数据-取费表'!C42),0)</f>
        <v>647</v>
      </c>
      <c r="D63" s="159"/>
      <c r="E63" s="160"/>
      <c r="F63" s="1670"/>
      <c r="G63" s="1670"/>
      <c r="H63" s="151"/>
      <c r="I63" s="121"/>
      <c r="J63" s="3354" t="s">
        <v>1379</v>
      </c>
      <c r="K63" s="1245" t="s">
        <v>1380</v>
      </c>
      <c r="L63" s="1245">
        <f ca="1">IF(M49&gt;10000,M49*0.5%,IF(AND(M49&gt;1000,M49&lt;=10000),M49*1%,IF(AND(M49&gt;100,M49&lt;=1000),M49*3%,IF(AND(M49&gt;10,M49&lt;=100),M49*5%,M49*8%))))</f>
        <v>20.37</v>
      </c>
      <c r="M63" s="294">
        <f ca="1">ROUND(L63,1)</f>
        <v>20.399999999999999</v>
      </c>
      <c r="N63" s="2329"/>
      <c r="Z63" s="1623"/>
      <c r="AI63" s="1561"/>
    </row>
    <row r="64" spans="1:35" ht="14.25" customHeight="1">
      <c r="A64" s="161" t="s">
        <v>325</v>
      </c>
      <c r="B64" s="162" t="s">
        <v>1381</v>
      </c>
      <c r="C64" s="2350">
        <f ca="1">D45</f>
        <v>679</v>
      </c>
      <c r="D64" s="162" t="s">
        <v>26</v>
      </c>
      <c r="E64" s="164"/>
      <c r="F64" s="1670"/>
      <c r="G64" s="1670"/>
      <c r="H64" s="151"/>
      <c r="I64" s="121"/>
      <c r="J64" s="3354"/>
      <c r="K64" s="1245" t="s">
        <v>1382</v>
      </c>
      <c r="L64" s="1245">
        <f ca="1">IF(M49&gt;2000,M49*0.5%,IF(AND(M49&gt;1000,M49&lt;=2000),M49*0.6%,IF(AND(M49&gt;500,M49&lt;=1000),M49*0.7%,IF(AND(M49&gt;200,M49&lt;=500),M49*0.8%,IF(AND(M49&gt;100,M49&lt;=200),M49*0.9%,IF(AND(M49&gt;50,M49&lt;=100),M49*1%,IF(AND(M49&gt;20,M49&lt;=50),M49*1.5%,IF(AND(M49&gt;10,M49&lt;=20),M49*2%,IF(AND(M49&gt;1,M49&lt;=10),M49*2.5%)))))))))</f>
        <v>4.7529999999999992</v>
      </c>
      <c r="M64" s="294">
        <f t="shared" ref="M64:M65" ca="1" si="1">ROUND(L64,1)</f>
        <v>4.8</v>
      </c>
      <c r="N64" s="2330" t="s">
        <v>1383</v>
      </c>
      <c r="Z64" s="1623"/>
      <c r="AI64" s="1561"/>
    </row>
    <row r="65" spans="1:35" ht="14.25" customHeight="1">
      <c r="A65" s="161" t="s">
        <v>326</v>
      </c>
      <c r="B65" s="162" t="s">
        <v>1384</v>
      </c>
      <c r="C65" s="2351"/>
      <c r="D65" s="162"/>
      <c r="E65" s="164"/>
      <c r="F65" s="1670"/>
      <c r="G65" s="1670"/>
      <c r="H65" s="151"/>
      <c r="I65" s="121"/>
      <c r="J65" s="3354"/>
      <c r="K65" s="1245" t="s">
        <v>1385</v>
      </c>
      <c r="L65" s="1245">
        <f ca="1">IF(M49&gt;1000,M49*0.1%,IF(AND(M49&gt;500,M49&lt;=1000),M49*0.5%,IF(AND(M49&gt;50,M49&lt;=500),M49*1%,IF(AND(M49&gt;1,M49&lt;=50),M49*1.5%))))</f>
        <v>3.395</v>
      </c>
      <c r="M65" s="294">
        <f t="shared" ca="1" si="1"/>
        <v>3.4</v>
      </c>
      <c r="N65" s="2330" t="s">
        <v>1383</v>
      </c>
      <c r="Z65" s="1623"/>
      <c r="AI65" s="1561"/>
    </row>
    <row r="66" spans="1:35" ht="14.25" customHeight="1">
      <c r="A66" s="165" t="s">
        <v>327</v>
      </c>
      <c r="B66" s="166" t="s">
        <v>1386</v>
      </c>
      <c r="C66" s="2352"/>
      <c r="D66" s="166" t="s">
        <v>26</v>
      </c>
      <c r="E66" s="1251" t="s">
        <v>671</v>
      </c>
      <c r="F66" s="1670"/>
      <c r="G66" s="1670"/>
      <c r="H66" s="151"/>
      <c r="I66" s="121"/>
      <c r="J66" s="3354"/>
      <c r="K66" s="1245" t="s">
        <v>1387</v>
      </c>
      <c r="L66" s="1245">
        <f ca="1">M49*0.5%</f>
        <v>3.395</v>
      </c>
      <c r="M66" s="294">
        <f ca="1">IF(L66&gt;0.5,0.5,ROUND(L66,0))</f>
        <v>0.5</v>
      </c>
      <c r="N66" s="2330" t="s">
        <v>1388</v>
      </c>
      <c r="Z66" s="1623"/>
      <c r="AI66" s="1561"/>
    </row>
    <row r="67" spans="1:35" ht="14.25" customHeight="1">
      <c r="A67" s="165" t="s">
        <v>328</v>
      </c>
      <c r="B67" s="166" t="s">
        <v>1389</v>
      </c>
      <c r="C67" s="2353">
        <f ca="1">C63-C66</f>
        <v>647</v>
      </c>
      <c r="D67" s="162" t="s">
        <v>26</v>
      </c>
      <c r="E67" s="164"/>
      <c r="F67" s="1670"/>
      <c r="G67" s="1670"/>
      <c r="H67" s="151"/>
      <c r="I67" s="121"/>
      <c r="J67" s="3354"/>
      <c r="K67" s="1245" t="s">
        <v>1390</v>
      </c>
      <c r="L67" s="1245">
        <f ca="1">IF(M49&gt;=10000,(8.25+(M49-10000)*0.01%),IF(AND(M49&gt;=8000,M49&lt;10000),(7.85+(M49-8000)*0.02%),IF(AND(M49&gt;=5000,M49&lt;8000),(6.65+(M49-5000)*0.04%),IF(AND(M49&gt;=2000,M49&lt;5000),(4.25+(PM49-2000)*0.08%),IF(AND(M49&gt;=1000,M49&lt;2000),(2.75+(M49-1000)*0.15%),IF(AND(M49&gt;=100,M49&lt;1000),(0.5+(M49-100)*0.25%),IF(AND(M49&gt;0,M49&lt;100),M49*0.5%)))))))</f>
        <v>1.9475</v>
      </c>
      <c r="M67" s="294">
        <f ca="1">ROUND(L67*0.9,1)</f>
        <v>1.8</v>
      </c>
      <c r="N67" s="2329"/>
      <c r="Z67" s="1623"/>
      <c r="AI67" s="1561"/>
    </row>
    <row r="68" spans="1:35" ht="14.25" customHeight="1" thickBot="1">
      <c r="A68" s="168" t="s">
        <v>329</v>
      </c>
      <c r="B68" s="169" t="s">
        <v>1391</v>
      </c>
      <c r="C68" s="2354">
        <f ca="1">IF(C67&lt;=0,0,ROUND(C67*D68,0))</f>
        <v>36</v>
      </c>
      <c r="D68" s="2355">
        <f>'数据-取费表'!B41</f>
        <v>5.6000000000000001E-2</v>
      </c>
      <c r="E68" s="170"/>
      <c r="F68" s="1670"/>
      <c r="G68" s="1670"/>
      <c r="H68" s="151"/>
      <c r="I68" s="121"/>
      <c r="J68" s="3354"/>
      <c r="K68" s="1245" t="s">
        <v>1392</v>
      </c>
      <c r="L68" s="1245">
        <f ca="1">IF(M49&gt;10000,M49*0.5%,IF(AND(M49&gt;5000,M49&lt;=10000),M49*1%,IF(AND(M49&gt;1000,M49&lt;=5000),M49*2%,IF(AND(M49&gt;200,M49&lt;=1000),M49*3%,M49*5%))))</f>
        <v>20.37</v>
      </c>
      <c r="M68" s="294">
        <f ca="1">ROUND(L68,1)</f>
        <v>20.399999999999999</v>
      </c>
      <c r="N68" s="2329"/>
      <c r="Z68" s="1623"/>
      <c r="AI68" s="1561"/>
    </row>
    <row r="69" spans="1:35" ht="16.5" customHeight="1">
      <c r="A69" s="1672"/>
      <c r="B69" s="1673"/>
      <c r="C69" s="1674"/>
      <c r="D69" s="1675"/>
      <c r="E69" s="1676"/>
      <c r="F69" s="1466"/>
      <c r="G69" s="1466"/>
      <c r="H69" s="1467"/>
      <c r="I69" s="646"/>
      <c r="J69" s="3354"/>
      <c r="K69" s="1245" t="s">
        <v>1393</v>
      </c>
      <c r="L69" s="1245"/>
      <c r="M69" s="294">
        <f ca="1">ROUND(SUM(M63:M68),0)</f>
        <v>51</v>
      </c>
      <c r="N69" s="2331">
        <f ca="1">M69/M49</f>
        <v>7.511045655375552E-2</v>
      </c>
      <c r="Z69" s="1623"/>
      <c r="AI69" s="1561"/>
    </row>
    <row r="70" spans="1:35" s="642" customFormat="1" ht="14.4"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5" t="s">
        <v>1375</v>
      </c>
      <c r="B71" s="329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647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0" t="s">
        <v>1402</v>
      </c>
      <c r="F76" s="3264"/>
      <c r="G76" s="3264"/>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4</v>
      </c>
      <c r="D78" s="2362">
        <f>'数据-取费表'!B43</f>
        <v>6.000000000000001E-3</v>
      </c>
      <c r="E78" s="3274" t="s">
        <v>1406</v>
      </c>
      <c r="F78" s="3275"/>
      <c r="G78" s="3275"/>
      <c r="H78" s="328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643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160.75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384</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5" t="s">
        <v>1375</v>
      </c>
      <c r="B84" s="329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647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4</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7"/>
      <c r="G88" s="186" t="s">
        <v>1414</v>
      </c>
      <c r="H88" s="1684"/>
      <c r="I88" s="1681"/>
      <c r="J88" s="2307"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7"/>
      <c r="G90" s="3356" t="s">
        <v>2125</v>
      </c>
      <c r="H90" s="3357"/>
      <c r="I90" s="1681"/>
      <c r="J90" s="2307"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4" t="s">
        <v>1419</v>
      </c>
      <c r="F91" s="3275"/>
      <c r="G91" s="327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4" t="s">
        <v>1422</v>
      </c>
      <c r="F92" s="3275"/>
      <c r="G92" s="3275"/>
      <c r="H92" s="3284"/>
      <c r="I92" s="1681"/>
      <c r="J92" s="2308"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4</v>
      </c>
      <c r="D93" s="2362">
        <f>'数据-取费表'!B43</f>
        <v>6.000000000000001E-3</v>
      </c>
      <c r="E93" s="3274" t="s">
        <v>1406</v>
      </c>
      <c r="F93" s="3275"/>
      <c r="G93" s="3275"/>
      <c r="H93" s="328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5" t="s">
        <v>1426</v>
      </c>
      <c r="F94" s="3286"/>
      <c r="G94" s="3286"/>
      <c r="H94" s="328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643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160.75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384</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276"/>
      <c r="E100" s="3259" t="s">
        <v>1429</v>
      </c>
      <c r="F100" s="3259"/>
      <c r="G100" s="3259"/>
      <c r="H100" s="3276"/>
      <c r="I100" s="121"/>
    </row>
    <row r="101" spans="1:35" ht="18.75" customHeight="1">
      <c r="A101" s="3337" t="s">
        <v>1430</v>
      </c>
      <c r="B101" s="3338"/>
      <c r="C101" s="2370" t="str">
        <f>C4</f>
        <v>比较法-商业</v>
      </c>
      <c r="D101" s="2371" t="str">
        <f>D4</f>
        <v>收益法 (元)</v>
      </c>
      <c r="E101" s="3351" t="s">
        <v>1431</v>
      </c>
      <c r="F101" s="3308"/>
      <c r="G101" s="1687" t="s">
        <v>1432</v>
      </c>
      <c r="H101" s="2380">
        <f ca="1">H118</f>
        <v>679</v>
      </c>
      <c r="I101" s="121"/>
    </row>
    <row r="102" spans="1:35" ht="18.75" customHeight="1">
      <c r="A102" s="3310" t="s">
        <v>1433</v>
      </c>
      <c r="B102" s="2369" t="s">
        <v>1432</v>
      </c>
      <c r="C102" s="2370">
        <f ca="1">IF(D32="楼面单价",ROUND(C19,0),C19)</f>
        <v>865</v>
      </c>
      <c r="D102" s="2371">
        <f ca="1">IF(D32="楼面单价",ROUND(D19,0),D19)</f>
        <v>400</v>
      </c>
      <c r="E102" s="3351"/>
      <c r="F102" s="3308"/>
      <c r="G102" s="1687" t="s">
        <v>1434</v>
      </c>
      <c r="H102" s="2340">
        <f ca="1">I118</f>
        <v>41135</v>
      </c>
      <c r="I102" s="121"/>
    </row>
    <row r="103" spans="1:35" ht="42.75" customHeight="1">
      <c r="A103" s="3310"/>
      <c r="B103" s="2369" t="s">
        <v>1434</v>
      </c>
      <c r="C103" s="2372">
        <f ca="1">C20</f>
        <v>52401</v>
      </c>
      <c r="D103" s="2373">
        <f ca="1">D20</f>
        <v>24235</v>
      </c>
      <c r="E103" s="3345" t="s">
        <v>1435</v>
      </c>
      <c r="F103" s="3346"/>
      <c r="G103" s="1688" t="s">
        <v>1436</v>
      </c>
      <c r="H103" s="2380">
        <f>IF(D36="正常操作",H104+H105+H106,H105+H106)</f>
        <v>0</v>
      </c>
      <c r="I103" s="121"/>
    </row>
    <row r="104" spans="1:35" ht="18.75" customHeight="1">
      <c r="A104" s="3310" t="s">
        <v>1437</v>
      </c>
      <c r="B104" s="2374" t="s">
        <v>1432</v>
      </c>
      <c r="C104" s="2375">
        <f ca="1">H118</f>
        <v>679</v>
      </c>
      <c r="D104" s="2376"/>
      <c r="E104" s="1555" t="s">
        <v>1438</v>
      </c>
      <c r="F104" s="1548"/>
      <c r="G104" s="1688" t="s">
        <v>1436</v>
      </c>
      <c r="H104" s="2381">
        <f>IF(D36="同一抵押权人同一抵押物续贷",C36&amp;"（续贷，未扣减，详见特别提示）",C36)</f>
        <v>0</v>
      </c>
      <c r="I104" s="121"/>
    </row>
    <row r="105" spans="1:35" ht="18.75" customHeight="1" thickBot="1">
      <c r="A105" s="3311"/>
      <c r="B105" s="2377" t="s">
        <v>1434</v>
      </c>
      <c r="C105" s="2378">
        <f ca="1">I118</f>
        <v>41135</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7" t="str">
        <f>IF(项目基本情况!E8="已注销","——","3.房地产抵押价值")</f>
        <v>3.房地产抵押价值</v>
      </c>
      <c r="F107" s="3308"/>
      <c r="G107" s="1687" t="s">
        <v>1432</v>
      </c>
      <c r="H107" s="2380">
        <f ca="1">IF(E107="——","——",H101-H103)</f>
        <v>679</v>
      </c>
      <c r="I107" s="121"/>
    </row>
    <row r="108" spans="1:35" ht="18.75" customHeight="1">
      <c r="A108" s="121"/>
      <c r="B108" s="121"/>
      <c r="C108" s="121"/>
      <c r="D108" s="121"/>
      <c r="E108" s="3307"/>
      <c r="F108" s="3308"/>
      <c r="G108" s="1687" t="s">
        <v>1434</v>
      </c>
      <c r="H108" s="2340">
        <f ca="1">IF(H107=H101,H102,ROUND(H107*10000/'数据-汇总表'!E3,0))</f>
        <v>41135</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308"/>
      <c r="G109" s="1687" t="s">
        <v>1432</v>
      </c>
      <c r="H109" s="2383" t="str">
        <f>IF(E109="——","——",H101-H105-H106)</f>
        <v>——</v>
      </c>
      <c r="I109" s="121"/>
    </row>
    <row r="110" spans="1:35" ht="18.75" customHeight="1">
      <c r="A110" s="121"/>
      <c r="B110" s="121"/>
      <c r="C110" s="121"/>
      <c r="D110" s="121"/>
      <c r="E110" s="3307"/>
      <c r="F110" s="3308"/>
      <c r="G110" s="1687" t="s">
        <v>1434</v>
      </c>
      <c r="H110" s="2340" t="str">
        <f>IF(H109="——","——",ROUND(H109*10000/'数据-汇总表'!E3,0))</f>
        <v>——</v>
      </c>
      <c r="I110" s="121"/>
    </row>
    <row r="111" spans="1:35" ht="18.75" customHeight="1">
      <c r="A111" s="121"/>
      <c r="B111" s="121"/>
      <c r="C111" s="121"/>
      <c r="D111" s="121"/>
      <c r="E111" s="3339" t="str">
        <f>IF(项目基本情况!E9="抵押净值",IF(OR(项目基本情况!E8="已注销",项目基本情况!E8="房地产抵押价值"),"4.抵押净值","5.抵押净值"),"——")</f>
        <v>——</v>
      </c>
      <c r="F111" s="3309"/>
      <c r="G111" s="1687" t="s">
        <v>1432</v>
      </c>
      <c r="H111" s="2380" t="str">
        <f>IF(E111="——","——",N59)</f>
        <v>——</v>
      </c>
      <c r="I111" s="121"/>
    </row>
    <row r="112" spans="1:35" ht="18.75" customHeight="1" thickBot="1">
      <c r="A112" s="121"/>
      <c r="B112" s="121"/>
      <c r="C112" s="121"/>
      <c r="D112" s="121"/>
      <c r="E112" s="3340"/>
      <c r="F112" s="3341"/>
      <c r="G112" s="1690" t="s">
        <v>1434</v>
      </c>
      <c r="H112" s="2384"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2" t="s">
        <v>1442</v>
      </c>
      <c r="B115" s="3323"/>
      <c r="C115" s="3323"/>
      <c r="D115" s="3323"/>
      <c r="E115" s="3323"/>
      <c r="F115" s="3323"/>
      <c r="G115" s="3323"/>
      <c r="H115" s="3323"/>
      <c r="I115" s="3324"/>
    </row>
    <row r="116" spans="1:27" ht="27" customHeight="1">
      <c r="A116" s="3278" t="s">
        <v>1443</v>
      </c>
      <c r="B116" s="3313" t="s">
        <v>1444</v>
      </c>
      <c r="C116" s="3313" t="s">
        <v>1445</v>
      </c>
      <c r="D116" s="3326" t="s">
        <v>1446</v>
      </c>
      <c r="E116" s="3327"/>
      <c r="F116" s="3321" t="s">
        <v>1447</v>
      </c>
      <c r="G116" s="3321"/>
      <c r="H116" s="3278" t="s">
        <v>1448</v>
      </c>
      <c r="I116" s="3278"/>
    </row>
    <row r="117" spans="1:27" ht="18.75" customHeight="1">
      <c r="A117" s="3278"/>
      <c r="B117" s="3314"/>
      <c r="C117" s="3314"/>
      <c r="D117" s="2149" t="s">
        <v>1449</v>
      </c>
      <c r="E117" s="2149" t="s">
        <v>1450</v>
      </c>
      <c r="F117" s="2149" t="s">
        <v>1449</v>
      </c>
      <c r="G117" s="2149" t="s">
        <v>1451</v>
      </c>
      <c r="H117" s="2149" t="s">
        <v>1449</v>
      </c>
      <c r="I117" s="2149" t="s">
        <v>1451</v>
      </c>
    </row>
    <row r="118" spans="1:27" ht="24.75" customHeight="1">
      <c r="A118" s="2385" t="str">
        <f>项目基本情况!S2</f>
        <v>北京市朝阳区天溪园20号楼房地产</v>
      </c>
      <c r="B118" s="2149">
        <f>M18</f>
        <v>165.09</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679</v>
      </c>
      <c r="I118" s="2149">
        <f ca="1">ROUND(IF(D32="楼面单价",C32,H118*10000/B118),0)</f>
        <v>41135</v>
      </c>
    </row>
    <row r="119" spans="1:27" ht="18.75" customHeight="1">
      <c r="A119" s="3278" t="s">
        <v>1452</v>
      </c>
      <c r="B119" s="3278"/>
      <c r="C119" s="3278"/>
      <c r="D119" s="3318" t="str">
        <f>NUMBERSTRING(INT(D118*10000),2)&amp;"元整"</f>
        <v>零元整</v>
      </c>
      <c r="E119" s="3320"/>
      <c r="F119" s="3318" t="str">
        <f>NUMBERSTRING(INT(F118*10000),2)&amp;"元整"</f>
        <v>零元整</v>
      </c>
      <c r="G119" s="3320"/>
      <c r="H119" s="3318" t="str">
        <f ca="1">NUMBERSTRING(INT(H118*10000),2)&amp;"元整"</f>
        <v>陆佰柒拾玖万元整</v>
      </c>
      <c r="I119" s="3320"/>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8" t="s">
        <v>1452</v>
      </c>
      <c r="B121" s="3319"/>
      <c r="C121" s="3320"/>
      <c r="D121" s="3318" t="str">
        <f>IF(D120=0,"零元整",NUMBERSTRING(INT(D120*10000),2)&amp;"元整")</f>
        <v>零元整</v>
      </c>
      <c r="E121" s="3319"/>
      <c r="F121" s="3319"/>
      <c r="G121" s="3319"/>
      <c r="H121" s="3319"/>
      <c r="I121" s="3320"/>
      <c r="AA121" s="684"/>
    </row>
    <row r="122" spans="1:27" ht="18.75" customHeight="1">
      <c r="A122" s="3309" t="str">
        <f>IF(项目基本情况!B9="房地产市场价值","",MID(E107,3,LEN(E107)-2))</f>
        <v>房地产抵押价值</v>
      </c>
      <c r="B122" s="3309"/>
      <c r="C122" s="3309"/>
      <c r="D122" s="3342">
        <f ca="1">H107</f>
        <v>679</v>
      </c>
      <c r="E122" s="3343"/>
      <c r="F122" s="3343"/>
      <c r="G122" s="3343"/>
      <c r="H122" s="3343"/>
      <c r="I122" s="3344"/>
      <c r="AA122" s="684"/>
    </row>
    <row r="123" spans="1:27" ht="18.75" customHeight="1">
      <c r="A123" s="3278" t="s">
        <v>1452</v>
      </c>
      <c r="B123" s="3278"/>
      <c r="C123" s="3278"/>
      <c r="D123" s="3318" t="str">
        <f ca="1">NUMBERSTRING(INT(D122*10000),2)&amp;"元整"</f>
        <v>陆佰柒拾玖万元整</v>
      </c>
      <c r="E123" s="3319"/>
      <c r="F123" s="3319"/>
      <c r="G123" s="3319"/>
      <c r="H123" s="3319"/>
      <c r="I123" s="3320"/>
      <c r="AA123" s="684"/>
    </row>
    <row r="124" spans="1:27" ht="18.75" customHeight="1">
      <c r="A124" s="3309" t="str">
        <f>IF(项目基本情况!B9="房地产市场价值","",MID(E109,3,LEN(E109)-2))</f>
        <v/>
      </c>
      <c r="B124" s="3309"/>
      <c r="C124" s="3309"/>
      <c r="D124" s="3342" t="str">
        <f>H109</f>
        <v>——</v>
      </c>
      <c r="E124" s="3343"/>
      <c r="F124" s="3343"/>
      <c r="G124" s="3343"/>
      <c r="H124" s="3343"/>
      <c r="I124" s="3344"/>
      <c r="AA124" s="684"/>
    </row>
    <row r="125" spans="1:27" ht="18.75" customHeight="1">
      <c r="A125" s="3278" t="s">
        <v>1452</v>
      </c>
      <c r="B125" s="3278"/>
      <c r="C125" s="3278"/>
      <c r="D125" s="3318" t="e">
        <f>NUMBERSTRING(INT(D124*10000),2)&amp;"元整"</f>
        <v>#VALUE!</v>
      </c>
      <c r="E125" s="3319"/>
      <c r="F125" s="3319"/>
      <c r="G125" s="3319"/>
      <c r="H125" s="3319"/>
      <c r="I125" s="3320"/>
      <c r="AA125" s="684"/>
    </row>
    <row r="126" spans="1:27" ht="18.75" customHeight="1">
      <c r="A126" s="3309" t="str">
        <f>IF(项目基本情况!B9="房地产市场价值","",MID(E111,3,LEN(E111)-2))</f>
        <v/>
      </c>
      <c r="B126" s="3309"/>
      <c r="C126" s="3309"/>
      <c r="D126" s="3342" t="str">
        <f>H111</f>
        <v>——</v>
      </c>
      <c r="E126" s="3343"/>
      <c r="F126" s="3343"/>
      <c r="G126" s="3343"/>
      <c r="H126" s="3343"/>
      <c r="I126" s="3344"/>
      <c r="AA126" s="684"/>
    </row>
    <row r="127" spans="1:27" ht="18.75" customHeight="1">
      <c r="A127" s="3278" t="s">
        <v>1452</v>
      </c>
      <c r="B127" s="3278"/>
      <c r="C127" s="3278"/>
      <c r="D127" s="3318" t="e">
        <f>NUMBERSTRING(INT(D126*10000),2)&amp;"元整"</f>
        <v>#VALUE!</v>
      </c>
      <c r="E127" s="3319"/>
      <c r="F127" s="3319"/>
      <c r="G127" s="3319"/>
      <c r="H127" s="3319"/>
      <c r="I127" s="3320"/>
      <c r="AA127" s="684"/>
    </row>
    <row r="128" spans="1:27" ht="21.75" customHeight="1">
      <c r="A128" s="3325" t="s">
        <v>1453</v>
      </c>
      <c r="B128" s="3325"/>
      <c r="C128" s="3325"/>
      <c r="D128" s="3325"/>
      <c r="E128" s="3325"/>
      <c r="F128" s="3325"/>
      <c r="G128" s="3325"/>
      <c r="H128" s="3325"/>
      <c r="I128" s="332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C5:D7">
    <cfRule type="cellIs" dxfId="167" priority="10" stopIfTrue="1" operator="equal">
      <formula>25</formula>
    </cfRule>
  </conditionalFormatting>
  <conditionalFormatting sqref="C8:D13">
    <cfRule type="cellIs" dxfId="166" priority="8" stopIfTrue="1" operator="equal">
      <formula>15</formula>
    </cfRule>
  </conditionalFormatting>
  <conditionalFormatting sqref="C14:D16">
    <cfRule type="cellIs" dxfId="165" priority="6" stopIfTrue="1" operator="equal">
      <formula>30</formula>
    </cfRule>
  </conditionalFormatting>
  <conditionalFormatting sqref="E36">
    <cfRule type="expression" dxfId="164"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52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3150</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165.09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165.09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0.03</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6.4">
      <c r="A27" s="247" t="s">
        <v>1512</v>
      </c>
      <c r="B27" s="236" t="s">
        <v>1513</v>
      </c>
      <c r="C27" s="237">
        <f ca="1">C28</f>
        <v>0</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57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50</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165.09</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1</v>
      </c>
      <c r="D42" s="230"/>
      <c r="E42" s="230"/>
      <c r="F42" s="231"/>
      <c r="G42" s="3358" t="s">
        <v>1544</v>
      </c>
    </row>
    <row r="43" spans="1:7" ht="13.5" customHeight="1">
      <c r="A43" s="734" t="s">
        <v>347</v>
      </c>
      <c r="B43" s="207" t="s">
        <v>1545</v>
      </c>
      <c r="C43" s="230">
        <f ca="1">ROUND(IF('数据-取费表'!B22&lt;=1,C39*F22*'数据-取费表'!B21/2,C39*(POWER((1+F22),'数据-取费表'!B21/2)-1)),0)</f>
        <v>0</v>
      </c>
      <c r="D43" s="230"/>
      <c r="E43" s="230"/>
      <c r="F43" s="231"/>
      <c r="G43" s="3359"/>
    </row>
    <row r="44" spans="1:7" ht="13.5" customHeight="1">
      <c r="A44" s="734" t="s">
        <v>348</v>
      </c>
      <c r="B44" s="207" t="s">
        <v>1546</v>
      </c>
      <c r="C44" s="230">
        <f ca="1">ROUND(IF('数据-取费表'!B22&lt;=1,C40*F22*'数据-取费表'!B21/2,C40*(POWER((1+F22),'数据-取费表'!B21/2)-1)),4)</f>
        <v>2.9999999999999997E-4</v>
      </c>
      <c r="D44" s="230"/>
      <c r="E44" s="230"/>
      <c r="F44" s="231"/>
      <c r="G44" s="3360"/>
    </row>
    <row r="45" spans="1:7" s="206" customFormat="1" ht="13.5" customHeight="1">
      <c r="A45" s="247" t="s">
        <v>1547</v>
      </c>
      <c r="B45" s="236" t="s">
        <v>1513</v>
      </c>
      <c r="C45" s="237">
        <f ca="1">C46</f>
        <v>6</v>
      </c>
      <c r="D45" s="227">
        <f ca="1">C47</f>
        <v>2E-3</v>
      </c>
      <c r="E45" s="228" t="s">
        <v>1539</v>
      </c>
      <c r="F45" s="238">
        <f ca="1">F27</f>
        <v>0.1</v>
      </c>
      <c r="G45" s="239" t="s">
        <v>1548</v>
      </c>
    </row>
    <row r="46" spans="1:7" s="206" customFormat="1" ht="13.5" customHeight="1">
      <c r="A46" s="734" t="s">
        <v>346</v>
      </c>
      <c r="B46" s="240" t="s">
        <v>1549</v>
      </c>
      <c r="C46" s="241">
        <f ca="1">ROUND((C33+C39)*F27,0)</f>
        <v>6</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70</v>
      </c>
      <c r="D49" s="224"/>
      <c r="E49" s="224"/>
      <c r="F49" s="256"/>
      <c r="G49" s="226" t="s">
        <v>1554</v>
      </c>
    </row>
    <row r="50" spans="1:7" s="250" customFormat="1" ht="24">
      <c r="A50" s="247" t="s">
        <v>1555</v>
      </c>
      <c r="B50" s="202" t="s">
        <v>1556</v>
      </c>
      <c r="C50" s="224"/>
      <c r="D50" s="224"/>
      <c r="E50" s="224"/>
      <c r="F50" s="256">
        <f>IF('数据-取费表'!B24=0,'数据-取费表'!N16,1)</f>
        <v>0.7</v>
      </c>
      <c r="G50" s="239" t="s">
        <v>1557</v>
      </c>
    </row>
    <row r="51" spans="1:7" ht="16.5" customHeight="1">
      <c r="A51" s="247" t="s">
        <v>1558</v>
      </c>
      <c r="B51" s="202" t="s">
        <v>1559</v>
      </c>
      <c r="C51" s="224">
        <f ca="1">ROUND(C49*F50,0)</f>
        <v>49</v>
      </c>
      <c r="D51" s="224"/>
      <c r="E51" s="224"/>
      <c r="F51" s="256"/>
      <c r="G51" s="226" t="s">
        <v>1560</v>
      </c>
    </row>
    <row r="52" spans="1:7" s="200" customFormat="1" ht="16.8" thickBot="1">
      <c r="A52" s="257" t="s">
        <v>1561</v>
      </c>
      <c r="B52" s="258"/>
      <c r="C52" s="259">
        <f ca="1">C31+C51</f>
        <v>52</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6" t="str">
        <f>项目基本情况!B1</f>
        <v>北京市朝阳区天溪园20号楼房地产抵押价值预评估</v>
      </c>
      <c r="C37" s="3176"/>
      <c r="D37" s="3176"/>
      <c r="E37" s="3176"/>
      <c r="F37" s="3176"/>
      <c r="G37" s="3176"/>
      <c r="H37" s="3176"/>
      <c r="I37" s="317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-3</v>
      </c>
      <c r="C2" s="268" t="s">
        <v>1595</v>
      </c>
      <c r="D2" s="268"/>
      <c r="E2" s="2566"/>
      <c r="F2" s="2566"/>
      <c r="G2" s="2566"/>
      <c r="H2" s="2566"/>
      <c r="I2" s="2566"/>
      <c r="J2" s="2566"/>
      <c r="K2" s="2566"/>
    </row>
    <row r="3" spans="1:33" ht="18" customHeight="1" thickBot="1">
      <c r="A3" s="195" t="s">
        <v>1464</v>
      </c>
      <c r="B3" s="196">
        <f ca="1">ROUND(B2*10000/IF(C1="",'数据-汇总表'!E3,INDIRECT("'数据-取费表'!K"&amp;$K$1)),0)</f>
        <v>-182</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165.09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165.09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165.09</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#N/A</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3" t="s">
        <v>694</v>
      </c>
      <c r="C6" s="1011">
        <f ca="1">ROUND(F6*F8*F7*(1-F9)/10000,0)</f>
        <v>0</v>
      </c>
      <c r="D6" s="147" t="s">
        <v>2105</v>
      </c>
      <c r="E6" s="294" t="s">
        <v>696</v>
      </c>
      <c r="F6" s="295">
        <f ca="1">INDIRECT("'数据-取费表'!u"&amp;$G$1)</f>
        <v>0</v>
      </c>
      <c r="G6" s="1292"/>
      <c r="H6" s="1006" t="s">
        <v>398</v>
      </c>
      <c r="I6" s="3363" t="s">
        <v>694</v>
      </c>
      <c r="J6" s="293">
        <f ca="1">ROUND(M6*M8*M7*(1-M9)/10000,0)</f>
        <v>0</v>
      </c>
      <c r="K6" s="147" t="s">
        <v>2104</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0</v>
      </c>
      <c r="G7" s="1292"/>
      <c r="H7" s="296"/>
      <c r="I7" s="3364"/>
      <c r="J7" s="298"/>
      <c r="K7" s="299"/>
      <c r="L7" s="294" t="s">
        <v>697</v>
      </c>
      <c r="M7" s="295">
        <f ca="1">F7</f>
        <v>0</v>
      </c>
    </row>
    <row r="8" spans="1:37" ht="18" customHeight="1">
      <c r="A8" s="296"/>
      <c r="B8" s="3364"/>
      <c r="C8" s="298"/>
      <c r="D8" s="299"/>
      <c r="E8" s="294" t="s">
        <v>698</v>
      </c>
      <c r="F8" s="295">
        <f ca="1">INDIRECT("'数据-取费表'!ai"&amp;$G$1)</f>
        <v>365</v>
      </c>
      <c r="G8" s="1292"/>
      <c r="H8" s="296"/>
      <c r="I8" s="3364"/>
      <c r="J8" s="298"/>
      <c r="K8" s="299"/>
      <c r="L8" s="294" t="s">
        <v>698</v>
      </c>
      <c r="M8" s="295">
        <f ca="1">INDIRECT("'数据-取费表'!ai"&amp;$G$1)</f>
        <v>365</v>
      </c>
    </row>
    <row r="9" spans="1:37" ht="18" customHeight="1">
      <c r="A9" s="296"/>
      <c r="B9" s="3365"/>
      <c r="C9" s="298"/>
      <c r="D9" s="299"/>
      <c r="E9" s="294" t="s">
        <v>699</v>
      </c>
      <c r="F9" s="304">
        <f ca="1">INDIRECT("'数据-取费表'!w"&amp;$G$1)</f>
        <v>0</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2113</v>
      </c>
      <c r="E10" s="305" t="s">
        <v>701</v>
      </c>
      <c r="F10" s="1053"/>
      <c r="G10" s="1292"/>
      <c r="H10" s="1006" t="s">
        <v>402</v>
      </c>
      <c r="I10" s="1274" t="s">
        <v>700</v>
      </c>
      <c r="J10" s="293">
        <f ca="1">ROUND(IF(M10="押一",J6/12*M11,IF(M10="押二",J6/12*2*M11,IF(M10="押三",J6/12*3*M11,J11*M11))),0)</f>
        <v>0</v>
      </c>
      <c r="K10" s="150" t="s">
        <v>2112</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3331</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t="e">
        <f ca="1">ROUND(J26/(1+F40)^F41,0)</f>
        <v>#N/A</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8" t="s">
        <v>2302</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3331</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#N/A</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#N/A</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#N/A</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#N/A</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2106</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365</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2112</v>
      </c>
      <c r="E53" s="305" t="s">
        <v>701</v>
      </c>
      <c r="F53" s="1053"/>
      <c r="I53" s="1344" t="s">
        <v>836</v>
      </c>
      <c r="J53" s="2005">
        <f ca="1">IF(M47="住宅",IF(D1="——",MAX(J51,L48),MAX(J51,L48-'数据-取费表'!B24)),IF(D1="——",MIN(J51,L48),MIN(J51,L48-'数据-取费表'!B24)))</f>
        <v>0</v>
      </c>
      <c r="K53" s="3361" t="s">
        <v>837</v>
      </c>
      <c r="L53" s="3362"/>
      <c r="O53" s="1325" t="s">
        <v>409</v>
      </c>
      <c r="P53" s="1326" t="s">
        <v>838</v>
      </c>
      <c r="Q53" s="1327" t="e">
        <f ca="1">Q47+Q48</f>
        <v>#N/A</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#N/A</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3</v>
      </c>
      <c r="I62" s="1367" t="s">
        <v>858</v>
      </c>
      <c r="J62" s="610" t="s">
        <v>859</v>
      </c>
      <c r="K62" s="610" t="s">
        <v>860</v>
      </c>
      <c r="L62" s="610" t="s">
        <v>861</v>
      </c>
      <c r="M62" s="1368" t="s">
        <v>862</v>
      </c>
      <c r="O62" s="1325" t="s">
        <v>409</v>
      </c>
      <c r="P62" s="1326" t="s">
        <v>863</v>
      </c>
      <c r="Q62" s="1327" t="e">
        <f ca="1">Q56+Q57</f>
        <v>#N/A</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#N/A</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#N/A</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t="e">
        <f ca="1">F41</f>
        <v>#N/A</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#N/A</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#N/A</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63" priority="3">
      <formula>$F$10="自定义"</formula>
    </cfRule>
  </conditionalFormatting>
  <conditionalFormatting sqref="C54">
    <cfRule type="expression" dxfId="162" priority="1">
      <formula>$F$53="自定义"</formula>
    </cfRule>
  </conditionalFormatting>
  <conditionalFormatting sqref="I55 I60">
    <cfRule type="expression" dxfId="161" priority="57">
      <formula>$J$51&gt;$L$48</formula>
    </cfRule>
  </conditionalFormatting>
  <conditionalFormatting sqref="J11">
    <cfRule type="expression" dxfId="160" priority="2">
      <formula>$M$10="自定义"</formula>
    </cfRule>
  </conditionalFormatting>
  <conditionalFormatting sqref="K55 K60">
    <cfRule type="expression" dxfId="159"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D69" sqref="D69"/>
    </sheetView>
  </sheetViews>
  <sheetFormatPr defaultColWidth="9" defaultRowHeight="13.8"/>
  <cols>
    <col min="1" max="1" width="10.44140625" style="347" customWidth="1"/>
    <col min="2" max="2" width="15.77734375" style="347" customWidth="1"/>
    <col min="3" max="3" width="17.88671875" style="347" customWidth="1"/>
    <col min="4" max="4" width="12.21875" style="347" customWidth="1"/>
    <col min="5" max="5" width="17.44140625" style="347" customWidth="1"/>
    <col min="6" max="6" width="12.21875" style="347" customWidth="1"/>
    <col min="7" max="7" width="17.77734375" style="347" customWidth="1"/>
    <col min="8" max="8" width="12.21875" style="347" customWidth="1"/>
    <col min="9" max="9" width="18.1093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3417</v>
      </c>
      <c r="E1" s="3123" t="s">
        <v>3422</v>
      </c>
      <c r="F1" s="1735" t="s">
        <v>3423</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865.08810000000005</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52401</v>
      </c>
      <c r="C3" s="344" t="s">
        <v>1768</v>
      </c>
      <c r="D3" s="343">
        <f>IF(D1="",'数据-汇总表'!E3,SUMIF('数据-汇总表'!$C19:$C33,D1,'数据-汇总表'!$E19:$E33))</f>
        <v>165.09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84" t="s">
        <v>1770</v>
      </c>
      <c r="D4" s="3385"/>
      <c r="E4" s="3386" t="s">
        <v>1771</v>
      </c>
      <c r="F4" s="3387"/>
      <c r="G4" s="3384" t="s">
        <v>1772</v>
      </c>
      <c r="H4" s="3385"/>
      <c r="I4" s="3384" t="s">
        <v>1773</v>
      </c>
      <c r="J4" s="3385"/>
      <c r="K4" s="537" t="s">
        <v>1774</v>
      </c>
      <c r="L4" s="2485"/>
      <c r="M4" s="2486"/>
      <c r="N4" s="2486"/>
      <c r="O4" s="2486"/>
      <c r="P4" s="3388" t="s">
        <v>1775</v>
      </c>
      <c r="Q4" s="3389"/>
      <c r="R4" s="3394" t="s">
        <v>1771</v>
      </c>
      <c r="S4" s="3395"/>
      <c r="T4" s="3394" t="s">
        <v>1772</v>
      </c>
      <c r="U4" s="3395"/>
      <c r="V4" s="3367" t="s">
        <v>1773</v>
      </c>
      <c r="W4" s="3367"/>
      <c r="X4" s="1265"/>
      <c r="Y4" s="3394" t="s">
        <v>1775</v>
      </c>
      <c r="Z4" s="3395"/>
      <c r="AA4" s="3381" t="s">
        <v>1771</v>
      </c>
      <c r="AB4" s="3367" t="s">
        <v>1772</v>
      </c>
      <c r="AC4" s="3381" t="s">
        <v>1773</v>
      </c>
    </row>
    <row r="5" spans="1:29">
      <c r="A5" s="348"/>
      <c r="B5" s="349"/>
      <c r="C5" s="3402" t="s">
        <v>1673</v>
      </c>
      <c r="D5" s="3403"/>
      <c r="E5" s="3409" t="s">
        <v>1674</v>
      </c>
      <c r="F5" s="3410"/>
      <c r="G5" s="3402" t="s">
        <v>1675</v>
      </c>
      <c r="H5" s="3403"/>
      <c r="I5" s="3402" t="s">
        <v>1676</v>
      </c>
      <c r="J5" s="3403"/>
      <c r="K5" s="537"/>
      <c r="L5" s="2485"/>
      <c r="M5" s="2486"/>
      <c r="N5" s="2486"/>
      <c r="O5" s="2486"/>
      <c r="P5" s="3390"/>
      <c r="Q5" s="3391"/>
      <c r="R5" s="3396"/>
      <c r="S5" s="3397"/>
      <c r="T5" s="3396"/>
      <c r="U5" s="3397"/>
      <c r="V5" s="3367"/>
      <c r="W5" s="3367"/>
      <c r="X5" s="1265"/>
      <c r="Y5" s="3396"/>
      <c r="Z5" s="3397"/>
      <c r="AA5" s="3382"/>
      <c r="AB5" s="3367"/>
      <c r="AC5" s="3382"/>
    </row>
    <row r="6" spans="1:29" ht="15" thickBot="1">
      <c r="A6" s="350"/>
      <c r="B6" s="351"/>
      <c r="C6" s="3400" t="s">
        <v>1677</v>
      </c>
      <c r="D6" s="3401"/>
      <c r="E6" s="3407" t="s">
        <v>1677</v>
      </c>
      <c r="F6" s="3408"/>
      <c r="G6" s="3400" t="s">
        <v>1677</v>
      </c>
      <c r="H6" s="3401"/>
      <c r="I6" s="3400" t="s">
        <v>1677</v>
      </c>
      <c r="J6" s="3401"/>
      <c r="K6" s="537" t="s">
        <v>1678</v>
      </c>
      <c r="L6" s="2485"/>
      <c r="M6" s="2486"/>
      <c r="N6" s="2486"/>
      <c r="O6" s="2486"/>
      <c r="P6" s="3392"/>
      <c r="Q6" s="3393"/>
      <c r="R6" s="3396"/>
      <c r="S6" s="3397"/>
      <c r="T6" s="3398"/>
      <c r="U6" s="3399"/>
      <c r="V6" s="3367"/>
      <c r="W6" s="3367"/>
      <c r="X6" s="1265"/>
      <c r="Y6" s="3398"/>
      <c r="Z6" s="3399"/>
      <c r="AA6" s="3383"/>
      <c r="AB6" s="3367"/>
      <c r="AC6" s="3383"/>
    </row>
    <row r="7" spans="1:29" s="102" customFormat="1" ht="15" thickBot="1">
      <c r="A7" s="352" t="s">
        <v>1679</v>
      </c>
      <c r="B7" s="353"/>
      <c r="C7" s="354">
        <f>'数据-取费表'!B2</f>
        <v>45831</v>
      </c>
      <c r="D7" s="355">
        <v>100</v>
      </c>
      <c r="E7" s="356">
        <f>C7</f>
        <v>45831</v>
      </c>
      <c r="F7" s="357">
        <f>SUMIF(58:58,YEAR(E7)&amp;"-"&amp;MONTH(E7),59:59)</f>
        <v>100</v>
      </c>
      <c r="G7" s="356">
        <f>C7</f>
        <v>45831</v>
      </c>
      <c r="H7" s="355">
        <f>SUMIF(58:58,YEAR(G7)&amp;"-"&amp;MONTH(G7),59:59)</f>
        <v>100</v>
      </c>
      <c r="I7" s="356">
        <f>C7</f>
        <v>45831</v>
      </c>
      <c r="J7" s="355">
        <f>SUMIF(58:58,YEAR(I7)&amp;"-"&amp;MONTH(I7),59:59)</f>
        <v>100</v>
      </c>
      <c r="K7" s="38"/>
      <c r="L7" s="2487"/>
      <c r="M7" s="2439"/>
      <c r="N7" s="2439"/>
      <c r="O7" s="2439"/>
      <c r="P7" s="3404" t="s">
        <v>1680</v>
      </c>
      <c r="Q7" s="3406"/>
      <c r="R7" s="664" t="s">
        <v>14</v>
      </c>
      <c r="S7" s="665">
        <f t="shared" ref="S7:S15" si="0">F7</f>
        <v>100</v>
      </c>
      <c r="T7" s="664" t="s">
        <v>14</v>
      </c>
      <c r="U7" s="665">
        <f t="shared" ref="U7:U15" si="1">H7</f>
        <v>100</v>
      </c>
      <c r="V7" s="664" t="s">
        <v>14</v>
      </c>
      <c r="W7" s="665">
        <f t="shared" ref="W7:W15" si="2">J7</f>
        <v>100</v>
      </c>
      <c r="X7" s="666"/>
      <c r="Y7" s="3404" t="s">
        <v>1680</v>
      </c>
      <c r="Z7" s="3405"/>
      <c r="AA7" s="50">
        <f>D7/F7</f>
        <v>1</v>
      </c>
      <c r="AB7" s="50">
        <f>D7/H7</f>
        <v>1</v>
      </c>
      <c r="AC7" s="50">
        <f>D7/J7</f>
        <v>1</v>
      </c>
    </row>
    <row r="8" spans="1:29" s="102" customFormat="1" ht="15" thickBot="1">
      <c r="A8" s="352" t="s">
        <v>1681</v>
      </c>
      <c r="B8" s="353"/>
      <c r="C8" s="358" t="s">
        <v>3424</v>
      </c>
      <c r="D8" s="355">
        <v>100</v>
      </c>
      <c r="E8" s="358" t="s">
        <v>3425</v>
      </c>
      <c r="F8" s="357">
        <f>SUMIF(61:61,E8,62:62)-SUMIF(61:61,C8,62:62)+100</f>
        <v>105</v>
      </c>
      <c r="G8" s="358" t="s">
        <v>3425</v>
      </c>
      <c r="H8" s="355">
        <f>SUMIF(61:61,G8,62:62)-SUMIF(61:61,C8,62:62)+100</f>
        <v>105</v>
      </c>
      <c r="I8" s="358" t="s">
        <v>3425</v>
      </c>
      <c r="J8" s="355">
        <f>SUMIF(61:61,I8,62:62)-SUMIF(61:61,C8,62:62)+100</f>
        <v>105</v>
      </c>
      <c r="K8" s="38"/>
      <c r="L8" s="2487"/>
      <c r="M8" s="2439"/>
      <c r="N8" s="2439"/>
      <c r="O8" s="2439"/>
      <c r="P8" s="3404" t="s">
        <v>1683</v>
      </c>
      <c r="Q8" s="3405"/>
      <c r="R8" s="664" t="s">
        <v>14</v>
      </c>
      <c r="S8" s="665">
        <f t="shared" si="0"/>
        <v>105</v>
      </c>
      <c r="T8" s="664" t="s">
        <v>14</v>
      </c>
      <c r="U8" s="665">
        <f t="shared" si="1"/>
        <v>105</v>
      </c>
      <c r="V8" s="664" t="s">
        <v>14</v>
      </c>
      <c r="W8" s="665">
        <f t="shared" si="2"/>
        <v>105</v>
      </c>
      <c r="X8" s="666"/>
      <c r="Y8" s="3404" t="s">
        <v>1683</v>
      </c>
      <c r="Z8" s="3405"/>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0"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0"/>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80"/>
      <c r="Q11" s="530" t="str">
        <f t="shared" si="6"/>
        <v>容积率</v>
      </c>
      <c r="R11" s="664" t="s">
        <v>14</v>
      </c>
      <c r="S11" s="665">
        <f t="shared" si="0"/>
        <v>100</v>
      </c>
      <c r="T11" s="664" t="s">
        <v>14</v>
      </c>
      <c r="U11" s="665">
        <f t="shared" si="1"/>
        <v>100</v>
      </c>
      <c r="V11" s="664" t="s">
        <v>14</v>
      </c>
      <c r="W11" s="665">
        <f t="shared" si="2"/>
        <v>100</v>
      </c>
      <c r="X11" s="666"/>
      <c r="Y11" s="326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0"/>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0"/>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0"/>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55.2">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71" t="s">
        <v>1691</v>
      </c>
      <c r="Q15" s="1263" t="str">
        <f t="shared" si="6"/>
        <v>商业繁华度</v>
      </c>
      <c r="R15" s="667" t="s">
        <v>14</v>
      </c>
      <c r="S15" s="668">
        <f t="shared" si="0"/>
        <v>100</v>
      </c>
      <c r="T15" s="667" t="s">
        <v>14</v>
      </c>
      <c r="U15" s="668">
        <f t="shared" si="1"/>
        <v>100</v>
      </c>
      <c r="V15" s="667" t="s">
        <v>14</v>
      </c>
      <c r="W15" s="668">
        <f t="shared" si="2"/>
        <v>100</v>
      </c>
      <c r="X15" s="1265"/>
      <c r="Y15" s="337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72"/>
      <c r="Q16" s="1263"/>
      <c r="R16" s="667"/>
      <c r="S16" s="668"/>
      <c r="T16" s="667"/>
      <c r="U16" s="668"/>
      <c r="V16" s="667"/>
      <c r="W16" s="668"/>
      <c r="X16" s="1265"/>
      <c r="Y16" s="3374"/>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72"/>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72"/>
      <c r="Q18" s="1263"/>
      <c r="R18" s="667"/>
      <c r="S18" s="668"/>
      <c r="T18" s="667"/>
      <c r="U18" s="668"/>
      <c r="V18" s="667"/>
      <c r="W18" s="668"/>
      <c r="X18" s="1265"/>
      <c r="Y18" s="337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72"/>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72"/>
      <c r="Q20" s="1263"/>
      <c r="R20" s="667"/>
      <c r="S20" s="668"/>
      <c r="T20" s="667"/>
      <c r="U20" s="668"/>
      <c r="V20" s="667"/>
      <c r="W20" s="668"/>
      <c r="X20" s="1265"/>
      <c r="Y20" s="337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72"/>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72"/>
      <c r="Q22" s="1263"/>
      <c r="R22" s="667"/>
      <c r="S22" s="668"/>
      <c r="T22" s="667"/>
      <c r="U22" s="668"/>
      <c r="V22" s="667"/>
      <c r="W22" s="668"/>
      <c r="X22" s="1265"/>
      <c r="Y22" s="3374"/>
      <c r="Z22" s="1264"/>
      <c r="AA22" s="1264">
        <v>1</v>
      </c>
      <c r="AB22" s="1264">
        <v>1</v>
      </c>
      <c r="AC22" s="1264">
        <v>1</v>
      </c>
    </row>
    <row r="23" spans="1:29" ht="41.4">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72"/>
      <c r="Q23" s="1263" t="str">
        <f>B23</f>
        <v>自然及人文环境</v>
      </c>
      <c r="R23" s="667" t="s">
        <v>14</v>
      </c>
      <c r="S23" s="668">
        <f>F23</f>
        <v>100</v>
      </c>
      <c r="T23" s="667" t="s">
        <v>14</v>
      </c>
      <c r="U23" s="668">
        <f>H23</f>
        <v>100</v>
      </c>
      <c r="V23" s="667" t="s">
        <v>14</v>
      </c>
      <c r="W23" s="668">
        <f>J23</f>
        <v>100</v>
      </c>
      <c r="X23" s="1265"/>
      <c r="Y23" s="337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72"/>
      <c r="Q24" s="1263"/>
      <c r="R24" s="667"/>
      <c r="S24" s="668"/>
      <c r="T24" s="667"/>
      <c r="U24" s="668"/>
      <c r="V24" s="667"/>
      <c r="W24" s="668"/>
      <c r="X24" s="1265"/>
      <c r="Y24" s="337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72"/>
      <c r="Q25" s="1263" t="str">
        <f t="shared" ref="Q25:Q46" si="11">B25</f>
        <v>临街状况</v>
      </c>
      <c r="R25" s="667" t="s">
        <v>14</v>
      </c>
      <c r="S25" s="668">
        <f>F25</f>
        <v>100</v>
      </c>
      <c r="T25" s="667" t="s">
        <v>14</v>
      </c>
      <c r="U25" s="668">
        <f>H25</f>
        <v>100</v>
      </c>
      <c r="V25" s="667" t="s">
        <v>14</v>
      </c>
      <c r="W25" s="668">
        <f>J25</f>
        <v>100</v>
      </c>
      <c r="X25" s="1265"/>
      <c r="Y25" s="337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72"/>
      <c r="Q26" s="1263" t="str">
        <f t="shared" si="11"/>
        <v>平面位置/可视性</v>
      </c>
      <c r="R26" s="667" t="s">
        <v>14</v>
      </c>
      <c r="S26" s="668">
        <f>F26</f>
        <v>100</v>
      </c>
      <c r="T26" s="667" t="s">
        <v>14</v>
      </c>
      <c r="U26" s="668">
        <f>H26</f>
        <v>100</v>
      </c>
      <c r="V26" s="667" t="s">
        <v>14</v>
      </c>
      <c r="W26" s="668">
        <f>J26</f>
        <v>100</v>
      </c>
      <c r="X26" s="1265"/>
      <c r="Y26" s="337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72"/>
      <c r="Q27" s="530" t="str">
        <f t="shared" si="11"/>
        <v>人流量</v>
      </c>
      <c r="R27" s="664" t="s">
        <v>14</v>
      </c>
      <c r="S27" s="665">
        <f>F27</f>
        <v>100</v>
      </c>
      <c r="T27" s="664" t="s">
        <v>14</v>
      </c>
      <c r="U27" s="665">
        <f>H27</f>
        <v>100</v>
      </c>
      <c r="V27" s="664" t="s">
        <v>14</v>
      </c>
      <c r="W27" s="665">
        <f>J27</f>
        <v>100</v>
      </c>
      <c r="X27" s="666"/>
      <c r="Y27" s="337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7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72"/>
      <c r="Q29" s="1263">
        <f t="shared" si="11"/>
        <v>111</v>
      </c>
      <c r="R29" s="667" t="s">
        <v>14</v>
      </c>
      <c r="S29" s="668">
        <f t="shared" si="12"/>
        <v>100</v>
      </c>
      <c r="T29" s="667" t="s">
        <v>14</v>
      </c>
      <c r="U29" s="668">
        <f t="shared" si="13"/>
        <v>100</v>
      </c>
      <c r="V29" s="667" t="s">
        <v>14</v>
      </c>
      <c r="W29" s="668">
        <f t="shared" si="14"/>
        <v>100</v>
      </c>
      <c r="X29" s="1265"/>
      <c r="Y29" s="337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72"/>
      <c r="Q30" s="1263">
        <f t="shared" si="11"/>
        <v>111</v>
      </c>
      <c r="R30" s="667" t="s">
        <v>14</v>
      </c>
      <c r="S30" s="668">
        <f t="shared" si="12"/>
        <v>100</v>
      </c>
      <c r="T30" s="667" t="s">
        <v>14</v>
      </c>
      <c r="U30" s="668">
        <f t="shared" si="13"/>
        <v>100</v>
      </c>
      <c r="V30" s="667" t="s">
        <v>14</v>
      </c>
      <c r="W30" s="668">
        <f t="shared" si="14"/>
        <v>100</v>
      </c>
      <c r="X30" s="1265"/>
      <c r="Y30" s="337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72"/>
      <c r="Q31" s="1263">
        <f t="shared" si="11"/>
        <v>111</v>
      </c>
      <c r="R31" s="667" t="s">
        <v>14</v>
      </c>
      <c r="S31" s="668">
        <f t="shared" si="12"/>
        <v>100</v>
      </c>
      <c r="T31" s="667" t="s">
        <v>14</v>
      </c>
      <c r="U31" s="668">
        <f t="shared" si="13"/>
        <v>100</v>
      </c>
      <c r="V31" s="667" t="s">
        <v>14</v>
      </c>
      <c r="W31" s="668">
        <f t="shared" si="14"/>
        <v>100</v>
      </c>
      <c r="X31" s="1265"/>
      <c r="Y31" s="337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5" t="s">
        <v>1696</v>
      </c>
      <c r="Q32" s="1263" t="str">
        <f t="shared" si="11"/>
        <v>商业类型</v>
      </c>
      <c r="R32" s="667" t="s">
        <v>14</v>
      </c>
      <c r="S32" s="668">
        <f t="shared" si="12"/>
        <v>100</v>
      </c>
      <c r="T32" s="667" t="s">
        <v>14</v>
      </c>
      <c r="U32" s="668">
        <f t="shared" si="13"/>
        <v>100</v>
      </c>
      <c r="V32" s="667" t="s">
        <v>14</v>
      </c>
      <c r="W32" s="668">
        <f t="shared" si="14"/>
        <v>100</v>
      </c>
      <c r="X32" s="1265"/>
      <c r="Y32" s="3378"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165.09</v>
      </c>
      <c r="D33" s="119">
        <v>100</v>
      </c>
      <c r="E33" s="369">
        <v>142.36000000000001</v>
      </c>
      <c r="F33" s="364">
        <f>LOOKUP(E33,103:103,104:104)-LOOKUP(C33,103:103,104:104)+100</f>
        <v>101</v>
      </c>
      <c r="G33" s="368">
        <v>197.34</v>
      </c>
      <c r="H33" s="119">
        <f>LOOKUP(G33,103:103,104:104)-LOOKUP(C33,103:103,104:104)+100</f>
        <v>100</v>
      </c>
      <c r="I33" s="368">
        <v>230.28</v>
      </c>
      <c r="J33" s="119">
        <f>LOOKUP(I33,103:103,104:104)-LOOKUP(C33,103:103,104:104)+100</f>
        <v>99</v>
      </c>
      <c r="K33" s="539"/>
      <c r="L33" s="2490"/>
      <c r="M33" s="2492"/>
      <c r="N33" s="2492"/>
      <c r="O33" s="2492"/>
      <c r="P33" s="3376"/>
      <c r="Q33" s="531" t="str">
        <f t="shared" si="11"/>
        <v>项目建筑规模</v>
      </c>
      <c r="R33" s="669" t="s">
        <v>14</v>
      </c>
      <c r="S33" s="670">
        <f t="shared" si="12"/>
        <v>101</v>
      </c>
      <c r="T33" s="669" t="s">
        <v>14</v>
      </c>
      <c r="U33" s="670">
        <f t="shared" si="13"/>
        <v>100</v>
      </c>
      <c r="V33" s="669" t="s">
        <v>14</v>
      </c>
      <c r="W33" s="670">
        <f t="shared" si="14"/>
        <v>99</v>
      </c>
      <c r="X33" s="671"/>
      <c r="Y33" s="3378"/>
      <c r="Z33" s="672" t="str">
        <f t="shared" si="15"/>
        <v>项目建筑规模</v>
      </c>
      <c r="AA33" s="1264">
        <f t="shared" si="3"/>
        <v>0.99009900990099009</v>
      </c>
      <c r="AB33" s="1264">
        <f t="shared" si="4"/>
        <v>1</v>
      </c>
      <c r="AC33" s="1264">
        <f t="shared" si="5"/>
        <v>1.0101010101010102</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76"/>
      <c r="Q34" s="1263" t="str">
        <f t="shared" si="11"/>
        <v>建筑结构</v>
      </c>
      <c r="R34" s="667" t="s">
        <v>14</v>
      </c>
      <c r="S34" s="668">
        <f t="shared" si="12"/>
        <v>100</v>
      </c>
      <c r="T34" s="667" t="s">
        <v>14</v>
      </c>
      <c r="U34" s="668">
        <f t="shared" si="13"/>
        <v>100</v>
      </c>
      <c r="V34" s="667" t="s">
        <v>14</v>
      </c>
      <c r="W34" s="668">
        <f t="shared" si="14"/>
        <v>100</v>
      </c>
      <c r="X34" s="1265"/>
      <c r="Y34" s="337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76"/>
      <c r="Q35" s="1263" t="str">
        <f t="shared" si="11"/>
        <v>公共部分装修</v>
      </c>
      <c r="R35" s="667" t="s">
        <v>14</v>
      </c>
      <c r="S35" s="668">
        <f t="shared" si="12"/>
        <v>100</v>
      </c>
      <c r="T35" s="667" t="s">
        <v>14</v>
      </c>
      <c r="U35" s="668">
        <f t="shared" si="13"/>
        <v>100</v>
      </c>
      <c r="V35" s="667" t="s">
        <v>14</v>
      </c>
      <c r="W35" s="668">
        <f t="shared" si="14"/>
        <v>100</v>
      </c>
      <c r="X35" s="1265"/>
      <c r="Y35" s="3378"/>
      <c r="Z35" s="1264" t="str">
        <f t="shared" si="15"/>
        <v>公共部分装修</v>
      </c>
      <c r="AA35" s="1264">
        <f t="shared" si="3"/>
        <v>1</v>
      </c>
      <c r="AB35" s="1264">
        <f t="shared" si="4"/>
        <v>1</v>
      </c>
      <c r="AC35" s="1264">
        <f t="shared" si="5"/>
        <v>1</v>
      </c>
    </row>
    <row r="36" spans="1:29" ht="15">
      <c r="A36" s="409"/>
      <c r="B36" s="364" t="s">
        <v>1786</v>
      </c>
      <c r="C36" s="411">
        <f>'数据-取费表'!N6</f>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c r="L36" s="2491"/>
      <c r="M36" s="2486"/>
      <c r="N36" s="2486"/>
      <c r="O36" s="2486"/>
      <c r="P36" s="3376"/>
      <c r="Q36" s="1263" t="str">
        <f t="shared" si="11"/>
        <v>成新度</v>
      </c>
      <c r="R36" s="667" t="s">
        <v>14</v>
      </c>
      <c r="S36" s="668">
        <f t="shared" si="12"/>
        <v>100</v>
      </c>
      <c r="T36" s="667" t="s">
        <v>14</v>
      </c>
      <c r="U36" s="668">
        <f t="shared" si="13"/>
        <v>100</v>
      </c>
      <c r="V36" s="667" t="s">
        <v>14</v>
      </c>
      <c r="W36" s="668">
        <f t="shared" si="14"/>
        <v>100</v>
      </c>
      <c r="X36" s="1265"/>
      <c r="Y36" s="3378"/>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76"/>
      <c r="Q37" s="530" t="str">
        <f t="shared" si="11"/>
        <v>市政基础设施</v>
      </c>
      <c r="R37" s="664" t="s">
        <v>14</v>
      </c>
      <c r="S37" s="665">
        <f t="shared" si="12"/>
        <v>100</v>
      </c>
      <c r="T37" s="664" t="s">
        <v>14</v>
      </c>
      <c r="U37" s="665">
        <f t="shared" si="13"/>
        <v>100</v>
      </c>
      <c r="V37" s="664" t="s">
        <v>14</v>
      </c>
      <c r="W37" s="665">
        <f t="shared" si="14"/>
        <v>100</v>
      </c>
      <c r="X37" s="666"/>
      <c r="Y37" s="337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76" t="s">
        <v>1696</v>
      </c>
      <c r="Q38" s="1263" t="str">
        <f t="shared" si="11"/>
        <v>业态</v>
      </c>
      <c r="R38" s="667" t="s">
        <v>14</v>
      </c>
      <c r="S38" s="668">
        <f t="shared" si="12"/>
        <v>100</v>
      </c>
      <c r="T38" s="667" t="s">
        <v>14</v>
      </c>
      <c r="U38" s="668">
        <f t="shared" si="13"/>
        <v>100</v>
      </c>
      <c r="V38" s="667" t="s">
        <v>14</v>
      </c>
      <c r="W38" s="668">
        <f t="shared" si="14"/>
        <v>100</v>
      </c>
      <c r="X38" s="1265"/>
      <c r="Y38" s="337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76"/>
      <c r="Q39" s="1263" t="str">
        <f t="shared" si="11"/>
        <v>层高</v>
      </c>
      <c r="R39" s="667" t="s">
        <v>14</v>
      </c>
      <c r="S39" s="668">
        <f t="shared" si="12"/>
        <v>100</v>
      </c>
      <c r="T39" s="667" t="s">
        <v>14</v>
      </c>
      <c r="U39" s="668">
        <f t="shared" si="13"/>
        <v>100</v>
      </c>
      <c r="V39" s="667" t="s">
        <v>14</v>
      </c>
      <c r="W39" s="668">
        <f t="shared" si="14"/>
        <v>100</v>
      </c>
      <c r="X39" s="1265"/>
      <c r="Y39" s="337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76"/>
      <c r="Q40" s="1263" t="str">
        <f t="shared" si="11"/>
        <v>单套建筑面积</v>
      </c>
      <c r="R40" s="667" t="s">
        <v>14</v>
      </c>
      <c r="S40" s="668">
        <f t="shared" si="12"/>
        <v>100</v>
      </c>
      <c r="T40" s="667" t="s">
        <v>14</v>
      </c>
      <c r="U40" s="668">
        <f t="shared" si="13"/>
        <v>100</v>
      </c>
      <c r="V40" s="667" t="s">
        <v>14</v>
      </c>
      <c r="W40" s="668">
        <f t="shared" si="14"/>
        <v>100</v>
      </c>
      <c r="X40" s="1265"/>
      <c r="Y40" s="337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6"/>
      <c r="Q41" s="531" t="str">
        <f t="shared" si="11"/>
        <v>进深比</v>
      </c>
      <c r="R41" s="669" t="s">
        <v>14</v>
      </c>
      <c r="S41" s="670">
        <f t="shared" si="12"/>
        <v>100</v>
      </c>
      <c r="T41" s="669" t="s">
        <v>14</v>
      </c>
      <c r="U41" s="670">
        <f t="shared" si="13"/>
        <v>100</v>
      </c>
      <c r="V41" s="669" t="s">
        <v>14</v>
      </c>
      <c r="W41" s="670">
        <f t="shared" si="14"/>
        <v>100</v>
      </c>
      <c r="X41" s="671"/>
      <c r="Y41" s="337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76"/>
      <c r="Q42" s="1263" t="str">
        <f t="shared" si="11"/>
        <v>内部装修</v>
      </c>
      <c r="R42" s="667" t="s">
        <v>14</v>
      </c>
      <c r="S42" s="668">
        <f t="shared" si="12"/>
        <v>100</v>
      </c>
      <c r="T42" s="667" t="s">
        <v>14</v>
      </c>
      <c r="U42" s="668">
        <f t="shared" si="13"/>
        <v>100</v>
      </c>
      <c r="V42" s="667" t="s">
        <v>14</v>
      </c>
      <c r="W42" s="668">
        <f t="shared" si="14"/>
        <v>100</v>
      </c>
      <c r="X42" s="1265"/>
      <c r="Y42" s="337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76"/>
      <c r="Q43" s="1263" t="str">
        <f t="shared" si="11"/>
        <v>内部装修维护情况</v>
      </c>
      <c r="R43" s="667" t="s">
        <v>14</v>
      </c>
      <c r="S43" s="668">
        <f t="shared" si="12"/>
        <v>100</v>
      </c>
      <c r="T43" s="667" t="s">
        <v>14</v>
      </c>
      <c r="U43" s="668">
        <f t="shared" si="13"/>
        <v>100</v>
      </c>
      <c r="V43" s="667" t="s">
        <v>14</v>
      </c>
      <c r="W43" s="668">
        <f t="shared" si="14"/>
        <v>100</v>
      </c>
      <c r="X43" s="1265"/>
      <c r="Y43" s="337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76"/>
      <c r="Q44" s="530">
        <f t="shared" si="11"/>
        <v>111</v>
      </c>
      <c r="R44" s="664" t="s">
        <v>14</v>
      </c>
      <c r="S44" s="665">
        <f t="shared" si="12"/>
        <v>100</v>
      </c>
      <c r="T44" s="664" t="s">
        <v>14</v>
      </c>
      <c r="U44" s="665">
        <f t="shared" si="13"/>
        <v>100</v>
      </c>
      <c r="V44" s="664" t="s">
        <v>14</v>
      </c>
      <c r="W44" s="665">
        <f t="shared" si="14"/>
        <v>100</v>
      </c>
      <c r="X44" s="666"/>
      <c r="Y44" s="337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76"/>
      <c r="Q45" s="1263">
        <f t="shared" si="11"/>
        <v>111</v>
      </c>
      <c r="R45" s="667" t="s">
        <v>14</v>
      </c>
      <c r="S45" s="668">
        <f t="shared" si="12"/>
        <v>100</v>
      </c>
      <c r="T45" s="667" t="s">
        <v>14</v>
      </c>
      <c r="U45" s="668">
        <f t="shared" si="13"/>
        <v>100</v>
      </c>
      <c r="V45" s="667" t="s">
        <v>14</v>
      </c>
      <c r="W45" s="668">
        <f t="shared" si="14"/>
        <v>100</v>
      </c>
      <c r="X45" s="1265"/>
      <c r="Y45" s="337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7"/>
      <c r="Q46" s="1263">
        <f t="shared" si="11"/>
        <v>111</v>
      </c>
      <c r="R46" s="667" t="s">
        <v>14</v>
      </c>
      <c r="S46" s="668">
        <f t="shared" si="12"/>
        <v>100</v>
      </c>
      <c r="T46" s="667" t="s">
        <v>14</v>
      </c>
      <c r="U46" s="668">
        <f t="shared" si="13"/>
        <v>100</v>
      </c>
      <c r="V46" s="667" t="s">
        <v>14</v>
      </c>
      <c r="W46" s="668">
        <f t="shared" si="14"/>
        <v>100</v>
      </c>
      <c r="X46" s="1265"/>
      <c r="Y46" s="3379"/>
      <c r="Z46" s="1264">
        <f t="shared" si="15"/>
        <v>111</v>
      </c>
      <c r="AA46" s="1264">
        <f t="shared" si="3"/>
        <v>1</v>
      </c>
      <c r="AB46" s="1264">
        <f t="shared" si="4"/>
        <v>1</v>
      </c>
      <c r="AC46" s="1264">
        <f t="shared" si="5"/>
        <v>1</v>
      </c>
    </row>
    <row r="47" spans="1:29" ht="14.4">
      <c r="A47" s="416" t="s">
        <v>1708</v>
      </c>
      <c r="B47" s="417"/>
      <c r="C47" s="1081" t="s">
        <v>0</v>
      </c>
      <c r="D47" s="418"/>
      <c r="E47" s="419">
        <v>55001</v>
      </c>
      <c r="F47" s="420"/>
      <c r="G47" s="421">
        <v>55032</v>
      </c>
      <c r="H47" s="422"/>
      <c r="I47" s="419">
        <v>55020</v>
      </c>
      <c r="J47" s="422"/>
      <c r="K47" s="674"/>
      <c r="L47" s="2493"/>
      <c r="M47" s="2486"/>
      <c r="N47" s="2486"/>
      <c r="O47" s="2486"/>
      <c r="P47" s="3366" t="str">
        <f>A47</f>
        <v>成交单价（元/平方米）</v>
      </c>
      <c r="Q47" s="3366"/>
      <c r="R47" s="3367">
        <f>E47</f>
        <v>55001</v>
      </c>
      <c r="S47" s="3367"/>
      <c r="T47" s="3367">
        <f>G47</f>
        <v>55032</v>
      </c>
      <c r="U47" s="3367"/>
      <c r="V47" s="3367">
        <f>I47</f>
        <v>55020</v>
      </c>
      <c r="W47" s="3367"/>
      <c r="X47" s="385"/>
      <c r="Y47" s="673"/>
      <c r="Z47" s="385"/>
      <c r="AA47" s="385"/>
      <c r="AB47" s="385"/>
      <c r="AC47" s="385"/>
    </row>
    <row r="48" spans="1:29" ht="15" thickBot="1">
      <c r="A48" s="423" t="s">
        <v>1793</v>
      </c>
      <c r="B48" s="424"/>
      <c r="C48" s="1082">
        <f>R49</f>
        <v>52401</v>
      </c>
      <c r="D48" s="2140" t="s">
        <v>2134</v>
      </c>
      <c r="E48" s="1083">
        <f>R48</f>
        <v>51863</v>
      </c>
      <c r="F48" s="2141"/>
      <c r="G48" s="1082">
        <f>T48</f>
        <v>52411</v>
      </c>
      <c r="H48" s="2141"/>
      <c r="I48" s="1083">
        <f>V48</f>
        <v>52929</v>
      </c>
      <c r="J48" s="2141"/>
      <c r="K48" s="2143">
        <f>F48+H48+J48</f>
        <v>0</v>
      </c>
      <c r="L48" s="2493"/>
      <c r="M48" s="2486"/>
      <c r="N48" s="2486"/>
      <c r="O48" s="2486"/>
      <c r="P48" s="3366" t="str">
        <f>A48</f>
        <v>比较价值（元/平方米）</v>
      </c>
      <c r="Q48" s="3366"/>
      <c r="R48" s="3367">
        <f>IF(F1="售价",ROUND(PRODUCT(R47,AA7:AA46),0),ROUND(PRODUCT(R47,AA7:AA46),1))</f>
        <v>51863</v>
      </c>
      <c r="S48" s="3367"/>
      <c r="T48" s="3367">
        <f>IF(F1="售价",ROUND(PRODUCT(T47,AB7:AB46),0),ROUND(PRODUCT(T47,AB7:AB46),1))</f>
        <v>52411</v>
      </c>
      <c r="U48" s="3367"/>
      <c r="V48" s="3367">
        <f>IF(F1="售价",ROUND(PRODUCT(V47,AC7:AC46),0),ROUND(PRODUCT(V47,AC7:AC46),1))</f>
        <v>52929</v>
      </c>
      <c r="W48" s="3367"/>
      <c r="X48" s="385"/>
      <c r="Y48" s="385"/>
      <c r="Z48" s="385"/>
      <c r="AA48" s="385"/>
      <c r="AB48" s="385"/>
      <c r="AC48" s="385"/>
    </row>
    <row r="49" spans="1:29" ht="15" thickBot="1">
      <c r="A49" s="427" t="s">
        <v>1794</v>
      </c>
      <c r="B49" s="428"/>
      <c r="C49" s="351">
        <f>R49</f>
        <v>52401</v>
      </c>
      <c r="D49" s="351"/>
      <c r="E49" s="351"/>
      <c r="F49" s="351"/>
      <c r="G49" s="351"/>
      <c r="H49" s="351"/>
      <c r="I49" s="351"/>
      <c r="J49" s="351"/>
      <c r="K49" s="675"/>
      <c r="L49" s="2493"/>
      <c r="M49" s="2486"/>
      <c r="N49" s="2486"/>
      <c r="O49" s="2486"/>
      <c r="P49" s="3368" t="str">
        <f>A49</f>
        <v>估价对象XX用房的比较价值（楼面单价，元/平方米）</v>
      </c>
      <c r="Q49" s="3369"/>
      <c r="R49" s="3370">
        <f>IF(F1="售价",ROUND(IF(D48="简单平均",AVERAGE(R48:V48),R48*F48+T48*H48+V48*J48),0),ROUND(IF(D48="简单平均",AVERAGE(R48:V48),R48*F48+T48*H48+V48*J48),1))</f>
        <v>52401</v>
      </c>
      <c r="S49" s="3370"/>
      <c r="T49" s="3370"/>
      <c r="U49" s="3370"/>
      <c r="V49" s="3370"/>
      <c r="W49" s="337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6.0505562732583895E-2</v>
      </c>
      <c r="F52" s="435" t="str">
        <f>IF(OR(E52&gt;=0.3,E52&lt;=-0.3),"超过30%","")</f>
        <v/>
      </c>
      <c r="G52" s="434">
        <f>IF(G47&lt;G48,G48/G47-1,G47/G48-1)</f>
        <v>5.0008585983858378E-2</v>
      </c>
      <c r="H52" s="435" t="str">
        <f>IF(OR(G52&gt;=0.3,G52&lt;=-0.3),"超过30%","")</f>
        <v/>
      </c>
      <c r="I52" s="434">
        <f>IF(I47&lt;I48,I48/I47-1,I47/I48-1)</f>
        <v>3.950575298985437E-2</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1.0566299674141577E-2</v>
      </c>
      <c r="F53" s="435" t="str">
        <f>IF(OR(E53&gt;=0.2,E53&lt;=-0.2),"超过20%","")</f>
        <v/>
      </c>
      <c r="G53" s="434">
        <f>IF(G48&lt;I48,I48/G48-1,G48/I48-1)</f>
        <v>9.8834214191676484E-3</v>
      </c>
      <c r="H53" s="435" t="str">
        <f>IF(OR(G53&gt;=0.2,G53&lt;=-0.2),"超过20%","")</f>
        <v/>
      </c>
      <c r="I53" s="434">
        <f>IF(I48&lt;E48,E48/I48-1,I48/E48-1)</f>
        <v>2.0554152285829907E-2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5.6362611588878231E-4</v>
      </c>
      <c r="F54" s="435" t="str">
        <f>IF(OR(E54&gt;=0.3,E54&lt;=-0.3),"超过30%","")</f>
        <v/>
      </c>
      <c r="G54" s="434">
        <f>IF(G47&lt;I47,I47/G47-1,G47/I47-1)</f>
        <v>2.1810250817888566E-4</v>
      </c>
      <c r="H54" s="435" t="str">
        <f>IF(OR(G54&gt;=0.3,G54&lt;=-0.3),"超过30%","")</f>
        <v/>
      </c>
      <c r="I54" s="434">
        <f>IF(I47&lt;E47,E47/I47-1,I47/E47-1)</f>
        <v>3.4544826457705291E-4</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63" t="s">
        <v>3426</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50(含)-100</v>
      </c>
      <c r="D102" s="509" t="str">
        <f t="shared" ref="D102:L102" si="23">D103&amp;"(含)"&amp;"-"&amp;E103</f>
        <v>100(含)-150</v>
      </c>
      <c r="E102" s="509" t="str">
        <f t="shared" si="23"/>
        <v>150(含)-200</v>
      </c>
      <c r="F102" s="509" t="str">
        <f t="shared" si="23"/>
        <v>200(含)-250</v>
      </c>
      <c r="G102" s="509" t="str">
        <f t="shared" si="23"/>
        <v>250(含)-300</v>
      </c>
      <c r="H102" s="509" t="str">
        <f t="shared" si="23"/>
        <v>300(含)-350</v>
      </c>
      <c r="I102" s="509" t="str">
        <f t="shared" si="23"/>
        <v>350(含)-400</v>
      </c>
      <c r="J102" s="509" t="str">
        <f t="shared" si="23"/>
        <v>400(含)-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50</v>
      </c>
      <c r="D103" s="6">
        <v>100</v>
      </c>
      <c r="E103" s="6">
        <v>150</v>
      </c>
      <c r="F103" s="6">
        <v>200</v>
      </c>
      <c r="G103" s="6">
        <v>250</v>
      </c>
      <c r="H103" s="6">
        <v>300</v>
      </c>
      <c r="I103" s="6">
        <v>350</v>
      </c>
      <c r="J103" s="524">
        <v>400</v>
      </c>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J104" si="24">D104-1</f>
        <v>98</v>
      </c>
      <c r="F104" s="467">
        <f t="shared" si="24"/>
        <v>97</v>
      </c>
      <c r="G104" s="467">
        <f t="shared" si="24"/>
        <v>96</v>
      </c>
      <c r="H104" s="467">
        <f t="shared" si="24"/>
        <v>95</v>
      </c>
      <c r="I104" s="467">
        <f t="shared" si="24"/>
        <v>94</v>
      </c>
      <c r="J104" s="467">
        <f t="shared" si="24"/>
        <v>93</v>
      </c>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58" priority="16" stopIfTrue="1">
      <formula>$F$52="超过30%"</formula>
    </cfRule>
  </conditionalFormatting>
  <conditionalFormatting sqref="E53">
    <cfRule type="expression" dxfId="157" priority="15" stopIfTrue="1">
      <formula>$F$53="超过20%"</formula>
    </cfRule>
  </conditionalFormatting>
  <conditionalFormatting sqref="E54">
    <cfRule type="expression" dxfId="156" priority="14" stopIfTrue="1">
      <formula>$F$54="超过30%"</formula>
    </cfRule>
  </conditionalFormatting>
  <conditionalFormatting sqref="F7:F46 H7:H46 J7:J46">
    <cfRule type="cellIs" dxfId="155" priority="1" operator="notEqual">
      <formula>100</formula>
    </cfRule>
  </conditionalFormatting>
  <conditionalFormatting sqref="F48">
    <cfRule type="expression" dxfId="154" priority="4">
      <formula>$D$48="简单平均"</formula>
    </cfRule>
  </conditionalFormatting>
  <conditionalFormatting sqref="F52:F54 H52:H54">
    <cfRule type="containsText" dxfId="153" priority="17" stopIfTrue="1" operator="containsText" text="超过">
      <formula>NOT(ISERROR(SEARCH("超过",F52)))</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G54">
    <cfRule type="expression" dxfId="150" priority="13" stopIfTrue="1">
      <formula>$H$54="超过30%"</formula>
    </cfRule>
  </conditionalFormatting>
  <conditionalFormatting sqref="H48">
    <cfRule type="expression" dxfId="149" priority="3">
      <formula>$D$48="简单平均"</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J48">
    <cfRule type="expression" dxfId="145" priority="2">
      <formula>$D$48="简单平均"</formula>
    </cfRule>
  </conditionalFormatting>
  <conditionalFormatting sqref="J52:J54">
    <cfRule type="containsText" dxfId="14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5" sqref="F35"/>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3417</v>
      </c>
      <c r="D1" s="1271" t="s">
        <v>43</v>
      </c>
      <c r="E1" s="1272" t="s">
        <v>678</v>
      </c>
      <c r="F1" s="999">
        <f ca="1">J53</f>
        <v>17.71</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400.10180000000003</v>
      </c>
      <c r="C2" s="1289" t="s">
        <v>879</v>
      </c>
      <c r="D2" s="1375">
        <f ca="1">C40+J29+L46</f>
        <v>4001018</v>
      </c>
      <c r="E2" s="1295" t="s">
        <v>880</v>
      </c>
      <c r="F2" s="1296"/>
      <c r="G2" s="2477"/>
      <c r="H2" s="2467"/>
      <c r="I2" s="2467"/>
      <c r="J2" s="2467"/>
      <c r="K2" s="2468"/>
      <c r="L2" s="2467"/>
      <c r="M2" s="2467"/>
    </row>
    <row r="3" spans="1:37" ht="18" customHeight="1" thickBot="1">
      <c r="A3" s="1297" t="s">
        <v>881</v>
      </c>
      <c r="B3" s="1298">
        <f ca="1">IF(ISERROR(D2/F43),0,ROUND(D2/F43,0))</f>
        <v>24235</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380099</v>
      </c>
      <c r="D5" s="1273" t="s">
        <v>889</v>
      </c>
      <c r="E5" s="1008"/>
      <c r="F5" s="1009"/>
      <c r="G5" s="1292"/>
      <c r="H5" s="291">
        <v>1</v>
      </c>
      <c r="I5" s="292" t="s">
        <v>888</v>
      </c>
      <c r="J5" s="1007">
        <f ca="1">J6+J10+J12</f>
        <v>0</v>
      </c>
      <c r="K5" s="1273" t="s">
        <v>889</v>
      </c>
      <c r="L5" s="1008"/>
      <c r="M5" s="1009"/>
    </row>
    <row r="6" spans="1:37" ht="18" customHeight="1">
      <c r="A6" s="1006" t="s">
        <v>398</v>
      </c>
      <c r="B6" s="3363" t="s">
        <v>694</v>
      </c>
      <c r="C6" s="1011">
        <f ca="1">ROUND(F6*F8*F7*(1-F9),0)</f>
        <v>379624</v>
      </c>
      <c r="D6" s="147" t="s">
        <v>2102</v>
      </c>
      <c r="E6" s="294" t="s">
        <v>696</v>
      </c>
      <c r="F6" s="295">
        <f ca="1">INDIRECT("'数据-取费表'!u"&amp;$G$1)</f>
        <v>7</v>
      </c>
      <c r="G6" s="1292"/>
      <c r="H6" s="1006" t="s">
        <v>398</v>
      </c>
      <c r="I6" s="3363" t="s">
        <v>694</v>
      </c>
      <c r="J6" s="293">
        <f ca="1">ROUND(M6*M8*M7*(1-M9),0)</f>
        <v>0</v>
      </c>
      <c r="K6" s="1284" t="s">
        <v>2103</v>
      </c>
      <c r="L6" s="294" t="s">
        <v>696</v>
      </c>
      <c r="M6" s="295">
        <f ca="1">INDIRECT("'数据-取费表'!z"&amp;$G$1)</f>
        <v>0</v>
      </c>
    </row>
    <row r="7" spans="1:37" ht="18" customHeight="1">
      <c r="A7" s="1010"/>
      <c r="B7" s="3364"/>
      <c r="C7" s="1012"/>
      <c r="D7" s="299"/>
      <c r="E7" s="1013" t="s">
        <v>697</v>
      </c>
      <c r="F7" s="295">
        <f ca="1">IF(INDIRECT("'数据-取费表'!ah"&amp;$G$1)="",INDIRECT("'数据-取费表'!k"&amp;$G$1),INDIRECT("'数据-取费表'!ah"&amp;$G$1))</f>
        <v>165.09</v>
      </c>
      <c r="G7" s="1292"/>
      <c r="H7" s="296"/>
      <c r="I7" s="3364"/>
      <c r="J7" s="298"/>
      <c r="K7" s="299"/>
      <c r="L7" s="294" t="s">
        <v>697</v>
      </c>
      <c r="M7" s="295">
        <f ca="1">F7</f>
        <v>165.09</v>
      </c>
    </row>
    <row r="8" spans="1:37" ht="18" customHeight="1">
      <c r="A8" s="296"/>
      <c r="B8" s="3364"/>
      <c r="C8" s="298"/>
      <c r="D8" s="299"/>
      <c r="E8" s="294" t="s">
        <v>698</v>
      </c>
      <c r="F8" s="295">
        <f ca="1">INDIRECT("'数据-取费表'!ai"&amp;$G$1)</f>
        <v>365</v>
      </c>
      <c r="G8" s="1292"/>
      <c r="H8" s="296"/>
      <c r="I8" s="3364"/>
      <c r="J8" s="298"/>
      <c r="K8" s="299"/>
      <c r="L8" s="294" t="s">
        <v>698</v>
      </c>
      <c r="M8" s="295">
        <f ca="1">INDIRECT("'数据-取费表'!ai"&amp;$G$1)</f>
        <v>365</v>
      </c>
    </row>
    <row r="9" spans="1:37" ht="18" customHeight="1">
      <c r="A9" s="296"/>
      <c r="B9" s="3365"/>
      <c r="C9" s="298"/>
      <c r="D9" s="299"/>
      <c r="E9" s="294" t="s">
        <v>699</v>
      </c>
      <c r="F9" s="304">
        <f ca="1">INDIRECT("'数据-取费表'!w"&amp;$G$1)</f>
        <v>0.1</v>
      </c>
      <c r="G9" s="1292"/>
      <c r="H9" s="296"/>
      <c r="I9" s="3365"/>
      <c r="J9" s="298"/>
      <c r="K9" s="299"/>
      <c r="L9" s="305" t="s">
        <v>699</v>
      </c>
      <c r="M9" s="306">
        <f ca="1">INDIRECT("'数据-取费表'!ab"&amp;$G$1)</f>
        <v>0</v>
      </c>
    </row>
    <row r="10" spans="1:37" ht="18" customHeight="1">
      <c r="A10" s="1006" t="s">
        <v>402</v>
      </c>
      <c r="B10" s="1274" t="s">
        <v>700</v>
      </c>
      <c r="C10" s="308">
        <f ca="1">ROUND(IF(F10="押一",C6/12*F11,IF(F10="押二",C6/12*2*F11,IF(F10="押三",C6/12*3*F11,C11*F11))),0)</f>
        <v>475</v>
      </c>
      <c r="D10" s="150" t="s">
        <v>2112</v>
      </c>
      <c r="E10" s="305" t="s">
        <v>701</v>
      </c>
      <c r="F10" s="1053" t="s">
        <v>3427</v>
      </c>
      <c r="G10" s="1292"/>
      <c r="H10" s="1006" t="s">
        <v>402</v>
      </c>
      <c r="I10" s="1274" t="s">
        <v>700</v>
      </c>
      <c r="J10" s="293">
        <f ca="1">ROUND(IF(M10="押一",J6/12*M11,IF(M10="押二",J6/12*2*M11,IF(M10="押三",J6/12*3*M11,J11*M11))),0)</f>
        <v>0</v>
      </c>
      <c r="K10" s="1285" t="s">
        <v>2114</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484829</v>
      </c>
      <c r="D13" s="1018" t="s">
        <v>705</v>
      </c>
      <c r="E13" s="1018" t="s">
        <v>706</v>
      </c>
      <c r="F13" s="1019">
        <f ca="1">INDIRECT("'数据-取费表'!y"&amp;$G$1)</f>
        <v>0.7</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495270</v>
      </c>
      <c r="D14" s="1257" t="s">
        <v>708</v>
      </c>
      <c r="E14" s="1255"/>
      <c r="F14" s="311"/>
      <c r="G14" s="1292"/>
      <c r="H14" s="928" t="s">
        <v>398</v>
      </c>
      <c r="I14" s="294" t="s">
        <v>709</v>
      </c>
      <c r="J14" s="21">
        <f ca="1">C29</f>
        <v>692613</v>
      </c>
      <c r="K14" s="12"/>
      <c r="L14" s="759"/>
      <c r="M14" s="760"/>
    </row>
    <row r="15" spans="1:37" s="1304" customFormat="1" ht="18" customHeight="1" thickBot="1">
      <c r="A15" s="928" t="s">
        <v>399</v>
      </c>
      <c r="B15" s="294" t="s">
        <v>710</v>
      </c>
      <c r="C15" s="21">
        <f ca="1">ROUND(C14*F15,0)</f>
        <v>24764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6926</v>
      </c>
      <c r="K16" s="1024" t="s">
        <v>715</v>
      </c>
      <c r="L16" s="1025"/>
      <c r="M16" s="1009"/>
    </row>
    <row r="17" spans="1:37" s="1304" customFormat="1" ht="18" customHeight="1">
      <c r="A17" s="928" t="s">
        <v>681</v>
      </c>
      <c r="B17" s="294" t="s">
        <v>716</v>
      </c>
      <c r="C17" s="21">
        <f ca="1">ROUND(F17*(F43+INDIRECT("'数据-取费表'!S"&amp;$G$1)),0)</f>
        <v>33018</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9905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562957</v>
      </c>
      <c r="D19" s="123" t="s">
        <v>726</v>
      </c>
      <c r="E19" s="1269"/>
      <c r="F19" s="23"/>
      <c r="G19" s="1292"/>
      <c r="H19" s="928" t="s">
        <v>399</v>
      </c>
      <c r="I19" s="294" t="s">
        <v>727</v>
      </c>
      <c r="J19" s="21">
        <f ca="1">IF(K19="按租金收入计税",ROUND(J6*M19/(1+'数据-取费表'!C42),0),ROUND(C29*M19*0.7,0))</f>
        <v>0</v>
      </c>
      <c r="K19" s="1278" t="s">
        <v>3331</v>
      </c>
      <c r="L19" s="294" t="s">
        <v>712</v>
      </c>
      <c r="M19" s="314">
        <f>IF(K19="按租金收入计税",'数据-取费表'!B51,'数据-取费表'!B50)</f>
        <v>0.12</v>
      </c>
    </row>
    <row r="20" spans="1:37" s="1304" customFormat="1" ht="18" customHeight="1">
      <c r="A20" s="928" t="s">
        <v>402</v>
      </c>
      <c r="B20" s="294" t="s">
        <v>728</v>
      </c>
      <c r="C20" s="21">
        <f ca="1">ROUND(C19*F20,0)</f>
        <v>11259</v>
      </c>
      <c r="D20" s="315" t="s">
        <v>729</v>
      </c>
      <c r="E20" s="294" t="s">
        <v>712</v>
      </c>
      <c r="F20" s="314">
        <f>'数据-取费表'!B37</f>
        <v>0.02</v>
      </c>
      <c r="G20" s="1303"/>
      <c r="H20" s="928" t="s">
        <v>680</v>
      </c>
      <c r="I20" s="147" t="s">
        <v>730</v>
      </c>
      <c r="J20" s="22">
        <f ca="1">ROUND(M20*M21,0)</f>
        <v>0</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6926</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8613</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-6926</v>
      </c>
      <c r="K25" s="1032" t="s">
        <v>753</v>
      </c>
      <c r="L25" s="1033"/>
      <c r="M25" s="1034"/>
    </row>
    <row r="26" spans="1:37" ht="18" customHeight="1">
      <c r="A26" s="928" t="s">
        <v>397</v>
      </c>
      <c r="B26" s="294" t="s">
        <v>754</v>
      </c>
      <c r="C26" s="21">
        <f ca="1">ROUND((C19+C20)*F26,0)</f>
        <v>57422</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692613</v>
      </c>
      <c r="D29" s="1029"/>
      <c r="E29" s="1027"/>
      <c r="F29" s="1030"/>
      <c r="G29" s="1303"/>
      <c r="H29" s="325" t="s">
        <v>396</v>
      </c>
      <c r="I29" s="326" t="s">
        <v>768</v>
      </c>
      <c r="J29" s="327">
        <f ca="1">ROUND(J26/(1+F40)^F41,0)</f>
        <v>0</v>
      </c>
      <c r="K29" s="328" t="s">
        <v>769</v>
      </c>
      <c r="L29" s="329"/>
      <c r="M29" s="330">
        <f ca="1">INDIRECT("'数据-取费表'!k"&amp;$G$1)</f>
        <v>165.09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74845</v>
      </c>
      <c r="D30" s="1024" t="s">
        <v>715</v>
      </c>
      <c r="E30" s="1025"/>
      <c r="F30" s="1009"/>
      <c r="G30" s="1292"/>
      <c r="H30" s="2469"/>
      <c r="I30" s="1305"/>
      <c r="J30" s="1306"/>
      <c r="K30" s="121"/>
      <c r="L30" s="2470"/>
      <c r="M30" s="2471"/>
    </row>
    <row r="31" spans="1:37" ht="18" customHeight="1">
      <c r="A31" s="928" t="s">
        <v>398</v>
      </c>
      <c r="B31" s="294" t="s">
        <v>719</v>
      </c>
      <c r="C31" s="2139">
        <f ca="1">ROUND(IF(AND(项目基本情况!B11="自然人",项目基本情况!B10="北京市"),C6*F31/(1+'数据-取费表'!C42),C32+C33+C34),0)</f>
        <v>63633</v>
      </c>
      <c r="D31" s="1257" t="s">
        <v>720</v>
      </c>
      <c r="E31" s="1256" t="s">
        <v>770</v>
      </c>
      <c r="F31" s="2138" t="str">
        <f>IF(项目基本情况!B11="企业","——",IF(M47="住宅",IF(F6*F7*F8/12/(1+'数据-取费表'!F30)&gt;100000,4%,2.5%),IF(F6*F7*F8/12/(1+'数据-取费表'!F30)&gt;100000,12%,7%)))</f>
        <v>——</v>
      </c>
      <c r="G31" s="1292"/>
      <c r="H31" s="2568" t="s">
        <v>2302</v>
      </c>
      <c r="I31" s="1305"/>
      <c r="J31" s="1306"/>
      <c r="K31" s="121"/>
      <c r="L31" s="2470"/>
      <c r="M31" s="2471"/>
    </row>
    <row r="32" spans="1:37" ht="18" customHeight="1">
      <c r="A32" s="928" t="s">
        <v>397</v>
      </c>
      <c r="B32" s="294" t="s">
        <v>723</v>
      </c>
      <c r="C32" s="21">
        <f ca="1">IF(项目基本情况!B11="自然人","——",ROUND(C6*F32/(1+'数据-取费表'!C42),0))</f>
        <v>20247</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43386</v>
      </c>
      <c r="D33" s="1278" t="s">
        <v>3331</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6926</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485</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3801</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305254</v>
      </c>
      <c r="D39" s="1032" t="s">
        <v>773</v>
      </c>
      <c r="E39" s="1033"/>
      <c r="F39" s="1034"/>
      <c r="G39" s="1292"/>
      <c r="H39" s="2472"/>
      <c r="I39" s="1305"/>
      <c r="J39" s="1306"/>
      <c r="K39" s="2470"/>
      <c r="L39" s="2472"/>
      <c r="M39" s="2472"/>
    </row>
    <row r="40" spans="1:18" ht="18" customHeight="1">
      <c r="A40" s="291" t="s">
        <v>395</v>
      </c>
      <c r="B40" s="292" t="s">
        <v>774</v>
      </c>
      <c r="C40" s="293">
        <f ca="1">ROUND(C39*(1-((1+F42)/(1+F40))^F41)/(F40-F42),0)</f>
        <v>3923089</v>
      </c>
      <c r="D40" s="316" t="s">
        <v>758</v>
      </c>
      <c r="E40" s="294" t="s">
        <v>759</v>
      </c>
      <c r="F40" s="304">
        <f ca="1">INDIRECT("'数据-取费表'!I"&amp;$G$1)</f>
        <v>5.5E-2</v>
      </c>
      <c r="G40" s="1292"/>
      <c r="H40" s="1366">
        <f ca="1">C39/C5</f>
        <v>0.80309077371947835</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17.71</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23763</v>
      </c>
      <c r="D43" s="328" t="s">
        <v>777</v>
      </c>
      <c r="E43" s="329" t="s">
        <v>778</v>
      </c>
      <c r="F43" s="330">
        <f ca="1">INDIRECT("'数据-取费表'!k"&amp;$G$1)</f>
        <v>165.09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3347</v>
      </c>
      <c r="B45" s="1307"/>
      <c r="C45" s="1376">
        <f ca="1">ROUND((C68-C40)/10000,4)</f>
        <v>-400.56290000000001</v>
      </c>
      <c r="D45" s="3129" t="s">
        <v>3348</v>
      </c>
      <c r="E45" s="1307"/>
      <c r="F45" s="1307"/>
      <c r="O45" s="1310" t="s">
        <v>808</v>
      </c>
      <c r="P45" s="1366"/>
      <c r="Q45" s="1366"/>
      <c r="R45" s="1366"/>
    </row>
    <row r="46" spans="1:18" s="1292" customFormat="1" ht="13.8" thickBot="1">
      <c r="A46" s="1311" t="s">
        <v>809</v>
      </c>
      <c r="C46" s="1312">
        <f ca="1">ROUND(C45,0)</f>
        <v>-401</v>
      </c>
      <c r="D46" s="1313" t="str">
        <f>C2</f>
        <v>万元</v>
      </c>
      <c r="I46" s="1314" t="s">
        <v>810</v>
      </c>
      <c r="J46" s="1315"/>
      <c r="K46" s="1316"/>
      <c r="L46" s="1317">
        <f ca="1">IF(M47="住宅",0,IF(L48&gt;J51,L60,J60))</f>
        <v>77929</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3428</v>
      </c>
      <c r="K47" s="1323" t="s">
        <v>816</v>
      </c>
      <c r="L47" s="1324">
        <f ca="1">INDIRECT("'数据-取费表'!d"&amp;$G$1)</f>
        <v>40</v>
      </c>
      <c r="M47" s="1288" t="str">
        <f>IF(ISNUMBER(FIND("住宅",C1)),"住宅","非住宅")</f>
        <v>非住宅</v>
      </c>
      <c r="O47" s="1325" t="s">
        <v>403</v>
      </c>
      <c r="P47" s="1326" t="s">
        <v>817</v>
      </c>
      <c r="Q47" s="1327">
        <f ca="1">C40+J29</f>
        <v>3923089</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3429</v>
      </c>
      <c r="K48" s="1330" t="s">
        <v>820</v>
      </c>
      <c r="L48" s="1331">
        <f ca="1">INDIRECT("'数据-取费表'!f"&amp;$G$1)</f>
        <v>17.71</v>
      </c>
      <c r="O48" s="1325" t="s">
        <v>404</v>
      </c>
      <c r="P48" s="1326" t="s">
        <v>821</v>
      </c>
      <c r="Q48" s="1327">
        <f ca="1">J60</f>
        <v>77929</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2007</v>
      </c>
      <c r="K49" s="1330" t="s">
        <v>824</v>
      </c>
      <c r="L49" s="1333"/>
      <c r="O49" s="1334" t="s">
        <v>405</v>
      </c>
      <c r="P49" s="1326" t="s">
        <v>825</v>
      </c>
      <c r="Q49" s="1327">
        <f ca="1">C29</f>
        <v>692613</v>
      </c>
      <c r="R49" s="1327" t="s">
        <v>818</v>
      </c>
    </row>
    <row r="50" spans="1:18" s="1292" customFormat="1" ht="13.8" thickBot="1">
      <c r="A50" s="922"/>
      <c r="B50" s="925"/>
      <c r="C50" s="926"/>
      <c r="D50" s="899"/>
      <c r="E50" s="993" t="s">
        <v>697</v>
      </c>
      <c r="F50" s="994">
        <f ca="1">F7</f>
        <v>165.09</v>
      </c>
      <c r="H50" s="682"/>
      <c r="I50" s="1328" t="s">
        <v>826</v>
      </c>
      <c r="J50" s="1335">
        <f>SUMPRODUCT((I63:I65=J47)*(J62:L62=J48)*(J63:L65))</f>
        <v>60</v>
      </c>
      <c r="K50" s="1330" t="s">
        <v>827</v>
      </c>
      <c r="L50" s="1333"/>
      <c r="M50" s="1336"/>
      <c r="O50" s="1334" t="s">
        <v>406</v>
      </c>
      <c r="P50" s="1326" t="s">
        <v>828</v>
      </c>
      <c r="Q50" s="1337">
        <f ca="1">J58</f>
        <v>0.40500000000000003</v>
      </c>
      <c r="R50" s="1327"/>
    </row>
    <row r="51" spans="1:18" s="1292" customFormat="1" ht="13.8" thickBot="1">
      <c r="A51" s="923"/>
      <c r="B51" s="925"/>
      <c r="C51" s="926"/>
      <c r="D51" s="899"/>
      <c r="E51" s="927" t="s">
        <v>698</v>
      </c>
      <c r="F51" s="295">
        <f ca="1">F8</f>
        <v>365</v>
      </c>
      <c r="I51" s="1338" t="s">
        <v>829</v>
      </c>
      <c r="J51" s="1331">
        <f>IF(J49="",J50,J49+J50-YEAR('数据-取费表'!B2))</f>
        <v>42</v>
      </c>
      <c r="K51" s="1339" t="s">
        <v>830</v>
      </c>
      <c r="L51" s="1340">
        <f ca="1">ROUND(-PV(INDIRECT("'数据-取费表'!h"&amp;$G$1),J51,(C39-C13*C76),0),0)</f>
        <v>4727194</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17.71</v>
      </c>
      <c r="R52" s="1327" t="s">
        <v>835</v>
      </c>
    </row>
    <row r="53" spans="1:18" s="1292" customFormat="1" ht="30.75" customHeight="1" thickBot="1">
      <c r="A53" s="1048" t="s">
        <v>440</v>
      </c>
      <c r="B53" s="315" t="s">
        <v>700</v>
      </c>
      <c r="C53" s="308">
        <f ca="1">ROUND(IF(F53="押一",C49/12*F11,IF(F53="押二",C49/12*2*F11,IF(F53="押三",C49/12*3*F11,C54*F11))),0)</f>
        <v>0</v>
      </c>
      <c r="D53" s="150" t="s">
        <v>2115</v>
      </c>
      <c r="E53" s="305" t="s">
        <v>701</v>
      </c>
      <c r="F53" s="1053"/>
      <c r="I53" s="1344" t="s">
        <v>836</v>
      </c>
      <c r="J53" s="2005">
        <f ca="1">IF(M47="住宅",IF(D1="——",MAX(J51,L48),MAX(J51,L48-'数据-取费表'!B24)),IF(D1="——",MIN(J51,L48),MIN(J51,L48-'数据-取费表'!B24)))</f>
        <v>17.71</v>
      </c>
      <c r="K53" s="3361" t="s">
        <v>837</v>
      </c>
      <c r="L53" s="3362"/>
      <c r="O53" s="1325" t="s">
        <v>409</v>
      </c>
      <c r="P53" s="1326" t="s">
        <v>838</v>
      </c>
      <c r="Q53" s="1327">
        <f ca="1">Q47+Q48</f>
        <v>4001018</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0.40500000000000003</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484829</v>
      </c>
      <c r="D56" s="1352"/>
      <c r="E56" s="1353"/>
      <c r="F56" s="1345"/>
      <c r="I56" s="1354" t="s">
        <v>842</v>
      </c>
      <c r="J56" s="1355" t="s">
        <v>3430</v>
      </c>
      <c r="K56" s="1328" t="s">
        <v>843</v>
      </c>
      <c r="L56" s="1331" t="str">
        <f ca="1">IF(L48&lt;J51,"——",L48-J51)</f>
        <v>——</v>
      </c>
      <c r="O56" s="1325" t="s">
        <v>403</v>
      </c>
      <c r="P56" s="1326" t="s">
        <v>817</v>
      </c>
      <c r="Q56" s="1327">
        <f ca="1">C40+J29</f>
        <v>3923089</v>
      </c>
      <c r="R56" s="1327" t="s">
        <v>818</v>
      </c>
    </row>
    <row r="57" spans="1:18" s="1292" customFormat="1" ht="24.6" thickBot="1">
      <c r="A57" s="1356"/>
      <c r="B57" s="896" t="s">
        <v>767</v>
      </c>
      <c r="C57" s="230">
        <f ca="1">C29</f>
        <v>692613</v>
      </c>
      <c r="D57" s="1357"/>
      <c r="E57" s="1358"/>
      <c r="F57" s="1359"/>
      <c r="I57" s="1360" t="s">
        <v>844</v>
      </c>
      <c r="J57" s="1361">
        <f ca="1">IF(OR(M47="住宅",J51&lt;L48,J56="是"),"——",J51-L48)</f>
        <v>24.29</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7411</v>
      </c>
      <c r="D58" s="906" t="s">
        <v>715</v>
      </c>
      <c r="E58" s="907"/>
      <c r="F58" s="908"/>
      <c r="I58" s="1360" t="s">
        <v>848</v>
      </c>
      <c r="J58" s="1362">
        <f ca="1">IF(J55&lt;0.4,0.4,J55)</f>
        <v>0.40500000000000003</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280508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77929</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3331</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3</v>
      </c>
      <c r="I62" s="1367" t="s">
        <v>858</v>
      </c>
      <c r="J62" s="610" t="s">
        <v>859</v>
      </c>
      <c r="K62" s="610" t="s">
        <v>860</v>
      </c>
      <c r="L62" s="610" t="s">
        <v>861</v>
      </c>
      <c r="M62" s="1368" t="s">
        <v>862</v>
      </c>
      <c r="O62" s="1325" t="s">
        <v>409</v>
      </c>
      <c r="P62" s="1326" t="s">
        <v>863</v>
      </c>
      <c r="Q62" s="1327">
        <f ca="1">Q56+Q57</f>
        <v>3923089</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6926</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485</v>
      </c>
      <c r="D65" s="910" t="s">
        <v>743</v>
      </c>
      <c r="E65" s="896" t="s">
        <v>744</v>
      </c>
      <c r="F65" s="321">
        <f t="shared" ca="1" si="0"/>
        <v>1E-3</v>
      </c>
      <c r="I65" s="1367" t="s">
        <v>867</v>
      </c>
      <c r="J65" s="610">
        <v>40</v>
      </c>
      <c r="K65" s="610">
        <v>30</v>
      </c>
      <c r="L65" s="610">
        <v>50</v>
      </c>
      <c r="M65" s="1369">
        <v>0.02</v>
      </c>
      <c r="O65" s="1325" t="s">
        <v>403</v>
      </c>
      <c r="P65" s="1326" t="s">
        <v>868</v>
      </c>
      <c r="Q65" s="1327">
        <f ca="1">C40+J29</f>
        <v>3923089</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-7411</v>
      </c>
      <c r="D67" s="909" t="s">
        <v>753</v>
      </c>
      <c r="E67" s="914"/>
      <c r="F67" s="915"/>
      <c r="O67" s="1334" t="s">
        <v>405</v>
      </c>
      <c r="P67" s="1326" t="s">
        <v>850</v>
      </c>
      <c r="Q67" s="1370">
        <f ca="1">L51</f>
        <v>4727194</v>
      </c>
      <c r="R67" s="1327" t="s">
        <v>870</v>
      </c>
    </row>
    <row r="68" spans="1:18" s="1292" customFormat="1" ht="16.2" thickBot="1">
      <c r="A68" s="893" t="s">
        <v>395</v>
      </c>
      <c r="B68" s="894" t="s">
        <v>774</v>
      </c>
      <c r="C68" s="293">
        <f ca="1">ROUND(C67*(1-((1+F70)/(1+F68))^F69)/(F68-F70),0)</f>
        <v>-82540</v>
      </c>
      <c r="D68" s="911" t="s">
        <v>758</v>
      </c>
      <c r="E68" s="896" t="s">
        <v>759</v>
      </c>
      <c r="F68" s="304">
        <f ca="1">F40</f>
        <v>5.5E-2</v>
      </c>
      <c r="O68" s="1334" t="s">
        <v>406</v>
      </c>
      <c r="P68" s="1371" t="s">
        <v>871</v>
      </c>
      <c r="Q68" s="1327">
        <f ca="1">ROUND(Q69-Q70*Q71,0)</f>
        <v>271316</v>
      </c>
      <c r="R68" s="1327" t="s">
        <v>414</v>
      </c>
    </row>
    <row r="69" spans="1:18" s="1292" customFormat="1" ht="13.8" thickBot="1">
      <c r="A69" s="897"/>
      <c r="B69" s="898"/>
      <c r="C69" s="298"/>
      <c r="D69" s="916" t="s">
        <v>762</v>
      </c>
      <c r="E69" s="896" t="s">
        <v>763</v>
      </c>
      <c r="F69" s="324">
        <f ca="1">F41</f>
        <v>17.71</v>
      </c>
      <c r="O69" s="1334" t="s">
        <v>411</v>
      </c>
      <c r="P69" s="1371" t="s">
        <v>872</v>
      </c>
      <c r="Q69" s="1327">
        <f ca="1">C39</f>
        <v>305254</v>
      </c>
      <c r="R69" s="1327" t="s">
        <v>818</v>
      </c>
    </row>
    <row r="70" spans="1:18" s="1292" customFormat="1" ht="13.8" thickBot="1">
      <c r="A70" s="900"/>
      <c r="B70" s="901"/>
      <c r="C70" s="302"/>
      <c r="D70" s="912"/>
      <c r="E70" s="896" t="s">
        <v>766</v>
      </c>
      <c r="F70" s="991"/>
      <c r="O70" s="1334" t="s">
        <v>412</v>
      </c>
      <c r="P70" s="1371" t="s">
        <v>873</v>
      </c>
      <c r="Q70" s="1327">
        <f ca="1">C13</f>
        <v>484829</v>
      </c>
      <c r="R70" s="1327" t="s">
        <v>818</v>
      </c>
    </row>
    <row r="71" spans="1:18" s="1292" customFormat="1" ht="13.8" thickBot="1">
      <c r="A71" s="917" t="s">
        <v>396</v>
      </c>
      <c r="B71" s="918" t="s">
        <v>776</v>
      </c>
      <c r="C71" s="327">
        <f ca="1">ROUND(C68/F71,0)</f>
        <v>-500</v>
      </c>
      <c r="D71" s="919" t="s">
        <v>777</v>
      </c>
      <c r="E71" s="920" t="s">
        <v>778</v>
      </c>
      <c r="F71" s="330">
        <f ca="1">F43</f>
        <v>165.09</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33938</v>
      </c>
      <c r="D75" s="1292"/>
      <c r="E75" s="1292"/>
      <c r="F75" s="1292"/>
      <c r="K75" s="1309"/>
      <c r="L75" s="1292"/>
      <c r="O75" s="1325" t="s">
        <v>409</v>
      </c>
      <c r="P75" s="1326" t="s">
        <v>838</v>
      </c>
      <c r="Q75" s="1327">
        <f ca="1">Q65+Q66</f>
        <v>3923089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0.88900000000000001</v>
      </c>
    </row>
    <row r="80" spans="1:18">
      <c r="B80" s="331" t="s">
        <v>800</v>
      </c>
      <c r="C80" s="266">
        <f ca="1">ROUND(C75/C39,3)</f>
        <v>0.111</v>
      </c>
    </row>
    <row r="81" spans="2:3">
      <c r="B81" s="262" t="s">
        <v>801</v>
      </c>
      <c r="C81" s="230"/>
    </row>
    <row r="82" spans="2:3">
      <c r="B82" s="265" t="s">
        <v>802</v>
      </c>
      <c r="C82" s="267">
        <f ca="1">1-C83</f>
        <v>0.876</v>
      </c>
    </row>
    <row r="83" spans="2:3">
      <c r="B83" s="265" t="s">
        <v>803</v>
      </c>
      <c r="C83" s="266">
        <f ca="1">ROUND(C13/C40,3)</f>
        <v>0.124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3" priority="3">
      <formula>$F$10="自定义"</formula>
    </cfRule>
  </conditionalFormatting>
  <conditionalFormatting sqref="C54">
    <cfRule type="expression" dxfId="142" priority="1">
      <formula>$F$53="自定义"</formula>
    </cfRule>
  </conditionalFormatting>
  <conditionalFormatting sqref="I55 I60">
    <cfRule type="expression" dxfId="141" priority="5">
      <formula>$J$51&gt;$L$48</formula>
    </cfRule>
  </conditionalFormatting>
  <conditionalFormatting sqref="J11">
    <cfRule type="expression" dxfId="140" priority="2">
      <formula>$M$10="自定义"</formula>
    </cfRule>
  </conditionalFormatting>
  <conditionalFormatting sqref="K55 K60">
    <cfRule type="expression" dxfId="139"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70" zoomScaleNormal="70" workbookViewId="0">
      <pane ySplit="24" topLeftCell="A25" activePane="bottomLeft" state="frozen"/>
      <selection activeCell="C50" sqref="C50"/>
      <selection pane="bottomLeft" activeCell="W28" sqref="W28"/>
    </sheetView>
  </sheetViews>
  <sheetFormatPr defaultColWidth="9" defaultRowHeight="13.2"/>
  <cols>
    <col min="1" max="1" width="11.44140625" style="122" customWidth="1"/>
    <col min="2" max="2" width="9.21875" style="24" customWidth="1"/>
    <col min="3" max="3" width="7.33203125" style="24" customWidth="1"/>
    <col min="4" max="4" width="9" style="24"/>
    <col min="5" max="5" width="7.88671875" style="24" customWidth="1"/>
    <col min="6" max="6" width="9" style="24"/>
    <col min="7" max="7" width="7.664062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14" t="s">
        <v>2084</v>
      </c>
      <c r="D1" s="3415"/>
      <c r="E1" s="3415"/>
      <c r="F1" s="3415"/>
      <c r="G1" s="3415"/>
      <c r="H1" s="3415"/>
      <c r="I1" s="3415"/>
      <c r="J1" s="3415"/>
      <c r="K1" s="3415"/>
      <c r="L1" s="3415"/>
      <c r="M1" s="3415"/>
      <c r="N1" s="3415"/>
      <c r="O1" s="3415"/>
      <c r="P1" s="3415"/>
      <c r="Q1" s="3415"/>
      <c r="R1" s="3415"/>
      <c r="S1" s="3416"/>
      <c r="T1" s="929" t="s">
        <v>2085</v>
      </c>
    </row>
    <row r="2" spans="1:45" s="625" customFormat="1" ht="39.6">
      <c r="A2" s="930"/>
      <c r="B2" s="622" t="s">
        <v>2086</v>
      </c>
      <c r="C2" s="14" t="str">
        <f t="shared" ref="C2:L2" si="0">C3&amp;"(含)"&amp;"-"&amp;D3</f>
        <v>50(含)-100</v>
      </c>
      <c r="D2" s="623" t="str">
        <f t="shared" si="0"/>
        <v>100(含)-150</v>
      </c>
      <c r="E2" s="623" t="str">
        <f t="shared" si="0"/>
        <v>150(含)-200</v>
      </c>
      <c r="F2" s="623" t="str">
        <f t="shared" si="0"/>
        <v>200(含)-250</v>
      </c>
      <c r="G2" s="623" t="str">
        <f t="shared" si="0"/>
        <v>250(含)-300</v>
      </c>
      <c r="H2" s="623" t="str">
        <f t="shared" si="0"/>
        <v>300(含)-350</v>
      </c>
      <c r="I2" s="623" t="str">
        <f t="shared" si="0"/>
        <v>350(含)-400</v>
      </c>
      <c r="J2" s="623" t="str">
        <f t="shared" si="0"/>
        <v>400(含)-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f>'比较法-商业'!C103</f>
        <v>50</v>
      </c>
      <c r="D3" s="627">
        <f>'比较法-商业'!D103</f>
        <v>100</v>
      </c>
      <c r="E3" s="627">
        <f>'比较法-商业'!E103</f>
        <v>150</v>
      </c>
      <c r="F3" s="627">
        <f>'比较法-商业'!F103</f>
        <v>200</v>
      </c>
      <c r="G3" s="627">
        <f>'比较法-商业'!G103</f>
        <v>250</v>
      </c>
      <c r="H3" s="627">
        <f>'比较法-商业'!H103</f>
        <v>300</v>
      </c>
      <c r="I3" s="627">
        <f>'比较法-商业'!I103</f>
        <v>350</v>
      </c>
      <c r="J3" s="627">
        <f>'比较法-商业'!J103</f>
        <v>400</v>
      </c>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627">
        <f>'比较法-商业'!C104</f>
        <v>100</v>
      </c>
      <c r="D4" s="627">
        <f>'比较法-商业'!D104</f>
        <v>99</v>
      </c>
      <c r="E4" s="627">
        <f>'比较法-商业'!E104</f>
        <v>98</v>
      </c>
      <c r="F4" s="627">
        <f>'比较法-商业'!F104</f>
        <v>97</v>
      </c>
      <c r="G4" s="627">
        <f>'比较法-商业'!G104</f>
        <v>96</v>
      </c>
      <c r="H4" s="627">
        <f>'比较法-商业'!H104</f>
        <v>95</v>
      </c>
      <c r="I4" s="627">
        <f>'比较法-商业'!I104</f>
        <v>94</v>
      </c>
      <c r="J4" s="627">
        <f>'比较法-商业'!J104</f>
        <v>93</v>
      </c>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3165" t="s">
        <v>3514</v>
      </c>
      <c r="C5" s="3516" t="s">
        <v>3516</v>
      </c>
      <c r="D5" s="3517" t="s">
        <v>3518</v>
      </c>
      <c r="E5" s="941"/>
      <c r="F5" s="1227"/>
      <c r="G5" s="1227"/>
      <c r="H5" s="1227"/>
      <c r="I5" s="1227"/>
      <c r="J5" s="1227"/>
      <c r="K5" s="1227"/>
      <c r="L5" s="1228"/>
      <c r="M5" s="1229"/>
      <c r="N5" s="1229"/>
      <c r="O5" s="1227"/>
      <c r="P5" s="1227"/>
      <c r="Q5" s="1227"/>
      <c r="R5" s="1227"/>
      <c r="S5" s="1230"/>
      <c r="T5" s="943">
        <v>10</v>
      </c>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90</v>
      </c>
      <c r="E6" s="849">
        <f t="shared" ref="E6:S6" si="7">D6-$T5</f>
        <v>80</v>
      </c>
      <c r="F6" s="1231">
        <f t="shared" si="7"/>
        <v>70</v>
      </c>
      <c r="G6" s="1231">
        <f t="shared" si="7"/>
        <v>60</v>
      </c>
      <c r="H6" s="1231">
        <f t="shared" si="7"/>
        <v>50</v>
      </c>
      <c r="I6" s="1231">
        <f t="shared" si="7"/>
        <v>40</v>
      </c>
      <c r="J6" s="1231">
        <f t="shared" si="7"/>
        <v>30</v>
      </c>
      <c r="K6" s="1231">
        <f t="shared" si="7"/>
        <v>20</v>
      </c>
      <c r="L6" s="1231">
        <f t="shared" si="7"/>
        <v>10</v>
      </c>
      <c r="M6" s="1231">
        <f t="shared" si="7"/>
        <v>0</v>
      </c>
      <c r="N6" s="1231">
        <f t="shared" si="7"/>
        <v>-10</v>
      </c>
      <c r="O6" s="1231">
        <f t="shared" si="7"/>
        <v>-20</v>
      </c>
      <c r="P6" s="1231">
        <f t="shared" si="7"/>
        <v>-30</v>
      </c>
      <c r="Q6" s="1231">
        <f t="shared" si="7"/>
        <v>-40</v>
      </c>
      <c r="R6" s="1231">
        <f t="shared" si="7"/>
        <v>-50</v>
      </c>
      <c r="S6" s="1231">
        <f t="shared" si="7"/>
        <v>-60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3518" t="s">
        <v>3519</v>
      </c>
      <c r="C7" s="3519" t="s">
        <v>3520</v>
      </c>
      <c r="D7" s="3520" t="s">
        <v>3521</v>
      </c>
      <c r="E7" s="3520" t="s">
        <v>3523</v>
      </c>
      <c r="F7" s="1232"/>
      <c r="G7" s="1232"/>
      <c r="H7" s="1232"/>
      <c r="I7" s="1232"/>
      <c r="J7" s="1232"/>
      <c r="K7" s="1232"/>
      <c r="L7" s="1232"/>
      <c r="M7" s="1233"/>
      <c r="N7" s="1234"/>
      <c r="O7" s="1235"/>
      <c r="P7" s="1235"/>
      <c r="Q7" s="1236"/>
      <c r="R7" s="1237"/>
      <c r="S7" s="1238"/>
      <c r="T7" s="631">
        <v>10</v>
      </c>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90</v>
      </c>
      <c r="E8" s="849">
        <f t="shared" ref="E8:S8" si="8">D8-$T7</f>
        <v>80</v>
      </c>
      <c r="F8" s="1231">
        <f t="shared" si="8"/>
        <v>70</v>
      </c>
      <c r="G8" s="1231">
        <f t="shared" si="8"/>
        <v>60</v>
      </c>
      <c r="H8" s="1231">
        <f t="shared" si="8"/>
        <v>50</v>
      </c>
      <c r="I8" s="1231">
        <f t="shared" si="8"/>
        <v>40</v>
      </c>
      <c r="J8" s="1231">
        <f t="shared" si="8"/>
        <v>30</v>
      </c>
      <c r="K8" s="1231">
        <f t="shared" si="8"/>
        <v>20</v>
      </c>
      <c r="L8" s="1231">
        <f t="shared" si="8"/>
        <v>10</v>
      </c>
      <c r="M8" s="1231">
        <f t="shared" si="8"/>
        <v>0</v>
      </c>
      <c r="N8" s="1231">
        <f t="shared" si="8"/>
        <v>-10</v>
      </c>
      <c r="O8" s="1231">
        <f t="shared" si="8"/>
        <v>-20</v>
      </c>
      <c r="P8" s="1231">
        <f t="shared" si="8"/>
        <v>-30</v>
      </c>
      <c r="Q8" s="1231">
        <f t="shared" si="8"/>
        <v>-40</v>
      </c>
      <c r="R8" s="1231">
        <f t="shared" si="8"/>
        <v>-50</v>
      </c>
      <c r="S8" s="1231">
        <f t="shared" si="8"/>
        <v>-60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2087</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2088</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3165" t="s">
        <v>3437</v>
      </c>
      <c r="C13" s="940" t="s">
        <v>3435</v>
      </c>
      <c r="D13" s="941" t="s">
        <v>3436</v>
      </c>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v>100</v>
      </c>
      <c r="D14" s="847">
        <v>75</v>
      </c>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2089</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2090</v>
      </c>
      <c r="B17" s="1987" t="s">
        <v>2091</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2092</v>
      </c>
      <c r="E19" s="1253"/>
      <c r="F19" s="1253"/>
      <c r="G19" s="1253"/>
      <c r="H19" s="996"/>
      <c r="I19" s="151"/>
      <c r="J19" s="151"/>
      <c r="K19" s="151"/>
      <c r="L19" s="151"/>
      <c r="M19" s="151"/>
      <c r="N19" s="151"/>
      <c r="O19" s="151"/>
      <c r="P19" s="151"/>
      <c r="Q19" s="151"/>
      <c r="R19" s="151"/>
      <c r="S19" s="121"/>
    </row>
    <row r="20" spans="1:45" ht="16.2" thickBot="1">
      <c r="A20" s="632" t="s">
        <v>2093</v>
      </c>
      <c r="B20" s="286">
        <f ca="1">IF(D20="——",S22,S22-F20)</f>
        <v>2428</v>
      </c>
      <c r="C20" s="151"/>
      <c r="D20" s="1989" t="s">
        <v>43</v>
      </c>
      <c r="E20" s="1254"/>
      <c r="F20" s="929" t="e">
        <f ca="1">SUMIF(INDIRECT("'"&amp;H20&amp;"'"&amp;"!A:A"),"承租人权益价值",INDIRECT("'"&amp;H20&amp;"'"&amp;"!c:c"))</f>
        <v>#REF!</v>
      </c>
      <c r="G20" s="929" t="s">
        <v>2094</v>
      </c>
      <c r="H20" s="1990"/>
      <c r="I20" s="151"/>
      <c r="J20" s="151"/>
      <c r="K20" s="151"/>
      <c r="L20" s="151"/>
      <c r="M20" s="151"/>
      <c r="N20" s="151"/>
      <c r="O20" s="151"/>
      <c r="P20" s="151"/>
      <c r="Q20" s="151"/>
      <c r="R20" s="151"/>
      <c r="S20" s="121"/>
    </row>
    <row r="21" spans="1:45" ht="15.6">
      <c r="A21" s="632" t="s">
        <v>2095</v>
      </c>
      <c r="B21" s="286">
        <f ca="1">ROUND(B20*10000/B22,0)</f>
        <v>25388</v>
      </c>
      <c r="C21" s="151"/>
      <c r="D21" s="151"/>
      <c r="E21" s="151"/>
      <c r="F21" s="151"/>
      <c r="G21" s="151"/>
      <c r="H21" s="151"/>
      <c r="I21" s="151"/>
      <c r="J21" s="151"/>
      <c r="K21" s="151"/>
      <c r="L21" s="151"/>
      <c r="M21" s="151"/>
      <c r="N21" s="151"/>
      <c r="O21" s="151"/>
      <c r="P21" s="151"/>
      <c r="Q21" s="151"/>
      <c r="R21" s="151"/>
      <c r="S21" s="121"/>
    </row>
    <row r="22" spans="1:45">
      <c r="A22" s="308" t="s">
        <v>2096</v>
      </c>
      <c r="B22" s="21">
        <f>SUM(B24:B10000)</f>
        <v>956.34</v>
      </c>
      <c r="C22" s="3411" t="s">
        <v>27</v>
      </c>
      <c r="D22" s="3412"/>
      <c r="E22" s="3412"/>
      <c r="F22" s="3412"/>
      <c r="G22" s="3412"/>
      <c r="H22" s="3412"/>
      <c r="I22" s="3412"/>
      <c r="J22" s="3412"/>
      <c r="K22" s="3412"/>
      <c r="L22" s="3412"/>
      <c r="M22" s="3412"/>
      <c r="N22" s="3412"/>
      <c r="O22" s="3412"/>
      <c r="P22" s="3412"/>
      <c r="Q22" s="3413"/>
      <c r="R22" s="21">
        <f ca="1">ROUND(S22*10000/B22,0)</f>
        <v>25388</v>
      </c>
      <c r="S22" s="21">
        <f ca="1">SUM(S24:S10000)</f>
        <v>2428</v>
      </c>
    </row>
    <row r="23" spans="1:45" s="9" customFormat="1" ht="24">
      <c r="A23" s="8" t="s">
        <v>2097</v>
      </c>
      <c r="B23" s="8" t="s">
        <v>2098</v>
      </c>
      <c r="C23" s="8" t="s">
        <v>2099</v>
      </c>
      <c r="D23" s="8" t="str">
        <f>B5</f>
        <v>临街状况</v>
      </c>
      <c r="E23" s="8" t="s">
        <v>2099</v>
      </c>
      <c r="F23" s="8" t="str">
        <f>B7</f>
        <v>可视性</v>
      </c>
      <c r="G23" s="8" t="s">
        <v>2099</v>
      </c>
      <c r="H23" s="8" t="str">
        <f>B9</f>
        <v>修正项4</v>
      </c>
      <c r="I23" s="8" t="s">
        <v>2099</v>
      </c>
      <c r="J23" s="8" t="str">
        <f>B11</f>
        <v>修正项5</v>
      </c>
      <c r="K23" s="8" t="s">
        <v>2099</v>
      </c>
      <c r="L23" s="8" t="str">
        <f>B13</f>
        <v>楼层</v>
      </c>
      <c r="M23" s="8" t="s">
        <v>2099</v>
      </c>
      <c r="N23" s="8" t="str">
        <f>B15</f>
        <v>修正项7</v>
      </c>
      <c r="O23" s="8" t="s">
        <v>2099</v>
      </c>
      <c r="P23" s="8" t="str">
        <f>B17</f>
        <v>楼层</v>
      </c>
      <c r="Q23" s="8" t="s">
        <v>2099</v>
      </c>
      <c r="R23" s="8" t="s">
        <v>2100</v>
      </c>
      <c r="S23" s="8" t="s">
        <v>2101</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3164" t="str">
        <f>'数据-基础表'!C13</f>
        <v>1层商业21</v>
      </c>
      <c r="B24" s="633">
        <f>'数据-基础表'!G13</f>
        <v>165.09</v>
      </c>
      <c r="C24" s="2569">
        <v>1</v>
      </c>
      <c r="D24" s="2570" t="s">
        <v>3515</v>
      </c>
      <c r="E24" s="2569">
        <v>1</v>
      </c>
      <c r="F24" s="2570" t="s">
        <v>3500</v>
      </c>
      <c r="G24" s="2569">
        <v>1</v>
      </c>
      <c r="H24" s="2570"/>
      <c r="I24" s="2569">
        <v>1</v>
      </c>
      <c r="J24" s="2570"/>
      <c r="K24" s="2569">
        <v>1</v>
      </c>
      <c r="L24" s="2570" t="s">
        <v>3512</v>
      </c>
      <c r="M24" s="2569">
        <v>1</v>
      </c>
      <c r="N24" s="2570"/>
      <c r="O24" s="2569">
        <v>1</v>
      </c>
      <c r="P24" s="2570"/>
      <c r="Q24" s="2569">
        <v>1</v>
      </c>
      <c r="R24" s="633">
        <f ca="1">结果表1层!H102</f>
        <v>41135</v>
      </c>
      <c r="S24" s="634">
        <f t="shared" ref="S24:S54" ca="1" si="11">ROUND(R24*B24/10000,0)</f>
        <v>679</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t="str">
        <f>'数据-基础表'!C14</f>
        <v>2层商业32</v>
      </c>
      <c r="B25" s="52">
        <f>'数据-基础表'!G14</f>
        <v>177.63</v>
      </c>
      <c r="C25" s="21">
        <f>IF(B25="",1,(LOOKUP(B25,$3:$3,$4:$4)-LOOKUP($B$24,$3:$3,$4:$4)+100)/100)</f>
        <v>1</v>
      </c>
      <c r="D25" s="635" t="s">
        <v>3517</v>
      </c>
      <c r="E25" s="21">
        <f>(SUMIF($5:$5,D25,$6:$6)-SUMIF($5:$5,$D$24,$6:$6)+100)/100</f>
        <v>0.9</v>
      </c>
      <c r="F25" s="635" t="s">
        <v>3522</v>
      </c>
      <c r="G25" s="21">
        <f>(SUMIF($7:$7,F25,$8:$8)-SUMIF($7:$7,$F$24,$8:$8)+100)/100</f>
        <v>0.8</v>
      </c>
      <c r="H25" s="635"/>
      <c r="I25" s="21">
        <f>(SUMIF($9:$9,H25,$10:$10)-SUMIF($9:$9,$H$24,$10:$10)+100)/100</f>
        <v>1</v>
      </c>
      <c r="J25" s="635"/>
      <c r="K25" s="21">
        <f>(SUMIF($11:$11,J25,$12:$12)-SUMIF($11:$11,$J$24,$12:$12)+100)/100</f>
        <v>1</v>
      </c>
      <c r="L25" s="635" t="s">
        <v>3513</v>
      </c>
      <c r="M25" s="21">
        <f>(SUMIF($13:$13,L25,$14:$14)-SUMIF($13:$13,$L$24,$14:$14)+100)/100</f>
        <v>0.75</v>
      </c>
      <c r="N25" s="635"/>
      <c r="O25" s="21">
        <f>(SUMIF($15:$15,N25,$16:$16)-SUMIF($15:$15,$N$24,$16:$16)+100)/100</f>
        <v>1</v>
      </c>
      <c r="P25" s="635"/>
      <c r="Q25" s="21">
        <f>(SUMIF($17:$17,P25,$18:$18)-SUMIF($17:$17,$P$24,$18:$18)+100)/100</f>
        <v>1</v>
      </c>
      <c r="R25" s="21">
        <f ca="1">IF(B25="",0,ROUND($R$24*C25*E25*G25*I25*K25*M25*O25*Q25,0))</f>
        <v>22213</v>
      </c>
      <c r="S25" s="308">
        <f t="shared" ca="1" si="11"/>
        <v>395</v>
      </c>
    </row>
    <row r="26" spans="1:45">
      <c r="A26" s="142" t="str">
        <f>'数据-基础表'!C15</f>
        <v>2层商业36</v>
      </c>
      <c r="B26" s="52">
        <f>'数据-基础表'!G15</f>
        <v>212.29</v>
      </c>
      <c r="C26" s="21">
        <f t="shared" ref="C26:C89" si="12">IF(B26="",1,(LOOKUP(B26,$3:$3,$4:$4)-LOOKUP($B$24,$3:$3,$4:$4)+100)/100)</f>
        <v>0.99</v>
      </c>
      <c r="D26" s="635" t="s">
        <v>3517</v>
      </c>
      <c r="E26" s="21">
        <f t="shared" ref="E26:E89" si="13">(SUMIF($5:$5,D26,$6:$6)-SUMIF($5:$5,$D$24,$6:$6)+100)/100</f>
        <v>0.9</v>
      </c>
      <c r="F26" s="635" t="s">
        <v>3522</v>
      </c>
      <c r="G26" s="21">
        <f t="shared" ref="G26:G89" si="14">(SUMIF($7:$7,F26,$8:$8)-SUMIF($7:$7,$F$24,$8:$8)+100)/100</f>
        <v>0.8</v>
      </c>
      <c r="H26" s="635"/>
      <c r="I26" s="21">
        <f t="shared" ref="I26:I89" si="15">(SUMIF($9:$9,H26,$10:$10)-SUMIF($9:$9,$H$24,$10:$10)+100)/100</f>
        <v>1</v>
      </c>
      <c r="J26" s="635"/>
      <c r="K26" s="21">
        <f t="shared" ref="K26:K89" si="16">(SUMIF($11:$11,J26,$12:$12)-SUMIF($11:$11,$J$24,$12:$12)+100)/100</f>
        <v>1</v>
      </c>
      <c r="L26" s="635" t="s">
        <v>3513</v>
      </c>
      <c r="M26" s="21">
        <f t="shared" ref="M26:M89" si="17">(SUMIF($13:$13,L26,$14:$14)-SUMIF($13:$13,$L$24,$14:$14)+100)/100</f>
        <v>0.75</v>
      </c>
      <c r="N26" s="635"/>
      <c r="O26" s="21">
        <f t="shared" ref="O26:O89" si="18">(SUMIF($15:$15,N26,$16:$16)-SUMIF($15:$15,$N$24,$16:$16)+100)/100</f>
        <v>1</v>
      </c>
      <c r="P26" s="635"/>
      <c r="Q26" s="21">
        <f t="shared" ref="Q26:Q89" si="19">(SUMIF($17:$17,P26,$18:$18)-SUMIF($17:$17,$P$24,$18:$18)+100)/100</f>
        <v>1</v>
      </c>
      <c r="R26" s="21">
        <f t="shared" ref="R26:R89" ca="1" si="20">IF(B26="",0,ROUND($R$24*C26*E26*G26*I26*K26*M26*O26*Q26,0))</f>
        <v>21991</v>
      </c>
      <c r="S26" s="308">
        <f t="shared" ca="1" si="11"/>
        <v>467</v>
      </c>
    </row>
    <row r="27" spans="1:45">
      <c r="A27" s="142" t="str">
        <f>'数据-基础表'!C16</f>
        <v>2层商业37</v>
      </c>
      <c r="B27" s="52">
        <f>'数据-基础表'!G16</f>
        <v>186.71</v>
      </c>
      <c r="C27" s="21">
        <f t="shared" si="12"/>
        <v>1</v>
      </c>
      <c r="D27" s="635" t="s">
        <v>3517</v>
      </c>
      <c r="E27" s="21">
        <f t="shared" si="13"/>
        <v>0.9</v>
      </c>
      <c r="F27" s="635" t="s">
        <v>3522</v>
      </c>
      <c r="G27" s="21">
        <f t="shared" si="14"/>
        <v>0.8</v>
      </c>
      <c r="H27" s="635"/>
      <c r="I27" s="21">
        <f t="shared" si="15"/>
        <v>1</v>
      </c>
      <c r="J27" s="635"/>
      <c r="K27" s="21">
        <f t="shared" si="16"/>
        <v>1</v>
      </c>
      <c r="L27" s="635" t="s">
        <v>3513</v>
      </c>
      <c r="M27" s="21">
        <f t="shared" si="17"/>
        <v>0.75</v>
      </c>
      <c r="N27" s="635"/>
      <c r="O27" s="21">
        <f t="shared" si="18"/>
        <v>1</v>
      </c>
      <c r="P27" s="635"/>
      <c r="Q27" s="21">
        <f t="shared" si="19"/>
        <v>1</v>
      </c>
      <c r="R27" s="21">
        <f t="shared" ca="1" si="20"/>
        <v>22213</v>
      </c>
      <c r="S27" s="308">
        <f t="shared" ca="1" si="11"/>
        <v>415</v>
      </c>
    </row>
    <row r="28" spans="1:45">
      <c r="A28" s="142" t="str">
        <f>'数据-基础表'!C17</f>
        <v>2层商业40</v>
      </c>
      <c r="B28" s="52">
        <f>'数据-基础表'!G17</f>
        <v>214.62</v>
      </c>
      <c r="C28" s="21">
        <f t="shared" si="12"/>
        <v>0.99</v>
      </c>
      <c r="D28" s="635" t="s">
        <v>3517</v>
      </c>
      <c r="E28" s="21">
        <f t="shared" si="13"/>
        <v>0.9</v>
      </c>
      <c r="F28" s="635" t="s">
        <v>3522</v>
      </c>
      <c r="G28" s="21">
        <f t="shared" si="14"/>
        <v>0.8</v>
      </c>
      <c r="H28" s="635"/>
      <c r="I28" s="21">
        <f t="shared" si="15"/>
        <v>1</v>
      </c>
      <c r="J28" s="635"/>
      <c r="K28" s="21">
        <f t="shared" si="16"/>
        <v>1</v>
      </c>
      <c r="L28" s="635" t="s">
        <v>3513</v>
      </c>
      <c r="M28" s="21">
        <f t="shared" si="17"/>
        <v>0.75</v>
      </c>
      <c r="N28" s="635"/>
      <c r="O28" s="21">
        <f t="shared" si="18"/>
        <v>1</v>
      </c>
      <c r="P28" s="635"/>
      <c r="Q28" s="21">
        <f t="shared" si="19"/>
        <v>1</v>
      </c>
      <c r="R28" s="21">
        <f t="shared" ca="1" si="20"/>
        <v>21991</v>
      </c>
      <c r="S28" s="308">
        <f t="shared" ca="1" si="11"/>
        <v>472</v>
      </c>
    </row>
    <row r="29" spans="1:45">
      <c r="A29" s="142"/>
      <c r="B29" s="52"/>
      <c r="C29" s="21">
        <f t="shared" si="12"/>
        <v>1</v>
      </c>
      <c r="D29" s="635"/>
      <c r="E29" s="21">
        <f t="shared" si="13"/>
        <v>0</v>
      </c>
      <c r="F29" s="635"/>
      <c r="G29" s="21">
        <f t="shared" si="14"/>
        <v>0</v>
      </c>
      <c r="H29" s="635"/>
      <c r="I29" s="21">
        <f t="shared" si="15"/>
        <v>1</v>
      </c>
      <c r="J29" s="635"/>
      <c r="K29" s="21">
        <f t="shared" si="16"/>
        <v>1</v>
      </c>
      <c r="L29" s="635"/>
      <c r="M29" s="21">
        <f t="shared" si="17"/>
        <v>0</v>
      </c>
      <c r="N29" s="635"/>
      <c r="O29" s="21">
        <f t="shared" si="18"/>
        <v>1</v>
      </c>
      <c r="P29" s="635"/>
      <c r="Q29" s="21">
        <f t="shared" si="19"/>
        <v>1</v>
      </c>
      <c r="R29" s="21">
        <f t="shared" si="20"/>
        <v>0</v>
      </c>
      <c r="S29" s="308">
        <f t="shared" si="11"/>
        <v>0</v>
      </c>
    </row>
    <row r="30" spans="1:45">
      <c r="A30" s="142"/>
      <c r="B30" s="52"/>
      <c r="C30" s="21">
        <f t="shared" si="12"/>
        <v>1</v>
      </c>
      <c r="D30" s="635"/>
      <c r="E30" s="21">
        <f t="shared" si="13"/>
        <v>0</v>
      </c>
      <c r="F30" s="635"/>
      <c r="G30" s="21">
        <f t="shared" si="14"/>
        <v>0</v>
      </c>
      <c r="H30" s="635"/>
      <c r="I30" s="21">
        <f t="shared" si="15"/>
        <v>1</v>
      </c>
      <c r="J30" s="635"/>
      <c r="K30" s="21">
        <f t="shared" si="16"/>
        <v>1</v>
      </c>
      <c r="L30" s="635"/>
      <c r="M30" s="21">
        <f t="shared" si="17"/>
        <v>0</v>
      </c>
      <c r="N30" s="635"/>
      <c r="O30" s="21">
        <f t="shared" si="18"/>
        <v>1</v>
      </c>
      <c r="P30" s="635"/>
      <c r="Q30" s="21">
        <f t="shared" si="19"/>
        <v>1</v>
      </c>
      <c r="R30" s="21">
        <f t="shared" si="20"/>
        <v>0</v>
      </c>
      <c r="S30" s="308">
        <f t="shared" si="11"/>
        <v>0</v>
      </c>
    </row>
    <row r="31" spans="1:45">
      <c r="A31" s="142"/>
      <c r="B31" s="52"/>
      <c r="C31" s="21">
        <f t="shared" si="12"/>
        <v>1</v>
      </c>
      <c r="D31" s="635"/>
      <c r="E31" s="21">
        <f t="shared" si="13"/>
        <v>0</v>
      </c>
      <c r="F31" s="635"/>
      <c r="G31" s="21">
        <f t="shared" si="14"/>
        <v>0</v>
      </c>
      <c r="H31" s="635"/>
      <c r="I31" s="21">
        <f t="shared" si="15"/>
        <v>1</v>
      </c>
      <c r="J31" s="635"/>
      <c r="K31" s="21">
        <f t="shared" si="16"/>
        <v>1</v>
      </c>
      <c r="L31" s="635"/>
      <c r="M31" s="21">
        <f t="shared" si="17"/>
        <v>0</v>
      </c>
      <c r="N31" s="635"/>
      <c r="O31" s="21">
        <f t="shared" si="18"/>
        <v>1</v>
      </c>
      <c r="P31" s="635"/>
      <c r="Q31" s="21">
        <f t="shared" si="19"/>
        <v>1</v>
      </c>
      <c r="R31" s="21">
        <f t="shared" si="20"/>
        <v>0</v>
      </c>
      <c r="S31" s="308">
        <f t="shared" si="11"/>
        <v>0</v>
      </c>
    </row>
    <row r="32" spans="1:45">
      <c r="A32" s="142"/>
      <c r="B32" s="52"/>
      <c r="C32" s="21">
        <f t="shared" si="12"/>
        <v>1</v>
      </c>
      <c r="D32" s="635"/>
      <c r="E32" s="21">
        <f t="shared" si="13"/>
        <v>0</v>
      </c>
      <c r="F32" s="635"/>
      <c r="G32" s="21">
        <f t="shared" si="14"/>
        <v>0</v>
      </c>
      <c r="H32" s="635"/>
      <c r="I32" s="21">
        <f t="shared" si="15"/>
        <v>1</v>
      </c>
      <c r="J32" s="635"/>
      <c r="K32" s="21">
        <f t="shared" si="16"/>
        <v>1</v>
      </c>
      <c r="L32" s="635"/>
      <c r="M32" s="21">
        <f t="shared" si="17"/>
        <v>0</v>
      </c>
      <c r="N32" s="635"/>
      <c r="O32" s="21">
        <f t="shared" si="18"/>
        <v>1</v>
      </c>
      <c r="P32" s="635"/>
      <c r="Q32" s="21">
        <f t="shared" si="19"/>
        <v>1</v>
      </c>
      <c r="R32" s="21">
        <f t="shared" si="20"/>
        <v>0</v>
      </c>
      <c r="S32" s="308">
        <f t="shared" si="11"/>
        <v>0</v>
      </c>
    </row>
    <row r="33" spans="1:19">
      <c r="A33" s="142"/>
      <c r="B33" s="52"/>
      <c r="C33" s="21">
        <f t="shared" si="12"/>
        <v>1</v>
      </c>
      <c r="D33" s="635"/>
      <c r="E33" s="21">
        <f t="shared" si="13"/>
        <v>0</v>
      </c>
      <c r="F33" s="635"/>
      <c r="G33" s="21">
        <f t="shared" si="14"/>
        <v>0</v>
      </c>
      <c r="H33" s="635"/>
      <c r="I33" s="21">
        <f t="shared" si="15"/>
        <v>1</v>
      </c>
      <c r="J33" s="635"/>
      <c r="K33" s="21">
        <f t="shared" si="16"/>
        <v>1</v>
      </c>
      <c r="L33" s="635"/>
      <c r="M33" s="21">
        <f t="shared" si="17"/>
        <v>0</v>
      </c>
      <c r="N33" s="635"/>
      <c r="O33" s="21">
        <f t="shared" si="18"/>
        <v>1</v>
      </c>
      <c r="P33" s="635"/>
      <c r="Q33" s="21">
        <f t="shared" si="19"/>
        <v>1</v>
      </c>
      <c r="R33" s="21">
        <f t="shared" si="20"/>
        <v>0</v>
      </c>
      <c r="S33" s="308">
        <f t="shared" si="11"/>
        <v>0</v>
      </c>
    </row>
    <row r="34" spans="1:19">
      <c r="A34" s="142"/>
      <c r="B34" s="52"/>
      <c r="C34" s="21">
        <f t="shared" si="12"/>
        <v>1</v>
      </c>
      <c r="D34" s="635"/>
      <c r="E34" s="21">
        <f t="shared" si="13"/>
        <v>0</v>
      </c>
      <c r="F34" s="635"/>
      <c r="G34" s="21">
        <f t="shared" si="14"/>
        <v>0</v>
      </c>
      <c r="H34" s="635"/>
      <c r="I34" s="21">
        <f t="shared" si="15"/>
        <v>1</v>
      </c>
      <c r="J34" s="635"/>
      <c r="K34" s="21">
        <f t="shared" si="16"/>
        <v>1</v>
      </c>
      <c r="L34" s="635"/>
      <c r="M34" s="21">
        <f t="shared" si="17"/>
        <v>0</v>
      </c>
      <c r="N34" s="635"/>
      <c r="O34" s="21">
        <f t="shared" si="18"/>
        <v>1</v>
      </c>
      <c r="P34" s="635"/>
      <c r="Q34" s="21">
        <f t="shared" si="19"/>
        <v>1</v>
      </c>
      <c r="R34" s="21">
        <f t="shared" si="20"/>
        <v>0</v>
      </c>
      <c r="S34" s="308">
        <f t="shared" si="11"/>
        <v>0</v>
      </c>
    </row>
    <row r="35" spans="1:19">
      <c r="A35" s="142"/>
      <c r="B35" s="52"/>
      <c r="C35" s="21">
        <f t="shared" si="12"/>
        <v>1</v>
      </c>
      <c r="D35" s="635"/>
      <c r="E35" s="21">
        <f t="shared" si="13"/>
        <v>0</v>
      </c>
      <c r="F35" s="635"/>
      <c r="G35" s="21">
        <f t="shared" si="14"/>
        <v>0</v>
      </c>
      <c r="H35" s="635"/>
      <c r="I35" s="21">
        <f t="shared" si="15"/>
        <v>1</v>
      </c>
      <c r="J35" s="635"/>
      <c r="K35" s="21">
        <f t="shared" si="16"/>
        <v>1</v>
      </c>
      <c r="L35" s="635"/>
      <c r="M35" s="21">
        <f t="shared" si="17"/>
        <v>0</v>
      </c>
      <c r="N35" s="635"/>
      <c r="O35" s="21">
        <f t="shared" si="18"/>
        <v>1</v>
      </c>
      <c r="P35" s="635"/>
      <c r="Q35" s="21">
        <f t="shared" si="19"/>
        <v>1</v>
      </c>
      <c r="R35" s="21">
        <f t="shared" si="20"/>
        <v>0</v>
      </c>
      <c r="S35" s="308">
        <f t="shared" si="11"/>
        <v>0</v>
      </c>
    </row>
    <row r="36" spans="1:19">
      <c r="A36" s="142"/>
      <c r="B36" s="52"/>
      <c r="C36" s="21">
        <f t="shared" si="12"/>
        <v>1</v>
      </c>
      <c r="D36" s="635"/>
      <c r="E36" s="21">
        <f t="shared" si="13"/>
        <v>0</v>
      </c>
      <c r="F36" s="635"/>
      <c r="G36" s="21">
        <f t="shared" si="14"/>
        <v>0</v>
      </c>
      <c r="H36" s="635"/>
      <c r="I36" s="21">
        <f t="shared" si="15"/>
        <v>1</v>
      </c>
      <c r="J36" s="635"/>
      <c r="K36" s="21">
        <f t="shared" si="16"/>
        <v>1</v>
      </c>
      <c r="L36" s="635"/>
      <c r="M36" s="21">
        <f t="shared" si="17"/>
        <v>0</v>
      </c>
      <c r="N36" s="635"/>
      <c r="O36" s="21">
        <f t="shared" si="18"/>
        <v>1</v>
      </c>
      <c r="P36" s="635"/>
      <c r="Q36" s="21">
        <f t="shared" si="19"/>
        <v>1</v>
      </c>
      <c r="R36" s="21">
        <f t="shared" si="20"/>
        <v>0</v>
      </c>
      <c r="S36" s="308">
        <f t="shared" si="11"/>
        <v>0</v>
      </c>
    </row>
    <row r="37" spans="1:19">
      <c r="A37" s="142"/>
      <c r="B37" s="52"/>
      <c r="C37" s="21">
        <f t="shared" si="12"/>
        <v>1</v>
      </c>
      <c r="D37" s="635"/>
      <c r="E37" s="21">
        <f t="shared" si="13"/>
        <v>0</v>
      </c>
      <c r="F37" s="635"/>
      <c r="G37" s="21">
        <f t="shared" si="14"/>
        <v>0</v>
      </c>
      <c r="H37" s="635"/>
      <c r="I37" s="21">
        <f t="shared" si="15"/>
        <v>1</v>
      </c>
      <c r="J37" s="635"/>
      <c r="K37" s="21">
        <f t="shared" si="16"/>
        <v>1</v>
      </c>
      <c r="L37" s="635"/>
      <c r="M37" s="21">
        <f t="shared" si="17"/>
        <v>0</v>
      </c>
      <c r="N37" s="635"/>
      <c r="O37" s="21">
        <f t="shared" si="18"/>
        <v>1</v>
      </c>
      <c r="P37" s="635"/>
      <c r="Q37" s="21">
        <f t="shared" si="19"/>
        <v>1</v>
      </c>
      <c r="R37" s="21">
        <f t="shared" si="20"/>
        <v>0</v>
      </c>
      <c r="S37" s="308">
        <f t="shared" si="11"/>
        <v>0</v>
      </c>
    </row>
    <row r="38" spans="1:19">
      <c r="A38" s="142"/>
      <c r="B38" s="52"/>
      <c r="C38" s="21">
        <f t="shared" si="12"/>
        <v>1</v>
      </c>
      <c r="D38" s="635"/>
      <c r="E38" s="21">
        <f t="shared" si="13"/>
        <v>0</v>
      </c>
      <c r="F38" s="635"/>
      <c r="G38" s="21">
        <f t="shared" si="14"/>
        <v>0</v>
      </c>
      <c r="H38" s="635"/>
      <c r="I38" s="21">
        <f t="shared" si="15"/>
        <v>1</v>
      </c>
      <c r="J38" s="635"/>
      <c r="K38" s="21">
        <f t="shared" si="16"/>
        <v>1</v>
      </c>
      <c r="L38" s="635"/>
      <c r="M38" s="21">
        <f t="shared" si="17"/>
        <v>0</v>
      </c>
      <c r="N38" s="635"/>
      <c r="O38" s="21">
        <f t="shared" si="18"/>
        <v>1</v>
      </c>
      <c r="P38" s="635"/>
      <c r="Q38" s="21">
        <f t="shared" si="19"/>
        <v>1</v>
      </c>
      <c r="R38" s="21">
        <f t="shared" si="20"/>
        <v>0</v>
      </c>
      <c r="S38" s="308">
        <f t="shared" si="11"/>
        <v>0</v>
      </c>
    </row>
    <row r="39" spans="1:19">
      <c r="A39" s="142"/>
      <c r="B39" s="52"/>
      <c r="C39" s="21">
        <f t="shared" si="12"/>
        <v>1</v>
      </c>
      <c r="D39" s="635"/>
      <c r="E39" s="21">
        <f t="shared" si="13"/>
        <v>0</v>
      </c>
      <c r="F39" s="635"/>
      <c r="G39" s="21">
        <f t="shared" si="14"/>
        <v>0</v>
      </c>
      <c r="H39" s="635"/>
      <c r="I39" s="21">
        <f t="shared" si="15"/>
        <v>1</v>
      </c>
      <c r="J39" s="635"/>
      <c r="K39" s="21">
        <f t="shared" si="16"/>
        <v>1</v>
      </c>
      <c r="L39" s="635"/>
      <c r="M39" s="21">
        <f t="shared" si="17"/>
        <v>0</v>
      </c>
      <c r="N39" s="635"/>
      <c r="O39" s="21">
        <f t="shared" si="18"/>
        <v>1</v>
      </c>
      <c r="P39" s="635"/>
      <c r="Q39" s="21">
        <f t="shared" si="19"/>
        <v>1</v>
      </c>
      <c r="R39" s="21">
        <f t="shared" si="20"/>
        <v>0</v>
      </c>
      <c r="S39" s="308">
        <f t="shared" si="11"/>
        <v>0</v>
      </c>
    </row>
    <row r="40" spans="1:19">
      <c r="A40" s="142"/>
      <c r="B40" s="52"/>
      <c r="C40" s="21">
        <f t="shared" si="12"/>
        <v>1</v>
      </c>
      <c r="D40" s="635"/>
      <c r="E40" s="21">
        <f t="shared" si="13"/>
        <v>0</v>
      </c>
      <c r="F40" s="635"/>
      <c r="G40" s="21">
        <f t="shared" si="14"/>
        <v>0</v>
      </c>
      <c r="H40" s="635"/>
      <c r="I40" s="21">
        <f t="shared" si="15"/>
        <v>1</v>
      </c>
      <c r="J40" s="635"/>
      <c r="K40" s="21">
        <f t="shared" si="16"/>
        <v>1</v>
      </c>
      <c r="L40" s="635"/>
      <c r="M40" s="21">
        <f t="shared" si="17"/>
        <v>0</v>
      </c>
      <c r="N40" s="635"/>
      <c r="O40" s="21">
        <f t="shared" si="18"/>
        <v>1</v>
      </c>
      <c r="P40" s="635"/>
      <c r="Q40" s="21">
        <f t="shared" si="19"/>
        <v>1</v>
      </c>
      <c r="R40" s="21">
        <f t="shared" si="20"/>
        <v>0</v>
      </c>
      <c r="S40" s="308">
        <f t="shared" si="11"/>
        <v>0</v>
      </c>
    </row>
    <row r="41" spans="1:19">
      <c r="A41" s="142"/>
      <c r="B41" s="52"/>
      <c r="C41" s="21">
        <f t="shared" si="12"/>
        <v>1</v>
      </c>
      <c r="D41" s="635"/>
      <c r="E41" s="21">
        <f t="shared" si="13"/>
        <v>0</v>
      </c>
      <c r="F41" s="635"/>
      <c r="G41" s="21">
        <f t="shared" si="14"/>
        <v>0</v>
      </c>
      <c r="H41" s="635"/>
      <c r="I41" s="21">
        <f t="shared" si="15"/>
        <v>1</v>
      </c>
      <c r="J41" s="635"/>
      <c r="K41" s="21">
        <f t="shared" si="16"/>
        <v>1</v>
      </c>
      <c r="L41" s="635"/>
      <c r="M41" s="21">
        <f t="shared" si="17"/>
        <v>0</v>
      </c>
      <c r="N41" s="635"/>
      <c r="O41" s="21">
        <f t="shared" si="18"/>
        <v>1</v>
      </c>
      <c r="P41" s="635"/>
      <c r="Q41" s="21">
        <f t="shared" si="19"/>
        <v>1</v>
      </c>
      <c r="R41" s="21">
        <f t="shared" si="20"/>
        <v>0</v>
      </c>
      <c r="S41" s="308">
        <f t="shared" si="11"/>
        <v>0</v>
      </c>
    </row>
    <row r="42" spans="1:19">
      <c r="A42" s="142"/>
      <c r="B42" s="52"/>
      <c r="C42" s="21">
        <f t="shared" si="12"/>
        <v>1</v>
      </c>
      <c r="D42" s="635"/>
      <c r="E42" s="21">
        <f t="shared" si="13"/>
        <v>0</v>
      </c>
      <c r="F42" s="635"/>
      <c r="G42" s="21">
        <f t="shared" si="14"/>
        <v>0</v>
      </c>
      <c r="H42" s="635"/>
      <c r="I42" s="21">
        <f t="shared" si="15"/>
        <v>1</v>
      </c>
      <c r="J42" s="635"/>
      <c r="K42" s="21">
        <f t="shared" si="16"/>
        <v>1</v>
      </c>
      <c r="L42" s="635"/>
      <c r="M42" s="21">
        <f t="shared" si="17"/>
        <v>0</v>
      </c>
      <c r="N42" s="635"/>
      <c r="O42" s="21">
        <f t="shared" si="18"/>
        <v>1</v>
      </c>
      <c r="P42" s="635"/>
      <c r="Q42" s="21">
        <f t="shared" si="19"/>
        <v>1</v>
      </c>
      <c r="R42" s="21">
        <f t="shared" si="20"/>
        <v>0</v>
      </c>
      <c r="S42" s="308">
        <f t="shared" si="11"/>
        <v>0</v>
      </c>
    </row>
    <row r="43" spans="1:19">
      <c r="A43" s="142"/>
      <c r="B43" s="52"/>
      <c r="C43" s="21">
        <f t="shared" si="12"/>
        <v>1</v>
      </c>
      <c r="D43" s="635"/>
      <c r="E43" s="21">
        <f t="shared" si="13"/>
        <v>0</v>
      </c>
      <c r="F43" s="635"/>
      <c r="G43" s="21">
        <f t="shared" si="14"/>
        <v>0</v>
      </c>
      <c r="H43" s="635"/>
      <c r="I43" s="21">
        <f t="shared" si="15"/>
        <v>1</v>
      </c>
      <c r="J43" s="635"/>
      <c r="K43" s="21">
        <f t="shared" si="16"/>
        <v>1</v>
      </c>
      <c r="L43" s="635"/>
      <c r="M43" s="21">
        <f t="shared" si="17"/>
        <v>0</v>
      </c>
      <c r="N43" s="635"/>
      <c r="O43" s="21">
        <f t="shared" si="18"/>
        <v>1</v>
      </c>
      <c r="P43" s="635"/>
      <c r="Q43" s="21">
        <f t="shared" si="19"/>
        <v>1</v>
      </c>
      <c r="R43" s="21">
        <f t="shared" si="20"/>
        <v>0</v>
      </c>
      <c r="S43" s="308">
        <f t="shared" si="11"/>
        <v>0</v>
      </c>
    </row>
    <row r="44" spans="1:19">
      <c r="A44" s="142"/>
      <c r="B44" s="52"/>
      <c r="C44" s="21">
        <f t="shared" si="12"/>
        <v>1</v>
      </c>
      <c r="D44" s="635"/>
      <c r="E44" s="21">
        <f t="shared" si="13"/>
        <v>0</v>
      </c>
      <c r="F44" s="635"/>
      <c r="G44" s="21">
        <f t="shared" si="14"/>
        <v>0</v>
      </c>
      <c r="H44" s="635"/>
      <c r="I44" s="21">
        <f t="shared" si="15"/>
        <v>1</v>
      </c>
      <c r="J44" s="635"/>
      <c r="K44" s="21">
        <f t="shared" si="16"/>
        <v>1</v>
      </c>
      <c r="L44" s="635"/>
      <c r="M44" s="21">
        <f t="shared" si="17"/>
        <v>0</v>
      </c>
      <c r="N44" s="635"/>
      <c r="O44" s="21">
        <f t="shared" si="18"/>
        <v>1</v>
      </c>
      <c r="P44" s="635"/>
      <c r="Q44" s="21">
        <f t="shared" si="19"/>
        <v>1</v>
      </c>
      <c r="R44" s="21">
        <f t="shared" si="20"/>
        <v>0</v>
      </c>
      <c r="S44" s="308">
        <f t="shared" si="11"/>
        <v>0</v>
      </c>
    </row>
    <row r="45" spans="1:19">
      <c r="A45" s="142"/>
      <c r="B45" s="52"/>
      <c r="C45" s="21">
        <f t="shared" si="12"/>
        <v>1</v>
      </c>
      <c r="D45" s="635"/>
      <c r="E45" s="21">
        <f t="shared" si="13"/>
        <v>0</v>
      </c>
      <c r="F45" s="635"/>
      <c r="G45" s="21">
        <f t="shared" si="14"/>
        <v>0</v>
      </c>
      <c r="H45" s="635"/>
      <c r="I45" s="21">
        <f t="shared" si="15"/>
        <v>1</v>
      </c>
      <c r="J45" s="635"/>
      <c r="K45" s="21">
        <f t="shared" si="16"/>
        <v>1</v>
      </c>
      <c r="L45" s="635"/>
      <c r="M45" s="21">
        <f t="shared" si="17"/>
        <v>0</v>
      </c>
      <c r="N45" s="635"/>
      <c r="O45" s="21">
        <f t="shared" si="18"/>
        <v>1</v>
      </c>
      <c r="P45" s="635"/>
      <c r="Q45" s="21">
        <f t="shared" si="19"/>
        <v>1</v>
      </c>
      <c r="R45" s="21">
        <f t="shared" si="20"/>
        <v>0</v>
      </c>
      <c r="S45" s="308">
        <f t="shared" si="11"/>
        <v>0</v>
      </c>
    </row>
    <row r="46" spans="1:19">
      <c r="A46" s="142"/>
      <c r="B46" s="52"/>
      <c r="C46" s="21">
        <f t="shared" si="12"/>
        <v>1</v>
      </c>
      <c r="D46" s="635"/>
      <c r="E46" s="21">
        <f t="shared" si="13"/>
        <v>0</v>
      </c>
      <c r="F46" s="635"/>
      <c r="G46" s="21">
        <f t="shared" si="14"/>
        <v>0</v>
      </c>
      <c r="H46" s="635"/>
      <c r="I46" s="21">
        <f t="shared" si="15"/>
        <v>1</v>
      </c>
      <c r="J46" s="635"/>
      <c r="K46" s="21">
        <f t="shared" si="16"/>
        <v>1</v>
      </c>
      <c r="L46" s="635"/>
      <c r="M46" s="21">
        <f t="shared" si="17"/>
        <v>0</v>
      </c>
      <c r="N46" s="635"/>
      <c r="O46" s="21">
        <f t="shared" si="18"/>
        <v>1</v>
      </c>
      <c r="P46" s="635"/>
      <c r="Q46" s="21">
        <f t="shared" si="19"/>
        <v>1</v>
      </c>
      <c r="R46" s="21">
        <f t="shared" si="20"/>
        <v>0</v>
      </c>
      <c r="S46" s="308">
        <f t="shared" si="11"/>
        <v>0</v>
      </c>
    </row>
    <row r="47" spans="1:19">
      <c r="A47" s="142"/>
      <c r="B47" s="52"/>
      <c r="C47" s="21">
        <f t="shared" si="12"/>
        <v>1</v>
      </c>
      <c r="D47" s="635"/>
      <c r="E47" s="21">
        <f t="shared" si="13"/>
        <v>0</v>
      </c>
      <c r="F47" s="635"/>
      <c r="G47" s="21">
        <f t="shared" si="14"/>
        <v>0</v>
      </c>
      <c r="H47" s="635"/>
      <c r="I47" s="21">
        <f t="shared" si="15"/>
        <v>1</v>
      </c>
      <c r="J47" s="635"/>
      <c r="K47" s="21">
        <f t="shared" si="16"/>
        <v>1</v>
      </c>
      <c r="L47" s="635"/>
      <c r="M47" s="21">
        <f t="shared" si="17"/>
        <v>0</v>
      </c>
      <c r="N47" s="635"/>
      <c r="O47" s="21">
        <f t="shared" si="18"/>
        <v>1</v>
      </c>
      <c r="P47" s="635"/>
      <c r="Q47" s="21">
        <f t="shared" si="19"/>
        <v>1</v>
      </c>
      <c r="R47" s="21">
        <f t="shared" si="20"/>
        <v>0</v>
      </c>
      <c r="S47" s="308">
        <f t="shared" si="11"/>
        <v>0</v>
      </c>
    </row>
    <row r="48" spans="1:19">
      <c r="A48" s="142"/>
      <c r="B48" s="52"/>
      <c r="C48" s="21">
        <f t="shared" si="12"/>
        <v>1</v>
      </c>
      <c r="D48" s="635"/>
      <c r="E48" s="21">
        <f t="shared" si="13"/>
        <v>0</v>
      </c>
      <c r="F48" s="635"/>
      <c r="G48" s="21">
        <f t="shared" si="14"/>
        <v>0</v>
      </c>
      <c r="H48" s="635"/>
      <c r="I48" s="21">
        <f t="shared" si="15"/>
        <v>1</v>
      </c>
      <c r="J48" s="635"/>
      <c r="K48" s="21">
        <f t="shared" si="16"/>
        <v>1</v>
      </c>
      <c r="L48" s="635"/>
      <c r="M48" s="21">
        <f t="shared" si="17"/>
        <v>0</v>
      </c>
      <c r="N48" s="635"/>
      <c r="O48" s="21">
        <f t="shared" si="18"/>
        <v>1</v>
      </c>
      <c r="P48" s="635"/>
      <c r="Q48" s="21">
        <f t="shared" si="19"/>
        <v>1</v>
      </c>
      <c r="R48" s="21">
        <f t="shared" si="20"/>
        <v>0</v>
      </c>
      <c r="S48" s="308">
        <f t="shared" si="11"/>
        <v>0</v>
      </c>
    </row>
    <row r="49" spans="1:19">
      <c r="A49" s="142"/>
      <c r="B49" s="52"/>
      <c r="C49" s="21">
        <f t="shared" si="12"/>
        <v>1</v>
      </c>
      <c r="D49" s="635"/>
      <c r="E49" s="21">
        <f t="shared" si="13"/>
        <v>0</v>
      </c>
      <c r="F49" s="635"/>
      <c r="G49" s="21">
        <f t="shared" si="14"/>
        <v>0</v>
      </c>
      <c r="H49" s="635"/>
      <c r="I49" s="21">
        <f t="shared" si="15"/>
        <v>1</v>
      </c>
      <c r="J49" s="635"/>
      <c r="K49" s="21">
        <f t="shared" si="16"/>
        <v>1</v>
      </c>
      <c r="L49" s="635"/>
      <c r="M49" s="21">
        <f t="shared" si="17"/>
        <v>0</v>
      </c>
      <c r="N49" s="635"/>
      <c r="O49" s="21">
        <f t="shared" si="18"/>
        <v>1</v>
      </c>
      <c r="P49" s="635"/>
      <c r="Q49" s="21">
        <f t="shared" si="19"/>
        <v>1</v>
      </c>
      <c r="R49" s="21">
        <f t="shared" si="20"/>
        <v>0</v>
      </c>
      <c r="S49" s="308">
        <f t="shared" si="11"/>
        <v>0</v>
      </c>
    </row>
    <row r="50" spans="1:19">
      <c r="A50" s="142"/>
      <c r="B50" s="52"/>
      <c r="C50" s="21">
        <f t="shared" si="12"/>
        <v>1</v>
      </c>
      <c r="D50" s="635"/>
      <c r="E50" s="21">
        <f t="shared" si="13"/>
        <v>0</v>
      </c>
      <c r="F50" s="635"/>
      <c r="G50" s="21">
        <f t="shared" si="14"/>
        <v>0</v>
      </c>
      <c r="H50" s="635"/>
      <c r="I50" s="21">
        <f t="shared" si="15"/>
        <v>1</v>
      </c>
      <c r="J50" s="635"/>
      <c r="K50" s="21">
        <f t="shared" si="16"/>
        <v>1</v>
      </c>
      <c r="L50" s="635"/>
      <c r="M50" s="21">
        <f t="shared" si="17"/>
        <v>0</v>
      </c>
      <c r="N50" s="635"/>
      <c r="O50" s="21">
        <f t="shared" si="18"/>
        <v>1</v>
      </c>
      <c r="P50" s="635"/>
      <c r="Q50" s="21">
        <f t="shared" si="19"/>
        <v>1</v>
      </c>
      <c r="R50" s="21">
        <f t="shared" si="20"/>
        <v>0</v>
      </c>
      <c r="S50" s="308">
        <f t="shared" si="11"/>
        <v>0</v>
      </c>
    </row>
    <row r="51" spans="1:19">
      <c r="A51" s="142"/>
      <c r="B51" s="52"/>
      <c r="C51" s="21">
        <f t="shared" si="12"/>
        <v>1</v>
      </c>
      <c r="D51" s="635"/>
      <c r="E51" s="21">
        <f t="shared" si="13"/>
        <v>0</v>
      </c>
      <c r="F51" s="635"/>
      <c r="G51" s="21">
        <f t="shared" si="14"/>
        <v>0</v>
      </c>
      <c r="H51" s="635"/>
      <c r="I51" s="21">
        <f t="shared" si="15"/>
        <v>1</v>
      </c>
      <c r="J51" s="635"/>
      <c r="K51" s="21">
        <f t="shared" si="16"/>
        <v>1</v>
      </c>
      <c r="L51" s="635"/>
      <c r="M51" s="21">
        <f t="shared" si="17"/>
        <v>0</v>
      </c>
      <c r="N51" s="635"/>
      <c r="O51" s="21">
        <f t="shared" si="18"/>
        <v>1</v>
      </c>
      <c r="P51" s="635"/>
      <c r="Q51" s="21">
        <f t="shared" si="19"/>
        <v>1</v>
      </c>
      <c r="R51" s="21">
        <f t="shared" si="20"/>
        <v>0</v>
      </c>
      <c r="S51" s="308">
        <f t="shared" si="11"/>
        <v>0</v>
      </c>
    </row>
    <row r="52" spans="1:19">
      <c r="A52" s="142"/>
      <c r="B52" s="52"/>
      <c r="C52" s="21">
        <f t="shared" si="12"/>
        <v>1</v>
      </c>
      <c r="D52" s="635"/>
      <c r="E52" s="21">
        <f t="shared" si="13"/>
        <v>0</v>
      </c>
      <c r="F52" s="635"/>
      <c r="G52" s="21">
        <f t="shared" si="14"/>
        <v>0</v>
      </c>
      <c r="H52" s="635"/>
      <c r="I52" s="21">
        <f t="shared" si="15"/>
        <v>1</v>
      </c>
      <c r="J52" s="635"/>
      <c r="K52" s="21">
        <f t="shared" si="16"/>
        <v>1</v>
      </c>
      <c r="L52" s="635"/>
      <c r="M52" s="21">
        <f t="shared" si="17"/>
        <v>0</v>
      </c>
      <c r="N52" s="635"/>
      <c r="O52" s="21">
        <f t="shared" si="18"/>
        <v>1</v>
      </c>
      <c r="P52" s="635"/>
      <c r="Q52" s="21">
        <f t="shared" si="19"/>
        <v>1</v>
      </c>
      <c r="R52" s="21">
        <f t="shared" si="20"/>
        <v>0</v>
      </c>
      <c r="S52" s="308">
        <f t="shared" si="11"/>
        <v>0</v>
      </c>
    </row>
    <row r="53" spans="1:19">
      <c r="A53" s="142"/>
      <c r="B53" s="52"/>
      <c r="C53" s="21">
        <f t="shared" si="12"/>
        <v>1</v>
      </c>
      <c r="D53" s="635"/>
      <c r="E53" s="21">
        <f t="shared" si="13"/>
        <v>0</v>
      </c>
      <c r="F53" s="635"/>
      <c r="G53" s="21">
        <f t="shared" si="14"/>
        <v>0</v>
      </c>
      <c r="H53" s="635"/>
      <c r="I53" s="21">
        <f t="shared" si="15"/>
        <v>1</v>
      </c>
      <c r="J53" s="635"/>
      <c r="K53" s="21">
        <f t="shared" si="16"/>
        <v>1</v>
      </c>
      <c r="L53" s="635"/>
      <c r="M53" s="21">
        <f t="shared" si="17"/>
        <v>0</v>
      </c>
      <c r="N53" s="635"/>
      <c r="O53" s="21">
        <f t="shared" si="18"/>
        <v>1</v>
      </c>
      <c r="P53" s="635"/>
      <c r="Q53" s="21">
        <f t="shared" si="19"/>
        <v>1</v>
      </c>
      <c r="R53" s="21">
        <f t="shared" si="20"/>
        <v>0</v>
      </c>
      <c r="S53" s="308">
        <f t="shared" si="11"/>
        <v>0</v>
      </c>
    </row>
    <row r="54" spans="1:19">
      <c r="A54" s="142"/>
      <c r="B54" s="52"/>
      <c r="C54" s="21">
        <f t="shared" si="12"/>
        <v>1</v>
      </c>
      <c r="D54" s="635"/>
      <c r="E54" s="21">
        <f t="shared" si="13"/>
        <v>0</v>
      </c>
      <c r="F54" s="635"/>
      <c r="G54" s="21">
        <f t="shared" si="14"/>
        <v>0</v>
      </c>
      <c r="H54" s="635"/>
      <c r="I54" s="21">
        <f t="shared" si="15"/>
        <v>1</v>
      </c>
      <c r="J54" s="635"/>
      <c r="K54" s="21">
        <f t="shared" si="16"/>
        <v>1</v>
      </c>
      <c r="L54" s="635"/>
      <c r="M54" s="21">
        <f t="shared" si="17"/>
        <v>0</v>
      </c>
      <c r="N54" s="635"/>
      <c r="O54" s="21">
        <f t="shared" si="18"/>
        <v>1</v>
      </c>
      <c r="P54" s="635"/>
      <c r="Q54" s="21">
        <f t="shared" si="19"/>
        <v>1</v>
      </c>
      <c r="R54" s="21">
        <f t="shared" si="20"/>
        <v>0</v>
      </c>
      <c r="S54" s="308">
        <f t="shared" si="11"/>
        <v>0</v>
      </c>
    </row>
    <row r="55" spans="1:19">
      <c r="A55" s="142"/>
      <c r="B55" s="52"/>
      <c r="C55" s="21">
        <f t="shared" si="12"/>
        <v>1</v>
      </c>
      <c r="D55" s="635"/>
      <c r="E55" s="21">
        <f t="shared" si="13"/>
        <v>0</v>
      </c>
      <c r="F55" s="635"/>
      <c r="G55" s="21">
        <f t="shared" si="14"/>
        <v>0</v>
      </c>
      <c r="H55" s="635"/>
      <c r="I55" s="21">
        <f t="shared" si="15"/>
        <v>1</v>
      </c>
      <c r="J55" s="635"/>
      <c r="K55" s="21">
        <f t="shared" si="16"/>
        <v>1</v>
      </c>
      <c r="L55" s="635"/>
      <c r="M55" s="21">
        <f t="shared" si="17"/>
        <v>0</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0</v>
      </c>
      <c r="F56" s="635"/>
      <c r="G56" s="21">
        <f t="shared" si="14"/>
        <v>0</v>
      </c>
      <c r="H56" s="635"/>
      <c r="I56" s="21">
        <f t="shared" si="15"/>
        <v>1</v>
      </c>
      <c r="J56" s="635"/>
      <c r="K56" s="21">
        <f t="shared" si="16"/>
        <v>1</v>
      </c>
      <c r="L56" s="635"/>
      <c r="M56" s="21">
        <f t="shared" si="17"/>
        <v>0</v>
      </c>
      <c r="N56" s="635"/>
      <c r="O56" s="21">
        <f t="shared" si="18"/>
        <v>1</v>
      </c>
      <c r="P56" s="635"/>
      <c r="Q56" s="21">
        <f t="shared" si="19"/>
        <v>1</v>
      </c>
      <c r="R56" s="21">
        <f t="shared" si="20"/>
        <v>0</v>
      </c>
      <c r="S56" s="308">
        <f t="shared" si="21"/>
        <v>0</v>
      </c>
    </row>
    <row r="57" spans="1:19">
      <c r="A57" s="142"/>
      <c r="B57" s="52"/>
      <c r="C57" s="21">
        <f t="shared" si="12"/>
        <v>1</v>
      </c>
      <c r="D57" s="635"/>
      <c r="E57" s="21">
        <f t="shared" si="13"/>
        <v>0</v>
      </c>
      <c r="F57" s="635"/>
      <c r="G57" s="21">
        <f t="shared" si="14"/>
        <v>0</v>
      </c>
      <c r="H57" s="635"/>
      <c r="I57" s="21">
        <f t="shared" si="15"/>
        <v>1</v>
      </c>
      <c r="J57" s="635"/>
      <c r="K57" s="21">
        <f t="shared" si="16"/>
        <v>1</v>
      </c>
      <c r="L57" s="635"/>
      <c r="M57" s="21">
        <f t="shared" si="17"/>
        <v>0</v>
      </c>
      <c r="N57" s="635"/>
      <c r="O57" s="21">
        <f t="shared" si="18"/>
        <v>1</v>
      </c>
      <c r="P57" s="635"/>
      <c r="Q57" s="21">
        <f t="shared" si="19"/>
        <v>1</v>
      </c>
      <c r="R57" s="21">
        <f t="shared" si="20"/>
        <v>0</v>
      </c>
      <c r="S57" s="308">
        <f t="shared" si="21"/>
        <v>0</v>
      </c>
    </row>
    <row r="58" spans="1:19">
      <c r="A58" s="142"/>
      <c r="B58" s="52"/>
      <c r="C58" s="21">
        <f t="shared" si="12"/>
        <v>1</v>
      </c>
      <c r="D58" s="635"/>
      <c r="E58" s="21">
        <f t="shared" si="13"/>
        <v>0</v>
      </c>
      <c r="F58" s="635"/>
      <c r="G58" s="21">
        <f t="shared" si="14"/>
        <v>0</v>
      </c>
      <c r="H58" s="635"/>
      <c r="I58" s="21">
        <f t="shared" si="15"/>
        <v>1</v>
      </c>
      <c r="J58" s="635"/>
      <c r="K58" s="21">
        <f t="shared" si="16"/>
        <v>1</v>
      </c>
      <c r="L58" s="635"/>
      <c r="M58" s="21">
        <f t="shared" si="17"/>
        <v>0</v>
      </c>
      <c r="N58" s="635"/>
      <c r="O58" s="21">
        <f t="shared" si="18"/>
        <v>1</v>
      </c>
      <c r="P58" s="635"/>
      <c r="Q58" s="21">
        <f t="shared" si="19"/>
        <v>1</v>
      </c>
      <c r="R58" s="21">
        <f t="shared" si="20"/>
        <v>0</v>
      </c>
      <c r="S58" s="308">
        <f t="shared" si="21"/>
        <v>0</v>
      </c>
    </row>
    <row r="59" spans="1:19">
      <c r="A59" s="142"/>
      <c r="B59" s="52"/>
      <c r="C59" s="21">
        <f t="shared" si="12"/>
        <v>1</v>
      </c>
      <c r="D59" s="635"/>
      <c r="E59" s="21">
        <f t="shared" si="13"/>
        <v>0</v>
      </c>
      <c r="F59" s="635"/>
      <c r="G59" s="21">
        <f t="shared" si="14"/>
        <v>0</v>
      </c>
      <c r="H59" s="635"/>
      <c r="I59" s="21">
        <f t="shared" si="15"/>
        <v>1</v>
      </c>
      <c r="J59" s="635"/>
      <c r="K59" s="21">
        <f t="shared" si="16"/>
        <v>1</v>
      </c>
      <c r="L59" s="635"/>
      <c r="M59" s="21">
        <f t="shared" si="17"/>
        <v>0</v>
      </c>
      <c r="N59" s="635"/>
      <c r="O59" s="21">
        <f t="shared" si="18"/>
        <v>1</v>
      </c>
      <c r="P59" s="635"/>
      <c r="Q59" s="21">
        <f t="shared" si="19"/>
        <v>1</v>
      </c>
      <c r="R59" s="21">
        <f t="shared" si="20"/>
        <v>0</v>
      </c>
      <c r="S59" s="308">
        <f t="shared" si="21"/>
        <v>0</v>
      </c>
    </row>
    <row r="60" spans="1:19">
      <c r="A60" s="142"/>
      <c r="B60" s="52"/>
      <c r="C60" s="21">
        <f t="shared" si="12"/>
        <v>1</v>
      </c>
      <c r="D60" s="635"/>
      <c r="E60" s="21">
        <f t="shared" si="13"/>
        <v>0</v>
      </c>
      <c r="F60" s="635"/>
      <c r="G60" s="21">
        <f t="shared" si="14"/>
        <v>0</v>
      </c>
      <c r="H60" s="635"/>
      <c r="I60" s="21">
        <f t="shared" si="15"/>
        <v>1</v>
      </c>
      <c r="J60" s="635"/>
      <c r="K60" s="21">
        <f t="shared" si="16"/>
        <v>1</v>
      </c>
      <c r="L60" s="635"/>
      <c r="M60" s="21">
        <f t="shared" si="17"/>
        <v>0</v>
      </c>
      <c r="N60" s="635"/>
      <c r="O60" s="21">
        <f t="shared" si="18"/>
        <v>1</v>
      </c>
      <c r="P60" s="635"/>
      <c r="Q60" s="21">
        <f t="shared" si="19"/>
        <v>1</v>
      </c>
      <c r="R60" s="21">
        <f t="shared" si="20"/>
        <v>0</v>
      </c>
      <c r="S60" s="308">
        <f t="shared" si="21"/>
        <v>0</v>
      </c>
    </row>
    <row r="61" spans="1:19">
      <c r="A61" s="142"/>
      <c r="B61" s="52"/>
      <c r="C61" s="21">
        <f t="shared" si="12"/>
        <v>1</v>
      </c>
      <c r="D61" s="635"/>
      <c r="E61" s="21">
        <f t="shared" si="13"/>
        <v>0</v>
      </c>
      <c r="F61" s="635"/>
      <c r="G61" s="21">
        <f t="shared" si="14"/>
        <v>0</v>
      </c>
      <c r="H61" s="635"/>
      <c r="I61" s="21">
        <f t="shared" si="15"/>
        <v>1</v>
      </c>
      <c r="J61" s="635"/>
      <c r="K61" s="21">
        <f t="shared" si="16"/>
        <v>1</v>
      </c>
      <c r="L61" s="635"/>
      <c r="M61" s="21">
        <f t="shared" si="17"/>
        <v>0</v>
      </c>
      <c r="N61" s="635"/>
      <c r="O61" s="21">
        <f t="shared" si="18"/>
        <v>1</v>
      </c>
      <c r="P61" s="635"/>
      <c r="Q61" s="21">
        <f t="shared" si="19"/>
        <v>1</v>
      </c>
      <c r="R61" s="21">
        <f t="shared" si="20"/>
        <v>0</v>
      </c>
      <c r="S61" s="308">
        <f t="shared" si="21"/>
        <v>0</v>
      </c>
    </row>
    <row r="62" spans="1:19">
      <c r="A62" s="142"/>
      <c r="B62" s="52"/>
      <c r="C62" s="21">
        <f t="shared" si="12"/>
        <v>1</v>
      </c>
      <c r="D62" s="635"/>
      <c r="E62" s="21">
        <f t="shared" si="13"/>
        <v>0</v>
      </c>
      <c r="F62" s="635"/>
      <c r="G62" s="21">
        <f t="shared" si="14"/>
        <v>0</v>
      </c>
      <c r="H62" s="635"/>
      <c r="I62" s="21">
        <f t="shared" si="15"/>
        <v>1</v>
      </c>
      <c r="J62" s="635"/>
      <c r="K62" s="21">
        <f t="shared" si="16"/>
        <v>1</v>
      </c>
      <c r="L62" s="635"/>
      <c r="M62" s="21">
        <f t="shared" si="17"/>
        <v>0</v>
      </c>
      <c r="N62" s="635"/>
      <c r="O62" s="21">
        <f t="shared" si="18"/>
        <v>1</v>
      </c>
      <c r="P62" s="635"/>
      <c r="Q62" s="21">
        <f t="shared" si="19"/>
        <v>1</v>
      </c>
      <c r="R62" s="21">
        <f t="shared" si="20"/>
        <v>0</v>
      </c>
      <c r="S62" s="308">
        <f t="shared" si="21"/>
        <v>0</v>
      </c>
    </row>
    <row r="63" spans="1:19">
      <c r="A63" s="142"/>
      <c r="B63" s="52"/>
      <c r="C63" s="21">
        <f t="shared" si="12"/>
        <v>1</v>
      </c>
      <c r="D63" s="635"/>
      <c r="E63" s="21">
        <f t="shared" si="13"/>
        <v>0</v>
      </c>
      <c r="F63" s="635"/>
      <c r="G63" s="21">
        <f t="shared" si="14"/>
        <v>0</v>
      </c>
      <c r="H63" s="635"/>
      <c r="I63" s="21">
        <f t="shared" si="15"/>
        <v>1</v>
      </c>
      <c r="J63" s="635"/>
      <c r="K63" s="21">
        <f t="shared" si="16"/>
        <v>1</v>
      </c>
      <c r="L63" s="635"/>
      <c r="M63" s="21">
        <f t="shared" si="17"/>
        <v>0</v>
      </c>
      <c r="N63" s="635"/>
      <c r="O63" s="21">
        <f t="shared" si="18"/>
        <v>1</v>
      </c>
      <c r="P63" s="635"/>
      <c r="Q63" s="21">
        <f t="shared" si="19"/>
        <v>1</v>
      </c>
      <c r="R63" s="21">
        <f t="shared" si="20"/>
        <v>0</v>
      </c>
      <c r="S63" s="308">
        <f t="shared" si="21"/>
        <v>0</v>
      </c>
    </row>
    <row r="64" spans="1:19">
      <c r="A64" s="142"/>
      <c r="B64" s="52"/>
      <c r="C64" s="21">
        <f t="shared" si="12"/>
        <v>1</v>
      </c>
      <c r="D64" s="635"/>
      <c r="E64" s="21">
        <f t="shared" si="13"/>
        <v>0</v>
      </c>
      <c r="F64" s="635"/>
      <c r="G64" s="21">
        <f t="shared" si="14"/>
        <v>0</v>
      </c>
      <c r="H64" s="635"/>
      <c r="I64" s="21">
        <f t="shared" si="15"/>
        <v>1</v>
      </c>
      <c r="J64" s="635"/>
      <c r="K64" s="21">
        <f t="shared" si="16"/>
        <v>1</v>
      </c>
      <c r="L64" s="635"/>
      <c r="M64" s="21">
        <f t="shared" si="17"/>
        <v>0</v>
      </c>
      <c r="N64" s="635"/>
      <c r="O64" s="21">
        <f t="shared" si="18"/>
        <v>1</v>
      </c>
      <c r="P64" s="635"/>
      <c r="Q64" s="21">
        <f t="shared" si="19"/>
        <v>1</v>
      </c>
      <c r="R64" s="21">
        <f t="shared" si="20"/>
        <v>0</v>
      </c>
      <c r="S64" s="308">
        <f t="shared" si="21"/>
        <v>0</v>
      </c>
    </row>
    <row r="65" spans="1:19">
      <c r="A65" s="142"/>
      <c r="B65" s="52"/>
      <c r="C65" s="21">
        <f t="shared" si="12"/>
        <v>1</v>
      </c>
      <c r="D65" s="635"/>
      <c r="E65" s="21">
        <f t="shared" si="13"/>
        <v>0</v>
      </c>
      <c r="F65" s="635"/>
      <c r="G65" s="21">
        <f t="shared" si="14"/>
        <v>0</v>
      </c>
      <c r="H65" s="635"/>
      <c r="I65" s="21">
        <f t="shared" si="15"/>
        <v>1</v>
      </c>
      <c r="J65" s="635"/>
      <c r="K65" s="21">
        <f t="shared" si="16"/>
        <v>1</v>
      </c>
      <c r="L65" s="635"/>
      <c r="M65" s="21">
        <f t="shared" si="17"/>
        <v>0</v>
      </c>
      <c r="N65" s="635"/>
      <c r="O65" s="21">
        <f t="shared" si="18"/>
        <v>1</v>
      </c>
      <c r="P65" s="635"/>
      <c r="Q65" s="21">
        <f t="shared" si="19"/>
        <v>1</v>
      </c>
      <c r="R65" s="21">
        <f t="shared" si="20"/>
        <v>0</v>
      </c>
      <c r="S65" s="308">
        <f t="shared" si="21"/>
        <v>0</v>
      </c>
    </row>
    <row r="66" spans="1:19">
      <c r="A66" s="142"/>
      <c r="B66" s="52"/>
      <c r="C66" s="21">
        <f t="shared" si="12"/>
        <v>1</v>
      </c>
      <c r="D66" s="635"/>
      <c r="E66" s="21">
        <f t="shared" si="13"/>
        <v>0</v>
      </c>
      <c r="F66" s="635"/>
      <c r="G66" s="21">
        <f t="shared" si="14"/>
        <v>0</v>
      </c>
      <c r="H66" s="635"/>
      <c r="I66" s="21">
        <f t="shared" si="15"/>
        <v>1</v>
      </c>
      <c r="J66" s="635"/>
      <c r="K66" s="21">
        <f t="shared" si="16"/>
        <v>1</v>
      </c>
      <c r="L66" s="635"/>
      <c r="M66" s="21">
        <f t="shared" si="17"/>
        <v>0</v>
      </c>
      <c r="N66" s="635"/>
      <c r="O66" s="21">
        <f t="shared" si="18"/>
        <v>1</v>
      </c>
      <c r="P66" s="635"/>
      <c r="Q66" s="21">
        <f t="shared" si="19"/>
        <v>1</v>
      </c>
      <c r="R66" s="21">
        <f t="shared" si="20"/>
        <v>0</v>
      </c>
      <c r="S66" s="308">
        <f t="shared" si="21"/>
        <v>0</v>
      </c>
    </row>
    <row r="67" spans="1:19">
      <c r="A67" s="142"/>
      <c r="B67" s="52"/>
      <c r="C67" s="21">
        <f t="shared" si="12"/>
        <v>1</v>
      </c>
      <c r="D67" s="635"/>
      <c r="E67" s="21">
        <f t="shared" si="13"/>
        <v>0</v>
      </c>
      <c r="F67" s="635"/>
      <c r="G67" s="21">
        <f t="shared" si="14"/>
        <v>0</v>
      </c>
      <c r="H67" s="635"/>
      <c r="I67" s="21">
        <f t="shared" si="15"/>
        <v>1</v>
      </c>
      <c r="J67" s="635"/>
      <c r="K67" s="21">
        <f t="shared" si="16"/>
        <v>1</v>
      </c>
      <c r="L67" s="635"/>
      <c r="M67" s="21">
        <f t="shared" si="17"/>
        <v>0</v>
      </c>
      <c r="N67" s="635"/>
      <c r="O67" s="21">
        <f t="shared" si="18"/>
        <v>1</v>
      </c>
      <c r="P67" s="635"/>
      <c r="Q67" s="21">
        <f t="shared" si="19"/>
        <v>1</v>
      </c>
      <c r="R67" s="21">
        <f t="shared" si="20"/>
        <v>0</v>
      </c>
      <c r="S67" s="308">
        <f t="shared" si="21"/>
        <v>0</v>
      </c>
    </row>
    <row r="68" spans="1:19">
      <c r="A68" s="142"/>
      <c r="B68" s="52"/>
      <c r="C68" s="21">
        <f t="shared" si="12"/>
        <v>1</v>
      </c>
      <c r="D68" s="635"/>
      <c r="E68" s="21">
        <f t="shared" si="13"/>
        <v>0</v>
      </c>
      <c r="F68" s="635"/>
      <c r="G68" s="21">
        <f t="shared" si="14"/>
        <v>0</v>
      </c>
      <c r="H68" s="635"/>
      <c r="I68" s="21">
        <f t="shared" si="15"/>
        <v>1</v>
      </c>
      <c r="J68" s="635"/>
      <c r="K68" s="21">
        <f t="shared" si="16"/>
        <v>1</v>
      </c>
      <c r="L68" s="635"/>
      <c r="M68" s="21">
        <f t="shared" si="17"/>
        <v>0</v>
      </c>
      <c r="N68" s="635"/>
      <c r="O68" s="21">
        <f t="shared" si="18"/>
        <v>1</v>
      </c>
      <c r="P68" s="635"/>
      <c r="Q68" s="21">
        <f t="shared" si="19"/>
        <v>1</v>
      </c>
      <c r="R68" s="21">
        <f t="shared" si="20"/>
        <v>0</v>
      </c>
      <c r="S68" s="308">
        <f t="shared" si="21"/>
        <v>0</v>
      </c>
    </row>
    <row r="69" spans="1:19">
      <c r="A69" s="142"/>
      <c r="B69" s="52"/>
      <c r="C69" s="21">
        <f t="shared" si="12"/>
        <v>1</v>
      </c>
      <c r="D69" s="635"/>
      <c r="E69" s="21">
        <f t="shared" si="13"/>
        <v>0</v>
      </c>
      <c r="F69" s="635"/>
      <c r="G69" s="21">
        <f t="shared" si="14"/>
        <v>0</v>
      </c>
      <c r="H69" s="635"/>
      <c r="I69" s="21">
        <f t="shared" si="15"/>
        <v>1</v>
      </c>
      <c r="J69" s="635"/>
      <c r="K69" s="21">
        <f t="shared" si="16"/>
        <v>1</v>
      </c>
      <c r="L69" s="635"/>
      <c r="M69" s="21">
        <f t="shared" si="17"/>
        <v>0</v>
      </c>
      <c r="N69" s="635"/>
      <c r="O69" s="21">
        <f t="shared" si="18"/>
        <v>1</v>
      </c>
      <c r="P69" s="635"/>
      <c r="Q69" s="21">
        <f t="shared" si="19"/>
        <v>1</v>
      </c>
      <c r="R69" s="21">
        <f t="shared" si="20"/>
        <v>0</v>
      </c>
      <c r="S69" s="308">
        <f t="shared" si="21"/>
        <v>0</v>
      </c>
    </row>
    <row r="70" spans="1:19">
      <c r="A70" s="142"/>
      <c r="B70" s="52"/>
      <c r="C70" s="21">
        <f t="shared" si="12"/>
        <v>1</v>
      </c>
      <c r="D70" s="635"/>
      <c r="E70" s="21">
        <f t="shared" si="13"/>
        <v>0</v>
      </c>
      <c r="F70" s="635"/>
      <c r="G70" s="21">
        <f t="shared" si="14"/>
        <v>0</v>
      </c>
      <c r="H70" s="635"/>
      <c r="I70" s="21">
        <f t="shared" si="15"/>
        <v>1</v>
      </c>
      <c r="J70" s="635"/>
      <c r="K70" s="21">
        <f t="shared" si="16"/>
        <v>1</v>
      </c>
      <c r="L70" s="635"/>
      <c r="M70" s="21">
        <f t="shared" si="17"/>
        <v>0</v>
      </c>
      <c r="N70" s="635"/>
      <c r="O70" s="21">
        <f t="shared" si="18"/>
        <v>1</v>
      </c>
      <c r="P70" s="635"/>
      <c r="Q70" s="21">
        <f t="shared" si="19"/>
        <v>1</v>
      </c>
      <c r="R70" s="21">
        <f t="shared" si="20"/>
        <v>0</v>
      </c>
      <c r="S70" s="308">
        <f t="shared" si="21"/>
        <v>0</v>
      </c>
    </row>
    <row r="71" spans="1:19">
      <c r="A71" s="142"/>
      <c r="B71" s="52"/>
      <c r="C71" s="21">
        <f t="shared" si="12"/>
        <v>1</v>
      </c>
      <c r="D71" s="635"/>
      <c r="E71" s="21">
        <f t="shared" si="13"/>
        <v>0</v>
      </c>
      <c r="F71" s="635"/>
      <c r="G71" s="21">
        <f t="shared" si="14"/>
        <v>0</v>
      </c>
      <c r="H71" s="635"/>
      <c r="I71" s="21">
        <f t="shared" si="15"/>
        <v>1</v>
      </c>
      <c r="J71" s="635"/>
      <c r="K71" s="21">
        <f t="shared" si="16"/>
        <v>1</v>
      </c>
      <c r="L71" s="635"/>
      <c r="M71" s="21">
        <f t="shared" si="17"/>
        <v>0</v>
      </c>
      <c r="N71" s="635"/>
      <c r="O71" s="21">
        <f t="shared" si="18"/>
        <v>1</v>
      </c>
      <c r="P71" s="635"/>
      <c r="Q71" s="21">
        <f t="shared" si="19"/>
        <v>1</v>
      </c>
      <c r="R71" s="21">
        <f t="shared" si="20"/>
        <v>0</v>
      </c>
      <c r="S71" s="308">
        <f t="shared" si="21"/>
        <v>0</v>
      </c>
    </row>
    <row r="72" spans="1:19">
      <c r="A72" s="142"/>
      <c r="B72" s="52"/>
      <c r="C72" s="21">
        <f t="shared" si="12"/>
        <v>1</v>
      </c>
      <c r="D72" s="635"/>
      <c r="E72" s="21">
        <f t="shared" si="13"/>
        <v>0</v>
      </c>
      <c r="F72" s="635"/>
      <c r="G72" s="21">
        <f t="shared" si="14"/>
        <v>0</v>
      </c>
      <c r="H72" s="635"/>
      <c r="I72" s="21">
        <f t="shared" si="15"/>
        <v>1</v>
      </c>
      <c r="J72" s="635"/>
      <c r="K72" s="21">
        <f t="shared" si="16"/>
        <v>1</v>
      </c>
      <c r="L72" s="635"/>
      <c r="M72" s="21">
        <f t="shared" si="17"/>
        <v>0</v>
      </c>
      <c r="N72" s="635"/>
      <c r="O72" s="21">
        <f t="shared" si="18"/>
        <v>1</v>
      </c>
      <c r="P72" s="635"/>
      <c r="Q72" s="21">
        <f t="shared" si="19"/>
        <v>1</v>
      </c>
      <c r="R72" s="21">
        <f t="shared" si="20"/>
        <v>0</v>
      </c>
      <c r="S72" s="308">
        <f t="shared" si="21"/>
        <v>0</v>
      </c>
    </row>
    <row r="73" spans="1:19">
      <c r="A73" s="142"/>
      <c r="B73" s="52"/>
      <c r="C73" s="21">
        <f t="shared" si="12"/>
        <v>1</v>
      </c>
      <c r="D73" s="635"/>
      <c r="E73" s="21">
        <f t="shared" si="13"/>
        <v>0</v>
      </c>
      <c r="F73" s="635"/>
      <c r="G73" s="21">
        <f t="shared" si="14"/>
        <v>0</v>
      </c>
      <c r="H73" s="635"/>
      <c r="I73" s="21">
        <f t="shared" si="15"/>
        <v>1</v>
      </c>
      <c r="J73" s="635"/>
      <c r="K73" s="21">
        <f t="shared" si="16"/>
        <v>1</v>
      </c>
      <c r="L73" s="635"/>
      <c r="M73" s="21">
        <f t="shared" si="17"/>
        <v>0</v>
      </c>
      <c r="N73" s="635"/>
      <c r="O73" s="21">
        <f t="shared" si="18"/>
        <v>1</v>
      </c>
      <c r="P73" s="635"/>
      <c r="Q73" s="21">
        <f t="shared" si="19"/>
        <v>1</v>
      </c>
      <c r="R73" s="21">
        <f t="shared" si="20"/>
        <v>0</v>
      </c>
      <c r="S73" s="308">
        <f t="shared" si="21"/>
        <v>0</v>
      </c>
    </row>
    <row r="74" spans="1:19">
      <c r="A74" s="142"/>
      <c r="B74" s="52"/>
      <c r="C74" s="21">
        <f t="shared" si="12"/>
        <v>1</v>
      </c>
      <c r="D74" s="635"/>
      <c r="E74" s="21">
        <f t="shared" si="13"/>
        <v>0</v>
      </c>
      <c r="F74" s="635"/>
      <c r="G74" s="21">
        <f t="shared" si="14"/>
        <v>0</v>
      </c>
      <c r="H74" s="635"/>
      <c r="I74" s="21">
        <f t="shared" si="15"/>
        <v>1</v>
      </c>
      <c r="J74" s="635"/>
      <c r="K74" s="21">
        <f t="shared" si="16"/>
        <v>1</v>
      </c>
      <c r="L74" s="635"/>
      <c r="M74" s="21">
        <f t="shared" si="17"/>
        <v>0</v>
      </c>
      <c r="N74" s="635"/>
      <c r="O74" s="21">
        <f t="shared" si="18"/>
        <v>1</v>
      </c>
      <c r="P74" s="635"/>
      <c r="Q74" s="21">
        <f t="shared" si="19"/>
        <v>1</v>
      </c>
      <c r="R74" s="21">
        <f t="shared" si="20"/>
        <v>0</v>
      </c>
      <c r="S74" s="308">
        <f t="shared" si="21"/>
        <v>0</v>
      </c>
    </row>
    <row r="75" spans="1:19">
      <c r="A75" s="142"/>
      <c r="B75" s="52"/>
      <c r="C75" s="21">
        <f t="shared" si="12"/>
        <v>1</v>
      </c>
      <c r="D75" s="635"/>
      <c r="E75" s="21">
        <f t="shared" si="13"/>
        <v>0</v>
      </c>
      <c r="F75" s="635"/>
      <c r="G75" s="21">
        <f t="shared" si="14"/>
        <v>0</v>
      </c>
      <c r="H75" s="635"/>
      <c r="I75" s="21">
        <f t="shared" si="15"/>
        <v>1</v>
      </c>
      <c r="J75" s="635"/>
      <c r="K75" s="21">
        <f t="shared" si="16"/>
        <v>1</v>
      </c>
      <c r="L75" s="635"/>
      <c r="M75" s="21">
        <f t="shared" si="17"/>
        <v>0</v>
      </c>
      <c r="N75" s="635"/>
      <c r="O75" s="21">
        <f t="shared" si="18"/>
        <v>1</v>
      </c>
      <c r="P75" s="635"/>
      <c r="Q75" s="21">
        <f t="shared" si="19"/>
        <v>1</v>
      </c>
      <c r="R75" s="21">
        <f t="shared" si="20"/>
        <v>0</v>
      </c>
      <c r="S75" s="308">
        <f t="shared" si="21"/>
        <v>0</v>
      </c>
    </row>
    <row r="76" spans="1:19">
      <c r="A76" s="142"/>
      <c r="B76" s="52"/>
      <c r="C76" s="21">
        <f t="shared" si="12"/>
        <v>1</v>
      </c>
      <c r="D76" s="635"/>
      <c r="E76" s="21">
        <f t="shared" si="13"/>
        <v>0</v>
      </c>
      <c r="F76" s="635"/>
      <c r="G76" s="21">
        <f t="shared" si="14"/>
        <v>0</v>
      </c>
      <c r="H76" s="635"/>
      <c r="I76" s="21">
        <f t="shared" si="15"/>
        <v>1</v>
      </c>
      <c r="J76" s="635"/>
      <c r="K76" s="21">
        <f t="shared" si="16"/>
        <v>1</v>
      </c>
      <c r="L76" s="635"/>
      <c r="M76" s="21">
        <f t="shared" si="17"/>
        <v>0</v>
      </c>
      <c r="N76" s="635"/>
      <c r="O76" s="21">
        <f t="shared" si="18"/>
        <v>1</v>
      </c>
      <c r="P76" s="635"/>
      <c r="Q76" s="21">
        <f t="shared" si="19"/>
        <v>1</v>
      </c>
      <c r="R76" s="21">
        <f t="shared" si="20"/>
        <v>0</v>
      </c>
      <c r="S76" s="308">
        <f t="shared" si="21"/>
        <v>0</v>
      </c>
    </row>
    <row r="77" spans="1:19">
      <c r="A77" s="142"/>
      <c r="B77" s="52"/>
      <c r="C77" s="21">
        <f t="shared" si="12"/>
        <v>1</v>
      </c>
      <c r="D77" s="635"/>
      <c r="E77" s="21">
        <f t="shared" si="13"/>
        <v>0</v>
      </c>
      <c r="F77" s="635"/>
      <c r="G77" s="21">
        <f t="shared" si="14"/>
        <v>0</v>
      </c>
      <c r="H77" s="635"/>
      <c r="I77" s="21">
        <f t="shared" si="15"/>
        <v>1</v>
      </c>
      <c r="J77" s="635"/>
      <c r="K77" s="21">
        <f t="shared" si="16"/>
        <v>1</v>
      </c>
      <c r="L77" s="635"/>
      <c r="M77" s="21">
        <f t="shared" si="17"/>
        <v>0</v>
      </c>
      <c r="N77" s="635"/>
      <c r="O77" s="21">
        <f t="shared" si="18"/>
        <v>1</v>
      </c>
      <c r="P77" s="635"/>
      <c r="Q77" s="21">
        <f t="shared" si="19"/>
        <v>1</v>
      </c>
      <c r="R77" s="21">
        <f t="shared" si="20"/>
        <v>0</v>
      </c>
      <c r="S77" s="308">
        <f t="shared" si="21"/>
        <v>0</v>
      </c>
    </row>
    <row r="78" spans="1:19">
      <c r="A78" s="142"/>
      <c r="B78" s="52"/>
      <c r="C78" s="21">
        <f t="shared" si="12"/>
        <v>1</v>
      </c>
      <c r="D78" s="635"/>
      <c r="E78" s="21">
        <f t="shared" si="13"/>
        <v>0</v>
      </c>
      <c r="F78" s="635"/>
      <c r="G78" s="21">
        <f t="shared" si="14"/>
        <v>0</v>
      </c>
      <c r="H78" s="635"/>
      <c r="I78" s="21">
        <f t="shared" si="15"/>
        <v>1</v>
      </c>
      <c r="J78" s="635"/>
      <c r="K78" s="21">
        <f t="shared" si="16"/>
        <v>1</v>
      </c>
      <c r="L78" s="635"/>
      <c r="M78" s="21">
        <f t="shared" si="17"/>
        <v>0</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0</v>
      </c>
      <c r="F79" s="635"/>
      <c r="G79" s="21">
        <f t="shared" si="14"/>
        <v>0</v>
      </c>
      <c r="H79" s="635"/>
      <c r="I79" s="21">
        <f t="shared" si="15"/>
        <v>1</v>
      </c>
      <c r="J79" s="635"/>
      <c r="K79" s="21">
        <f t="shared" si="16"/>
        <v>1</v>
      </c>
      <c r="L79" s="635"/>
      <c r="M79" s="21">
        <f t="shared" si="17"/>
        <v>0</v>
      </c>
      <c r="N79" s="635"/>
      <c r="O79" s="21">
        <f t="shared" si="18"/>
        <v>1</v>
      </c>
      <c r="P79" s="635"/>
      <c r="Q79" s="21">
        <f t="shared" si="19"/>
        <v>1</v>
      </c>
      <c r="R79" s="21">
        <f t="shared" si="20"/>
        <v>0</v>
      </c>
      <c r="S79" s="308">
        <f t="shared" si="22"/>
        <v>0</v>
      </c>
    </row>
    <row r="80" spans="1:19">
      <c r="A80" s="142"/>
      <c r="B80" s="52"/>
      <c r="C80" s="21">
        <f t="shared" si="12"/>
        <v>1</v>
      </c>
      <c r="D80" s="635"/>
      <c r="E80" s="21">
        <f t="shared" si="13"/>
        <v>0</v>
      </c>
      <c r="F80" s="635"/>
      <c r="G80" s="21">
        <f t="shared" si="14"/>
        <v>0</v>
      </c>
      <c r="H80" s="635"/>
      <c r="I80" s="21">
        <f t="shared" si="15"/>
        <v>1</v>
      </c>
      <c r="J80" s="635"/>
      <c r="K80" s="21">
        <f t="shared" si="16"/>
        <v>1</v>
      </c>
      <c r="L80" s="635"/>
      <c r="M80" s="21">
        <f t="shared" si="17"/>
        <v>0</v>
      </c>
      <c r="N80" s="635"/>
      <c r="O80" s="21">
        <f t="shared" si="18"/>
        <v>1</v>
      </c>
      <c r="P80" s="635"/>
      <c r="Q80" s="21">
        <f t="shared" si="19"/>
        <v>1</v>
      </c>
      <c r="R80" s="21">
        <f t="shared" si="20"/>
        <v>0</v>
      </c>
      <c r="S80" s="308">
        <f t="shared" si="22"/>
        <v>0</v>
      </c>
    </row>
    <row r="81" spans="1:19">
      <c r="A81" s="142"/>
      <c r="B81" s="52"/>
      <c r="C81" s="21">
        <f t="shared" si="12"/>
        <v>1</v>
      </c>
      <c r="D81" s="635"/>
      <c r="E81" s="21">
        <f t="shared" si="13"/>
        <v>0</v>
      </c>
      <c r="F81" s="635"/>
      <c r="G81" s="21">
        <f t="shared" si="14"/>
        <v>0</v>
      </c>
      <c r="H81" s="635"/>
      <c r="I81" s="21">
        <f t="shared" si="15"/>
        <v>1</v>
      </c>
      <c r="J81" s="635"/>
      <c r="K81" s="21">
        <f t="shared" si="16"/>
        <v>1</v>
      </c>
      <c r="L81" s="635"/>
      <c r="M81" s="21">
        <f t="shared" si="17"/>
        <v>0</v>
      </c>
      <c r="N81" s="635"/>
      <c r="O81" s="21">
        <f t="shared" si="18"/>
        <v>1</v>
      </c>
      <c r="P81" s="635"/>
      <c r="Q81" s="21">
        <f t="shared" si="19"/>
        <v>1</v>
      </c>
      <c r="R81" s="21">
        <f t="shared" si="20"/>
        <v>0</v>
      </c>
      <c r="S81" s="308">
        <f t="shared" si="22"/>
        <v>0</v>
      </c>
    </row>
    <row r="82" spans="1:19">
      <c r="A82" s="142"/>
      <c r="B82" s="52"/>
      <c r="C82" s="21">
        <f t="shared" si="12"/>
        <v>1</v>
      </c>
      <c r="D82" s="635"/>
      <c r="E82" s="21">
        <f t="shared" si="13"/>
        <v>0</v>
      </c>
      <c r="F82" s="635"/>
      <c r="G82" s="21">
        <f t="shared" si="14"/>
        <v>0</v>
      </c>
      <c r="H82" s="635"/>
      <c r="I82" s="21">
        <f t="shared" si="15"/>
        <v>1</v>
      </c>
      <c r="J82" s="635"/>
      <c r="K82" s="21">
        <f t="shared" si="16"/>
        <v>1</v>
      </c>
      <c r="L82" s="635"/>
      <c r="M82" s="21">
        <f t="shared" si="17"/>
        <v>0</v>
      </c>
      <c r="N82" s="635"/>
      <c r="O82" s="21">
        <f t="shared" si="18"/>
        <v>1</v>
      </c>
      <c r="P82" s="635"/>
      <c r="Q82" s="21">
        <f t="shared" si="19"/>
        <v>1</v>
      </c>
      <c r="R82" s="21">
        <f t="shared" si="20"/>
        <v>0</v>
      </c>
      <c r="S82" s="308">
        <f t="shared" si="22"/>
        <v>0</v>
      </c>
    </row>
    <row r="83" spans="1:19">
      <c r="A83" s="142"/>
      <c r="B83" s="52"/>
      <c r="C83" s="21">
        <f t="shared" si="12"/>
        <v>1</v>
      </c>
      <c r="D83" s="635"/>
      <c r="E83" s="21">
        <f t="shared" si="13"/>
        <v>0</v>
      </c>
      <c r="F83" s="635"/>
      <c r="G83" s="21">
        <f t="shared" si="14"/>
        <v>0</v>
      </c>
      <c r="H83" s="635"/>
      <c r="I83" s="21">
        <f t="shared" si="15"/>
        <v>1</v>
      </c>
      <c r="J83" s="635"/>
      <c r="K83" s="21">
        <f t="shared" si="16"/>
        <v>1</v>
      </c>
      <c r="L83" s="635"/>
      <c r="M83" s="21">
        <f t="shared" si="17"/>
        <v>0</v>
      </c>
      <c r="N83" s="635"/>
      <c r="O83" s="21">
        <f t="shared" si="18"/>
        <v>1</v>
      </c>
      <c r="P83" s="635"/>
      <c r="Q83" s="21">
        <f t="shared" si="19"/>
        <v>1</v>
      </c>
      <c r="R83" s="21">
        <f t="shared" si="20"/>
        <v>0</v>
      </c>
      <c r="S83" s="308">
        <f t="shared" si="22"/>
        <v>0</v>
      </c>
    </row>
    <row r="84" spans="1:19">
      <c r="A84" s="142"/>
      <c r="B84" s="52"/>
      <c r="C84" s="21">
        <f t="shared" si="12"/>
        <v>1</v>
      </c>
      <c r="D84" s="635"/>
      <c r="E84" s="21">
        <f t="shared" si="13"/>
        <v>0</v>
      </c>
      <c r="F84" s="635"/>
      <c r="G84" s="21">
        <f t="shared" si="14"/>
        <v>0</v>
      </c>
      <c r="H84" s="635"/>
      <c r="I84" s="21">
        <f t="shared" si="15"/>
        <v>1</v>
      </c>
      <c r="J84" s="635"/>
      <c r="K84" s="21">
        <f t="shared" si="16"/>
        <v>1</v>
      </c>
      <c r="L84" s="635"/>
      <c r="M84" s="21">
        <f t="shared" si="17"/>
        <v>0</v>
      </c>
      <c r="N84" s="635"/>
      <c r="O84" s="21">
        <f t="shared" si="18"/>
        <v>1</v>
      </c>
      <c r="P84" s="635"/>
      <c r="Q84" s="21">
        <f t="shared" si="19"/>
        <v>1</v>
      </c>
      <c r="R84" s="21">
        <f t="shared" si="20"/>
        <v>0</v>
      </c>
      <c r="S84" s="308">
        <f t="shared" si="22"/>
        <v>0</v>
      </c>
    </row>
    <row r="85" spans="1:19">
      <c r="A85" s="142"/>
      <c r="B85" s="52"/>
      <c r="C85" s="21">
        <f t="shared" si="12"/>
        <v>1</v>
      </c>
      <c r="D85" s="635"/>
      <c r="E85" s="21">
        <f t="shared" si="13"/>
        <v>0</v>
      </c>
      <c r="F85" s="635"/>
      <c r="G85" s="21">
        <f t="shared" si="14"/>
        <v>0</v>
      </c>
      <c r="H85" s="635"/>
      <c r="I85" s="21">
        <f t="shared" si="15"/>
        <v>1</v>
      </c>
      <c r="J85" s="635"/>
      <c r="K85" s="21">
        <f t="shared" si="16"/>
        <v>1</v>
      </c>
      <c r="L85" s="635"/>
      <c r="M85" s="21">
        <f t="shared" si="17"/>
        <v>0</v>
      </c>
      <c r="N85" s="635"/>
      <c r="O85" s="21">
        <f t="shared" si="18"/>
        <v>1</v>
      </c>
      <c r="P85" s="635"/>
      <c r="Q85" s="21">
        <f t="shared" si="19"/>
        <v>1</v>
      </c>
      <c r="R85" s="21">
        <f t="shared" si="20"/>
        <v>0</v>
      </c>
      <c r="S85" s="308">
        <f t="shared" si="22"/>
        <v>0</v>
      </c>
    </row>
    <row r="86" spans="1:19">
      <c r="A86" s="142"/>
      <c r="B86" s="52"/>
      <c r="C86" s="21">
        <f t="shared" si="12"/>
        <v>1</v>
      </c>
      <c r="D86" s="635"/>
      <c r="E86" s="21">
        <f t="shared" si="13"/>
        <v>0</v>
      </c>
      <c r="F86" s="635"/>
      <c r="G86" s="21">
        <f t="shared" si="14"/>
        <v>0</v>
      </c>
      <c r="H86" s="635"/>
      <c r="I86" s="21">
        <f t="shared" si="15"/>
        <v>1</v>
      </c>
      <c r="J86" s="635"/>
      <c r="K86" s="21">
        <f t="shared" si="16"/>
        <v>1</v>
      </c>
      <c r="L86" s="635"/>
      <c r="M86" s="21">
        <f t="shared" si="17"/>
        <v>0</v>
      </c>
      <c r="N86" s="635"/>
      <c r="O86" s="21">
        <f t="shared" si="18"/>
        <v>1</v>
      </c>
      <c r="P86" s="635"/>
      <c r="Q86" s="21">
        <f t="shared" si="19"/>
        <v>1</v>
      </c>
      <c r="R86" s="21">
        <f t="shared" si="20"/>
        <v>0</v>
      </c>
      <c r="S86" s="308">
        <f t="shared" si="22"/>
        <v>0</v>
      </c>
    </row>
    <row r="87" spans="1:19">
      <c r="A87" s="142"/>
      <c r="B87" s="52"/>
      <c r="C87" s="21">
        <f t="shared" si="12"/>
        <v>1</v>
      </c>
      <c r="D87" s="635"/>
      <c r="E87" s="21">
        <f t="shared" si="13"/>
        <v>0</v>
      </c>
      <c r="F87" s="635"/>
      <c r="G87" s="21">
        <f t="shared" si="14"/>
        <v>0</v>
      </c>
      <c r="H87" s="635"/>
      <c r="I87" s="21">
        <f t="shared" si="15"/>
        <v>1</v>
      </c>
      <c r="J87" s="635"/>
      <c r="K87" s="21">
        <f t="shared" si="16"/>
        <v>1</v>
      </c>
      <c r="L87" s="635"/>
      <c r="M87" s="21">
        <f t="shared" si="17"/>
        <v>0</v>
      </c>
      <c r="N87" s="635"/>
      <c r="O87" s="21">
        <f t="shared" si="18"/>
        <v>1</v>
      </c>
      <c r="P87" s="635"/>
      <c r="Q87" s="21">
        <f t="shared" si="19"/>
        <v>1</v>
      </c>
      <c r="R87" s="21">
        <f t="shared" si="20"/>
        <v>0</v>
      </c>
      <c r="S87" s="308">
        <f t="shared" si="22"/>
        <v>0</v>
      </c>
    </row>
    <row r="88" spans="1:19">
      <c r="A88" s="142"/>
      <c r="B88" s="52"/>
      <c r="C88" s="21">
        <f t="shared" si="12"/>
        <v>1</v>
      </c>
      <c r="D88" s="635"/>
      <c r="E88" s="21">
        <f t="shared" si="13"/>
        <v>0</v>
      </c>
      <c r="F88" s="635"/>
      <c r="G88" s="21">
        <f t="shared" si="14"/>
        <v>0</v>
      </c>
      <c r="H88" s="635"/>
      <c r="I88" s="21">
        <f t="shared" si="15"/>
        <v>1</v>
      </c>
      <c r="J88" s="635"/>
      <c r="K88" s="21">
        <f t="shared" si="16"/>
        <v>1</v>
      </c>
      <c r="L88" s="635"/>
      <c r="M88" s="21">
        <f t="shared" si="17"/>
        <v>0</v>
      </c>
      <c r="N88" s="635"/>
      <c r="O88" s="21">
        <f t="shared" si="18"/>
        <v>1</v>
      </c>
      <c r="P88" s="635"/>
      <c r="Q88" s="21">
        <f t="shared" si="19"/>
        <v>1</v>
      </c>
      <c r="R88" s="21">
        <f t="shared" si="20"/>
        <v>0</v>
      </c>
      <c r="S88" s="308">
        <f t="shared" si="22"/>
        <v>0</v>
      </c>
    </row>
    <row r="89" spans="1:19">
      <c r="A89" s="142"/>
      <c r="B89" s="52"/>
      <c r="C89" s="21">
        <f t="shared" si="12"/>
        <v>1</v>
      </c>
      <c r="D89" s="635"/>
      <c r="E89" s="21">
        <f t="shared" si="13"/>
        <v>0</v>
      </c>
      <c r="F89" s="635"/>
      <c r="G89" s="21">
        <f t="shared" si="14"/>
        <v>0</v>
      </c>
      <c r="H89" s="635"/>
      <c r="I89" s="21">
        <f t="shared" si="15"/>
        <v>1</v>
      </c>
      <c r="J89" s="635"/>
      <c r="K89" s="21">
        <f t="shared" si="16"/>
        <v>1</v>
      </c>
      <c r="L89" s="635"/>
      <c r="M89" s="21">
        <f t="shared" si="17"/>
        <v>0</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0</v>
      </c>
      <c r="F90" s="635"/>
      <c r="G90" s="21">
        <f t="shared" ref="G90:G153" si="25">(SUMIF($7:$7,F90,$8:$8)-SUMIF($7:$7,$F$24,$8:$8)+100)/100</f>
        <v>0</v>
      </c>
      <c r="H90" s="635"/>
      <c r="I90" s="21">
        <f t="shared" ref="I90:I153" si="26">(SUMIF($9:$9,H90,$10:$10)-SUMIF($9:$9,$H$24,$10:$10)+100)/100</f>
        <v>1</v>
      </c>
      <c r="J90" s="635"/>
      <c r="K90" s="21">
        <f t="shared" ref="K90:K153" si="27">(SUMIF($11:$11,J90,$12:$12)-SUMIF($11:$11,$J$24,$12:$12)+100)/100</f>
        <v>1</v>
      </c>
      <c r="L90" s="635"/>
      <c r="M90" s="21">
        <f t="shared" ref="M90:M153" si="28">(SUMIF($13:$13,L90,$14:$14)-SUMIF($13:$13,$L$24,$14:$14)+100)/100</f>
        <v>0</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0</v>
      </c>
      <c r="F91" s="635"/>
      <c r="G91" s="21">
        <f t="shared" si="25"/>
        <v>0</v>
      </c>
      <c r="H91" s="635"/>
      <c r="I91" s="21">
        <f t="shared" si="26"/>
        <v>1</v>
      </c>
      <c r="J91" s="635"/>
      <c r="K91" s="21">
        <f t="shared" si="27"/>
        <v>1</v>
      </c>
      <c r="L91" s="635"/>
      <c r="M91" s="21">
        <f t="shared" si="28"/>
        <v>0</v>
      </c>
      <c r="N91" s="635"/>
      <c r="O91" s="21">
        <f t="shared" si="29"/>
        <v>1</v>
      </c>
      <c r="P91" s="635"/>
      <c r="Q91" s="21">
        <f t="shared" si="30"/>
        <v>1</v>
      </c>
      <c r="R91" s="21">
        <f t="shared" si="31"/>
        <v>0</v>
      </c>
      <c r="S91" s="308">
        <f t="shared" si="22"/>
        <v>0</v>
      </c>
    </row>
    <row r="92" spans="1:19">
      <c r="A92" s="142"/>
      <c r="B92" s="52"/>
      <c r="C92" s="21">
        <f t="shared" si="23"/>
        <v>1</v>
      </c>
      <c r="D92" s="635"/>
      <c r="E92" s="21">
        <f t="shared" si="24"/>
        <v>0</v>
      </c>
      <c r="F92" s="635"/>
      <c r="G92" s="21">
        <f t="shared" si="25"/>
        <v>0</v>
      </c>
      <c r="H92" s="635"/>
      <c r="I92" s="21">
        <f t="shared" si="26"/>
        <v>1</v>
      </c>
      <c r="J92" s="635"/>
      <c r="K92" s="21">
        <f t="shared" si="27"/>
        <v>1</v>
      </c>
      <c r="L92" s="635"/>
      <c r="M92" s="21">
        <f t="shared" si="28"/>
        <v>0</v>
      </c>
      <c r="N92" s="635"/>
      <c r="O92" s="21">
        <f t="shared" si="29"/>
        <v>1</v>
      </c>
      <c r="P92" s="635"/>
      <c r="Q92" s="21">
        <f t="shared" si="30"/>
        <v>1</v>
      </c>
      <c r="R92" s="21">
        <f t="shared" si="31"/>
        <v>0</v>
      </c>
      <c r="S92" s="308">
        <f t="shared" si="22"/>
        <v>0</v>
      </c>
    </row>
    <row r="93" spans="1:19">
      <c r="A93" s="142"/>
      <c r="B93" s="52"/>
      <c r="C93" s="21">
        <f t="shared" si="23"/>
        <v>1</v>
      </c>
      <c r="D93" s="635"/>
      <c r="E93" s="21">
        <f t="shared" si="24"/>
        <v>0</v>
      </c>
      <c r="F93" s="635"/>
      <c r="G93" s="21">
        <f t="shared" si="25"/>
        <v>0</v>
      </c>
      <c r="H93" s="635"/>
      <c r="I93" s="21">
        <f t="shared" si="26"/>
        <v>1</v>
      </c>
      <c r="J93" s="635"/>
      <c r="K93" s="21">
        <f t="shared" si="27"/>
        <v>1</v>
      </c>
      <c r="L93" s="635"/>
      <c r="M93" s="21">
        <f t="shared" si="28"/>
        <v>0</v>
      </c>
      <c r="N93" s="635"/>
      <c r="O93" s="21">
        <f t="shared" si="29"/>
        <v>1</v>
      </c>
      <c r="P93" s="635"/>
      <c r="Q93" s="21">
        <f t="shared" si="30"/>
        <v>1</v>
      </c>
      <c r="R93" s="21">
        <f t="shared" si="31"/>
        <v>0</v>
      </c>
      <c r="S93" s="308">
        <f t="shared" si="22"/>
        <v>0</v>
      </c>
    </row>
    <row r="94" spans="1:19">
      <c r="A94" s="142"/>
      <c r="B94" s="52"/>
      <c r="C94" s="21">
        <f t="shared" si="23"/>
        <v>1</v>
      </c>
      <c r="D94" s="635"/>
      <c r="E94" s="21">
        <f t="shared" si="24"/>
        <v>0</v>
      </c>
      <c r="F94" s="635"/>
      <c r="G94" s="21">
        <f t="shared" si="25"/>
        <v>0</v>
      </c>
      <c r="H94" s="635"/>
      <c r="I94" s="21">
        <f t="shared" si="26"/>
        <v>1</v>
      </c>
      <c r="J94" s="635"/>
      <c r="K94" s="21">
        <f t="shared" si="27"/>
        <v>1</v>
      </c>
      <c r="L94" s="635"/>
      <c r="M94" s="21">
        <f t="shared" si="28"/>
        <v>0</v>
      </c>
      <c r="N94" s="635"/>
      <c r="O94" s="21">
        <f t="shared" si="29"/>
        <v>1</v>
      </c>
      <c r="P94" s="635"/>
      <c r="Q94" s="21">
        <f t="shared" si="30"/>
        <v>1</v>
      </c>
      <c r="R94" s="21">
        <f t="shared" si="31"/>
        <v>0</v>
      </c>
      <c r="S94" s="308">
        <f t="shared" si="22"/>
        <v>0</v>
      </c>
    </row>
    <row r="95" spans="1:19">
      <c r="A95" s="142"/>
      <c r="B95" s="52"/>
      <c r="C95" s="21">
        <f t="shared" si="23"/>
        <v>1</v>
      </c>
      <c r="D95" s="635"/>
      <c r="E95" s="21">
        <f t="shared" si="24"/>
        <v>0</v>
      </c>
      <c r="F95" s="635"/>
      <c r="G95" s="21">
        <f t="shared" si="25"/>
        <v>0</v>
      </c>
      <c r="H95" s="635"/>
      <c r="I95" s="21">
        <f t="shared" si="26"/>
        <v>1</v>
      </c>
      <c r="J95" s="635"/>
      <c r="K95" s="21">
        <f t="shared" si="27"/>
        <v>1</v>
      </c>
      <c r="L95" s="635"/>
      <c r="M95" s="21">
        <f t="shared" si="28"/>
        <v>0</v>
      </c>
      <c r="N95" s="635"/>
      <c r="O95" s="21">
        <f t="shared" si="29"/>
        <v>1</v>
      </c>
      <c r="P95" s="635"/>
      <c r="Q95" s="21">
        <f t="shared" si="30"/>
        <v>1</v>
      </c>
      <c r="R95" s="21">
        <f t="shared" si="31"/>
        <v>0</v>
      </c>
      <c r="S95" s="308">
        <f t="shared" si="22"/>
        <v>0</v>
      </c>
    </row>
    <row r="96" spans="1:19">
      <c r="A96" s="142"/>
      <c r="B96" s="52"/>
      <c r="C96" s="21">
        <f t="shared" si="23"/>
        <v>1</v>
      </c>
      <c r="D96" s="635"/>
      <c r="E96" s="21">
        <f t="shared" si="24"/>
        <v>0</v>
      </c>
      <c r="F96" s="635"/>
      <c r="G96" s="21">
        <f t="shared" si="25"/>
        <v>0</v>
      </c>
      <c r="H96" s="635"/>
      <c r="I96" s="21">
        <f t="shared" si="26"/>
        <v>1</v>
      </c>
      <c r="J96" s="635"/>
      <c r="K96" s="21">
        <f t="shared" si="27"/>
        <v>1</v>
      </c>
      <c r="L96" s="635"/>
      <c r="M96" s="21">
        <f t="shared" si="28"/>
        <v>0</v>
      </c>
      <c r="N96" s="635"/>
      <c r="O96" s="21">
        <f t="shared" si="29"/>
        <v>1</v>
      </c>
      <c r="P96" s="635"/>
      <c r="Q96" s="21">
        <f t="shared" si="30"/>
        <v>1</v>
      </c>
      <c r="R96" s="21">
        <f t="shared" si="31"/>
        <v>0</v>
      </c>
      <c r="S96" s="308">
        <f t="shared" si="22"/>
        <v>0</v>
      </c>
    </row>
    <row r="97" spans="1:19">
      <c r="A97" s="142"/>
      <c r="B97" s="52"/>
      <c r="C97" s="21">
        <f t="shared" si="23"/>
        <v>1</v>
      </c>
      <c r="D97" s="635"/>
      <c r="E97" s="21">
        <f t="shared" si="24"/>
        <v>0</v>
      </c>
      <c r="F97" s="635"/>
      <c r="G97" s="21">
        <f t="shared" si="25"/>
        <v>0</v>
      </c>
      <c r="H97" s="635"/>
      <c r="I97" s="21">
        <f t="shared" si="26"/>
        <v>1</v>
      </c>
      <c r="J97" s="635"/>
      <c r="K97" s="21">
        <f t="shared" si="27"/>
        <v>1</v>
      </c>
      <c r="L97" s="635"/>
      <c r="M97" s="21">
        <f t="shared" si="28"/>
        <v>0</v>
      </c>
      <c r="N97" s="635"/>
      <c r="O97" s="21">
        <f t="shared" si="29"/>
        <v>1</v>
      </c>
      <c r="P97" s="635"/>
      <c r="Q97" s="21">
        <f t="shared" si="30"/>
        <v>1</v>
      </c>
      <c r="R97" s="21">
        <f t="shared" si="31"/>
        <v>0</v>
      </c>
      <c r="S97" s="308">
        <f t="shared" si="22"/>
        <v>0</v>
      </c>
    </row>
    <row r="98" spans="1:19">
      <c r="A98" s="142"/>
      <c r="B98" s="52"/>
      <c r="C98" s="21">
        <f t="shared" si="23"/>
        <v>1</v>
      </c>
      <c r="D98" s="635"/>
      <c r="E98" s="21">
        <f t="shared" si="24"/>
        <v>0</v>
      </c>
      <c r="F98" s="635"/>
      <c r="G98" s="21">
        <f t="shared" si="25"/>
        <v>0</v>
      </c>
      <c r="H98" s="635"/>
      <c r="I98" s="21">
        <f t="shared" si="26"/>
        <v>1</v>
      </c>
      <c r="J98" s="635"/>
      <c r="K98" s="21">
        <f t="shared" si="27"/>
        <v>1</v>
      </c>
      <c r="L98" s="635"/>
      <c r="M98" s="21">
        <f t="shared" si="28"/>
        <v>0</v>
      </c>
      <c r="N98" s="635"/>
      <c r="O98" s="21">
        <f t="shared" si="29"/>
        <v>1</v>
      </c>
      <c r="P98" s="635"/>
      <c r="Q98" s="21">
        <f t="shared" si="30"/>
        <v>1</v>
      </c>
      <c r="R98" s="21">
        <f t="shared" si="31"/>
        <v>0</v>
      </c>
      <c r="S98" s="308">
        <f t="shared" si="22"/>
        <v>0</v>
      </c>
    </row>
    <row r="99" spans="1:19">
      <c r="A99" s="142"/>
      <c r="B99" s="52"/>
      <c r="C99" s="21">
        <f t="shared" si="23"/>
        <v>1</v>
      </c>
      <c r="D99" s="635"/>
      <c r="E99" s="21">
        <f t="shared" si="24"/>
        <v>0</v>
      </c>
      <c r="F99" s="635"/>
      <c r="G99" s="21">
        <f t="shared" si="25"/>
        <v>0</v>
      </c>
      <c r="H99" s="635"/>
      <c r="I99" s="21">
        <f t="shared" si="26"/>
        <v>1</v>
      </c>
      <c r="J99" s="635"/>
      <c r="K99" s="21">
        <f t="shared" si="27"/>
        <v>1</v>
      </c>
      <c r="L99" s="635"/>
      <c r="M99" s="21">
        <f t="shared" si="28"/>
        <v>0</v>
      </c>
      <c r="N99" s="635"/>
      <c r="O99" s="21">
        <f t="shared" si="29"/>
        <v>1</v>
      </c>
      <c r="P99" s="635"/>
      <c r="Q99" s="21">
        <f t="shared" si="30"/>
        <v>1</v>
      </c>
      <c r="R99" s="21">
        <f t="shared" si="31"/>
        <v>0</v>
      </c>
      <c r="S99" s="308">
        <f t="shared" si="22"/>
        <v>0</v>
      </c>
    </row>
    <row r="100" spans="1:19">
      <c r="A100" s="142"/>
      <c r="B100" s="52"/>
      <c r="C100" s="21">
        <f t="shared" si="23"/>
        <v>1</v>
      </c>
      <c r="D100" s="635"/>
      <c r="E100" s="21">
        <f t="shared" si="24"/>
        <v>0</v>
      </c>
      <c r="F100" s="635"/>
      <c r="G100" s="21">
        <f t="shared" si="25"/>
        <v>0</v>
      </c>
      <c r="H100" s="635"/>
      <c r="I100" s="21">
        <f t="shared" si="26"/>
        <v>1</v>
      </c>
      <c r="J100" s="635"/>
      <c r="K100" s="21">
        <f t="shared" si="27"/>
        <v>1</v>
      </c>
      <c r="L100" s="635"/>
      <c r="M100" s="21">
        <f t="shared" si="28"/>
        <v>0</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0</v>
      </c>
      <c r="F101" s="635"/>
      <c r="G101" s="21">
        <f t="shared" si="25"/>
        <v>0</v>
      </c>
      <c r="H101" s="635"/>
      <c r="I101" s="21">
        <f t="shared" si="26"/>
        <v>1</v>
      </c>
      <c r="J101" s="635"/>
      <c r="K101" s="21">
        <f t="shared" si="27"/>
        <v>1</v>
      </c>
      <c r="L101" s="635"/>
      <c r="M101" s="21">
        <f t="shared" si="28"/>
        <v>0</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0</v>
      </c>
      <c r="F102" s="635"/>
      <c r="G102" s="21">
        <f t="shared" si="25"/>
        <v>0</v>
      </c>
      <c r="H102" s="635"/>
      <c r="I102" s="21">
        <f t="shared" si="26"/>
        <v>1</v>
      </c>
      <c r="J102" s="635"/>
      <c r="K102" s="21">
        <f t="shared" si="27"/>
        <v>1</v>
      </c>
      <c r="L102" s="635"/>
      <c r="M102" s="21">
        <f t="shared" si="28"/>
        <v>0</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0</v>
      </c>
      <c r="F103" s="635"/>
      <c r="G103" s="21">
        <f t="shared" si="25"/>
        <v>0</v>
      </c>
      <c r="H103" s="635"/>
      <c r="I103" s="21">
        <f t="shared" si="26"/>
        <v>1</v>
      </c>
      <c r="J103" s="635"/>
      <c r="K103" s="21">
        <f t="shared" si="27"/>
        <v>1</v>
      </c>
      <c r="L103" s="635"/>
      <c r="M103" s="21">
        <f t="shared" si="28"/>
        <v>0</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0</v>
      </c>
      <c r="F104" s="635"/>
      <c r="G104" s="21">
        <f t="shared" si="25"/>
        <v>0</v>
      </c>
      <c r="H104" s="635"/>
      <c r="I104" s="21">
        <f t="shared" si="26"/>
        <v>1</v>
      </c>
      <c r="J104" s="635"/>
      <c r="K104" s="21">
        <f t="shared" si="27"/>
        <v>1</v>
      </c>
      <c r="L104" s="635"/>
      <c r="M104" s="21">
        <f t="shared" si="28"/>
        <v>0</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0</v>
      </c>
      <c r="F105" s="635"/>
      <c r="G105" s="21">
        <f t="shared" si="25"/>
        <v>0</v>
      </c>
      <c r="H105" s="635"/>
      <c r="I105" s="21">
        <f t="shared" si="26"/>
        <v>1</v>
      </c>
      <c r="J105" s="635"/>
      <c r="K105" s="21">
        <f t="shared" si="27"/>
        <v>1</v>
      </c>
      <c r="L105" s="635"/>
      <c r="M105" s="21">
        <f t="shared" si="28"/>
        <v>0</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0</v>
      </c>
      <c r="F106" s="635"/>
      <c r="G106" s="21">
        <f t="shared" si="25"/>
        <v>0</v>
      </c>
      <c r="H106" s="635"/>
      <c r="I106" s="21">
        <f t="shared" si="26"/>
        <v>1</v>
      </c>
      <c r="J106" s="635"/>
      <c r="K106" s="21">
        <f t="shared" si="27"/>
        <v>1</v>
      </c>
      <c r="L106" s="635"/>
      <c r="M106" s="21">
        <f t="shared" si="28"/>
        <v>0</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0</v>
      </c>
      <c r="F107" s="635"/>
      <c r="G107" s="21">
        <f t="shared" si="25"/>
        <v>0</v>
      </c>
      <c r="H107" s="635"/>
      <c r="I107" s="21">
        <f t="shared" si="26"/>
        <v>1</v>
      </c>
      <c r="J107" s="635"/>
      <c r="K107" s="21">
        <f t="shared" si="27"/>
        <v>1</v>
      </c>
      <c r="L107" s="635"/>
      <c r="M107" s="21">
        <f t="shared" si="28"/>
        <v>0</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0</v>
      </c>
      <c r="F108" s="635"/>
      <c r="G108" s="21">
        <f t="shared" si="25"/>
        <v>0</v>
      </c>
      <c r="H108" s="635"/>
      <c r="I108" s="21">
        <f t="shared" si="26"/>
        <v>1</v>
      </c>
      <c r="J108" s="635"/>
      <c r="K108" s="21">
        <f t="shared" si="27"/>
        <v>1</v>
      </c>
      <c r="L108" s="635"/>
      <c r="M108" s="21">
        <f t="shared" si="28"/>
        <v>0</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0</v>
      </c>
      <c r="F109" s="635"/>
      <c r="G109" s="21">
        <f t="shared" si="25"/>
        <v>0</v>
      </c>
      <c r="H109" s="635"/>
      <c r="I109" s="21">
        <f t="shared" si="26"/>
        <v>1</v>
      </c>
      <c r="J109" s="635"/>
      <c r="K109" s="21">
        <f t="shared" si="27"/>
        <v>1</v>
      </c>
      <c r="L109" s="635"/>
      <c r="M109" s="21">
        <f t="shared" si="28"/>
        <v>0</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0</v>
      </c>
      <c r="F110" s="635"/>
      <c r="G110" s="21">
        <f t="shared" si="25"/>
        <v>0</v>
      </c>
      <c r="H110" s="635"/>
      <c r="I110" s="21">
        <f t="shared" si="26"/>
        <v>1</v>
      </c>
      <c r="J110" s="635"/>
      <c r="K110" s="21">
        <f t="shared" si="27"/>
        <v>1</v>
      </c>
      <c r="L110" s="635"/>
      <c r="M110" s="21">
        <f t="shared" si="28"/>
        <v>0</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0</v>
      </c>
      <c r="F111" s="635"/>
      <c r="G111" s="21">
        <f t="shared" si="25"/>
        <v>0</v>
      </c>
      <c r="H111" s="635"/>
      <c r="I111" s="21">
        <f t="shared" si="26"/>
        <v>1</v>
      </c>
      <c r="J111" s="635"/>
      <c r="K111" s="21">
        <f t="shared" si="27"/>
        <v>1</v>
      </c>
      <c r="L111" s="635"/>
      <c r="M111" s="21">
        <f t="shared" si="28"/>
        <v>0</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0</v>
      </c>
      <c r="F112" s="635"/>
      <c r="G112" s="21">
        <f t="shared" si="25"/>
        <v>0</v>
      </c>
      <c r="H112" s="635"/>
      <c r="I112" s="21">
        <f t="shared" si="26"/>
        <v>1</v>
      </c>
      <c r="J112" s="635"/>
      <c r="K112" s="21">
        <f t="shared" si="27"/>
        <v>1</v>
      </c>
      <c r="L112" s="635"/>
      <c r="M112" s="21">
        <f t="shared" si="28"/>
        <v>0</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0</v>
      </c>
      <c r="F113" s="635"/>
      <c r="G113" s="21">
        <f t="shared" si="25"/>
        <v>0</v>
      </c>
      <c r="H113" s="635"/>
      <c r="I113" s="21">
        <f t="shared" si="26"/>
        <v>1</v>
      </c>
      <c r="J113" s="635"/>
      <c r="K113" s="21">
        <f t="shared" si="27"/>
        <v>1</v>
      </c>
      <c r="L113" s="635"/>
      <c r="M113" s="21">
        <f t="shared" si="28"/>
        <v>0</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0</v>
      </c>
      <c r="F114" s="635"/>
      <c r="G114" s="21">
        <f t="shared" si="25"/>
        <v>0</v>
      </c>
      <c r="H114" s="635"/>
      <c r="I114" s="21">
        <f t="shared" si="26"/>
        <v>1</v>
      </c>
      <c r="J114" s="635"/>
      <c r="K114" s="21">
        <f t="shared" si="27"/>
        <v>1</v>
      </c>
      <c r="L114" s="635"/>
      <c r="M114" s="21">
        <f t="shared" si="28"/>
        <v>0</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0</v>
      </c>
      <c r="F115" s="635"/>
      <c r="G115" s="21">
        <f t="shared" si="25"/>
        <v>0</v>
      </c>
      <c r="H115" s="635"/>
      <c r="I115" s="21">
        <f t="shared" si="26"/>
        <v>1</v>
      </c>
      <c r="J115" s="635"/>
      <c r="K115" s="21">
        <f t="shared" si="27"/>
        <v>1</v>
      </c>
      <c r="L115" s="635"/>
      <c r="M115" s="21">
        <f t="shared" si="28"/>
        <v>0</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0</v>
      </c>
      <c r="F116" s="635"/>
      <c r="G116" s="21">
        <f t="shared" si="25"/>
        <v>0</v>
      </c>
      <c r="H116" s="635"/>
      <c r="I116" s="21">
        <f t="shared" si="26"/>
        <v>1</v>
      </c>
      <c r="J116" s="635"/>
      <c r="K116" s="21">
        <f t="shared" si="27"/>
        <v>1</v>
      </c>
      <c r="L116" s="635"/>
      <c r="M116" s="21">
        <f t="shared" si="28"/>
        <v>0</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0</v>
      </c>
      <c r="F117" s="635"/>
      <c r="G117" s="21">
        <f t="shared" si="25"/>
        <v>0</v>
      </c>
      <c r="H117" s="635"/>
      <c r="I117" s="21">
        <f t="shared" si="26"/>
        <v>1</v>
      </c>
      <c r="J117" s="635"/>
      <c r="K117" s="21">
        <f t="shared" si="27"/>
        <v>1</v>
      </c>
      <c r="L117" s="635"/>
      <c r="M117" s="21">
        <f t="shared" si="28"/>
        <v>0</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0</v>
      </c>
      <c r="F118" s="635"/>
      <c r="G118" s="21">
        <f t="shared" si="25"/>
        <v>0</v>
      </c>
      <c r="H118" s="635"/>
      <c r="I118" s="21">
        <f t="shared" si="26"/>
        <v>1</v>
      </c>
      <c r="J118" s="635"/>
      <c r="K118" s="21">
        <f t="shared" si="27"/>
        <v>1</v>
      </c>
      <c r="L118" s="635"/>
      <c r="M118" s="21">
        <f t="shared" si="28"/>
        <v>0</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0</v>
      </c>
      <c r="F119" s="635"/>
      <c r="G119" s="21">
        <f t="shared" si="25"/>
        <v>0</v>
      </c>
      <c r="H119" s="635"/>
      <c r="I119" s="21">
        <f t="shared" si="26"/>
        <v>1</v>
      </c>
      <c r="J119" s="635"/>
      <c r="K119" s="21">
        <f t="shared" si="27"/>
        <v>1</v>
      </c>
      <c r="L119" s="635"/>
      <c r="M119" s="21">
        <f t="shared" si="28"/>
        <v>0</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0</v>
      </c>
      <c r="F120" s="635"/>
      <c r="G120" s="21">
        <f t="shared" si="25"/>
        <v>0</v>
      </c>
      <c r="H120" s="635"/>
      <c r="I120" s="21">
        <f t="shared" si="26"/>
        <v>1</v>
      </c>
      <c r="J120" s="635"/>
      <c r="K120" s="21">
        <f t="shared" si="27"/>
        <v>1</v>
      </c>
      <c r="L120" s="635"/>
      <c r="M120" s="21">
        <f t="shared" si="28"/>
        <v>0</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0</v>
      </c>
      <c r="F121" s="635"/>
      <c r="G121" s="21">
        <f t="shared" si="25"/>
        <v>0</v>
      </c>
      <c r="H121" s="635"/>
      <c r="I121" s="21">
        <f t="shared" si="26"/>
        <v>1</v>
      </c>
      <c r="J121" s="635"/>
      <c r="K121" s="21">
        <f t="shared" si="27"/>
        <v>1</v>
      </c>
      <c r="L121" s="635"/>
      <c r="M121" s="21">
        <f t="shared" si="28"/>
        <v>0</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0</v>
      </c>
      <c r="F122" s="635"/>
      <c r="G122" s="21">
        <f t="shared" si="25"/>
        <v>0</v>
      </c>
      <c r="H122" s="635"/>
      <c r="I122" s="21">
        <f t="shared" si="26"/>
        <v>1</v>
      </c>
      <c r="J122" s="635"/>
      <c r="K122" s="21">
        <f t="shared" si="27"/>
        <v>1</v>
      </c>
      <c r="L122" s="635"/>
      <c r="M122" s="21">
        <f t="shared" si="28"/>
        <v>0</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0</v>
      </c>
      <c r="F123" s="635"/>
      <c r="G123" s="21">
        <f t="shared" si="25"/>
        <v>0</v>
      </c>
      <c r="H123" s="635"/>
      <c r="I123" s="21">
        <f t="shared" si="26"/>
        <v>1</v>
      </c>
      <c r="J123" s="635"/>
      <c r="K123" s="21">
        <f t="shared" si="27"/>
        <v>1</v>
      </c>
      <c r="L123" s="635"/>
      <c r="M123" s="21">
        <f t="shared" si="28"/>
        <v>0</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0</v>
      </c>
      <c r="F124" s="635"/>
      <c r="G124" s="21">
        <f t="shared" si="25"/>
        <v>0</v>
      </c>
      <c r="H124" s="635"/>
      <c r="I124" s="21">
        <f t="shared" si="26"/>
        <v>1</v>
      </c>
      <c r="J124" s="635"/>
      <c r="K124" s="21">
        <f t="shared" si="27"/>
        <v>1</v>
      </c>
      <c r="L124" s="635"/>
      <c r="M124" s="21">
        <f t="shared" si="28"/>
        <v>0</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0</v>
      </c>
      <c r="F125" s="635"/>
      <c r="G125" s="21">
        <f t="shared" si="25"/>
        <v>0</v>
      </c>
      <c r="H125" s="635"/>
      <c r="I125" s="21">
        <f t="shared" si="26"/>
        <v>1</v>
      </c>
      <c r="J125" s="635"/>
      <c r="K125" s="21">
        <f t="shared" si="27"/>
        <v>1</v>
      </c>
      <c r="L125" s="635"/>
      <c r="M125" s="21">
        <f t="shared" si="28"/>
        <v>0</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0</v>
      </c>
      <c r="F126" s="635"/>
      <c r="G126" s="21">
        <f t="shared" si="25"/>
        <v>0</v>
      </c>
      <c r="H126" s="635"/>
      <c r="I126" s="21">
        <f t="shared" si="26"/>
        <v>1</v>
      </c>
      <c r="J126" s="635"/>
      <c r="K126" s="21">
        <f t="shared" si="27"/>
        <v>1</v>
      </c>
      <c r="L126" s="635"/>
      <c r="M126" s="21">
        <f t="shared" si="28"/>
        <v>0</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0</v>
      </c>
      <c r="F127" s="635"/>
      <c r="G127" s="21">
        <f t="shared" si="25"/>
        <v>0</v>
      </c>
      <c r="H127" s="635"/>
      <c r="I127" s="21">
        <f t="shared" si="26"/>
        <v>1</v>
      </c>
      <c r="J127" s="635"/>
      <c r="K127" s="21">
        <f t="shared" si="27"/>
        <v>1</v>
      </c>
      <c r="L127" s="635"/>
      <c r="M127" s="21">
        <f t="shared" si="28"/>
        <v>0</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0</v>
      </c>
      <c r="F128" s="635"/>
      <c r="G128" s="21">
        <f t="shared" si="25"/>
        <v>0</v>
      </c>
      <c r="H128" s="635"/>
      <c r="I128" s="21">
        <f t="shared" si="26"/>
        <v>1</v>
      </c>
      <c r="J128" s="635"/>
      <c r="K128" s="21">
        <f t="shared" si="27"/>
        <v>1</v>
      </c>
      <c r="L128" s="635"/>
      <c r="M128" s="21">
        <f t="shared" si="28"/>
        <v>0</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0</v>
      </c>
      <c r="F129" s="635"/>
      <c r="G129" s="21">
        <f t="shared" si="25"/>
        <v>0</v>
      </c>
      <c r="H129" s="635"/>
      <c r="I129" s="21">
        <f t="shared" si="26"/>
        <v>1</v>
      </c>
      <c r="J129" s="635"/>
      <c r="K129" s="21">
        <f t="shared" si="27"/>
        <v>1</v>
      </c>
      <c r="L129" s="635"/>
      <c r="M129" s="21">
        <f t="shared" si="28"/>
        <v>0</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0</v>
      </c>
      <c r="F130" s="635"/>
      <c r="G130" s="21">
        <f t="shared" si="25"/>
        <v>0</v>
      </c>
      <c r="H130" s="635"/>
      <c r="I130" s="21">
        <f t="shared" si="26"/>
        <v>1</v>
      </c>
      <c r="J130" s="635"/>
      <c r="K130" s="21">
        <f t="shared" si="27"/>
        <v>1</v>
      </c>
      <c r="L130" s="635"/>
      <c r="M130" s="21">
        <f t="shared" si="28"/>
        <v>0</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0</v>
      </c>
      <c r="F131" s="635"/>
      <c r="G131" s="21">
        <f t="shared" si="25"/>
        <v>0</v>
      </c>
      <c r="H131" s="635"/>
      <c r="I131" s="21">
        <f t="shared" si="26"/>
        <v>1</v>
      </c>
      <c r="J131" s="635"/>
      <c r="K131" s="21">
        <f t="shared" si="27"/>
        <v>1</v>
      </c>
      <c r="L131" s="635"/>
      <c r="M131" s="21">
        <f t="shared" si="28"/>
        <v>0</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0</v>
      </c>
      <c r="F132" s="635"/>
      <c r="G132" s="21">
        <f t="shared" si="25"/>
        <v>0</v>
      </c>
      <c r="H132" s="635"/>
      <c r="I132" s="21">
        <f t="shared" si="26"/>
        <v>1</v>
      </c>
      <c r="J132" s="635"/>
      <c r="K132" s="21">
        <f t="shared" si="27"/>
        <v>1</v>
      </c>
      <c r="L132" s="635"/>
      <c r="M132" s="21">
        <f t="shared" si="28"/>
        <v>0</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0</v>
      </c>
      <c r="F133" s="635"/>
      <c r="G133" s="21">
        <f t="shared" si="25"/>
        <v>0</v>
      </c>
      <c r="H133" s="635"/>
      <c r="I133" s="21">
        <f t="shared" si="26"/>
        <v>1</v>
      </c>
      <c r="J133" s="635"/>
      <c r="K133" s="21">
        <f t="shared" si="27"/>
        <v>1</v>
      </c>
      <c r="L133" s="635"/>
      <c r="M133" s="21">
        <f t="shared" si="28"/>
        <v>0</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0</v>
      </c>
      <c r="F134" s="635"/>
      <c r="G134" s="21">
        <f t="shared" si="25"/>
        <v>0</v>
      </c>
      <c r="H134" s="635"/>
      <c r="I134" s="21">
        <f t="shared" si="26"/>
        <v>1</v>
      </c>
      <c r="J134" s="635"/>
      <c r="K134" s="21">
        <f t="shared" si="27"/>
        <v>1</v>
      </c>
      <c r="L134" s="635"/>
      <c r="M134" s="21">
        <f t="shared" si="28"/>
        <v>0</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0</v>
      </c>
      <c r="F135" s="635"/>
      <c r="G135" s="21">
        <f t="shared" si="25"/>
        <v>0</v>
      </c>
      <c r="H135" s="635"/>
      <c r="I135" s="21">
        <f t="shared" si="26"/>
        <v>1</v>
      </c>
      <c r="J135" s="635"/>
      <c r="K135" s="21">
        <f t="shared" si="27"/>
        <v>1</v>
      </c>
      <c r="L135" s="635"/>
      <c r="M135" s="21">
        <f t="shared" si="28"/>
        <v>0</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0</v>
      </c>
      <c r="F136" s="635"/>
      <c r="G136" s="21">
        <f t="shared" si="25"/>
        <v>0</v>
      </c>
      <c r="H136" s="635"/>
      <c r="I136" s="21">
        <f t="shared" si="26"/>
        <v>1</v>
      </c>
      <c r="J136" s="635"/>
      <c r="K136" s="21">
        <f t="shared" si="27"/>
        <v>1</v>
      </c>
      <c r="L136" s="635"/>
      <c r="M136" s="21">
        <f t="shared" si="28"/>
        <v>0</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0</v>
      </c>
      <c r="F137" s="635"/>
      <c r="G137" s="21">
        <f t="shared" si="25"/>
        <v>0</v>
      </c>
      <c r="H137" s="635"/>
      <c r="I137" s="21">
        <f t="shared" si="26"/>
        <v>1</v>
      </c>
      <c r="J137" s="635"/>
      <c r="K137" s="21">
        <f t="shared" si="27"/>
        <v>1</v>
      </c>
      <c r="L137" s="635"/>
      <c r="M137" s="21">
        <f t="shared" si="28"/>
        <v>0</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0</v>
      </c>
      <c r="F138" s="635"/>
      <c r="G138" s="21">
        <f t="shared" si="25"/>
        <v>0</v>
      </c>
      <c r="H138" s="635"/>
      <c r="I138" s="21">
        <f t="shared" si="26"/>
        <v>1</v>
      </c>
      <c r="J138" s="635"/>
      <c r="K138" s="21">
        <f t="shared" si="27"/>
        <v>1</v>
      </c>
      <c r="L138" s="635"/>
      <c r="M138" s="21">
        <f t="shared" si="28"/>
        <v>0</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0</v>
      </c>
      <c r="F139" s="635"/>
      <c r="G139" s="21">
        <f t="shared" si="25"/>
        <v>0</v>
      </c>
      <c r="H139" s="635"/>
      <c r="I139" s="21">
        <f t="shared" si="26"/>
        <v>1</v>
      </c>
      <c r="J139" s="635"/>
      <c r="K139" s="21">
        <f t="shared" si="27"/>
        <v>1</v>
      </c>
      <c r="L139" s="635"/>
      <c r="M139" s="21">
        <f t="shared" si="28"/>
        <v>0</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0</v>
      </c>
      <c r="F140" s="635"/>
      <c r="G140" s="21">
        <f t="shared" si="25"/>
        <v>0</v>
      </c>
      <c r="H140" s="635"/>
      <c r="I140" s="21">
        <f t="shared" si="26"/>
        <v>1</v>
      </c>
      <c r="J140" s="635"/>
      <c r="K140" s="21">
        <f t="shared" si="27"/>
        <v>1</v>
      </c>
      <c r="L140" s="635"/>
      <c r="M140" s="21">
        <f t="shared" si="28"/>
        <v>0</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0</v>
      </c>
      <c r="F141" s="635"/>
      <c r="G141" s="21">
        <f t="shared" si="25"/>
        <v>0</v>
      </c>
      <c r="H141" s="635"/>
      <c r="I141" s="21">
        <f t="shared" si="26"/>
        <v>1</v>
      </c>
      <c r="J141" s="635"/>
      <c r="K141" s="21">
        <f t="shared" si="27"/>
        <v>1</v>
      </c>
      <c r="L141" s="635"/>
      <c r="M141" s="21">
        <f t="shared" si="28"/>
        <v>0</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0</v>
      </c>
      <c r="F142" s="635"/>
      <c r="G142" s="21">
        <f t="shared" si="25"/>
        <v>0</v>
      </c>
      <c r="H142" s="635"/>
      <c r="I142" s="21">
        <f t="shared" si="26"/>
        <v>1</v>
      </c>
      <c r="J142" s="635"/>
      <c r="K142" s="21">
        <f t="shared" si="27"/>
        <v>1</v>
      </c>
      <c r="L142" s="635"/>
      <c r="M142" s="21">
        <f t="shared" si="28"/>
        <v>0</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0</v>
      </c>
      <c r="F143" s="635"/>
      <c r="G143" s="21">
        <f t="shared" si="25"/>
        <v>0</v>
      </c>
      <c r="H143" s="635"/>
      <c r="I143" s="21">
        <f t="shared" si="26"/>
        <v>1</v>
      </c>
      <c r="J143" s="635"/>
      <c r="K143" s="21">
        <f t="shared" si="27"/>
        <v>1</v>
      </c>
      <c r="L143" s="635"/>
      <c r="M143" s="21">
        <f t="shared" si="28"/>
        <v>0</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0</v>
      </c>
      <c r="F144" s="635"/>
      <c r="G144" s="21">
        <f t="shared" si="25"/>
        <v>0</v>
      </c>
      <c r="H144" s="635"/>
      <c r="I144" s="21">
        <f t="shared" si="26"/>
        <v>1</v>
      </c>
      <c r="J144" s="635"/>
      <c r="K144" s="21">
        <f t="shared" si="27"/>
        <v>1</v>
      </c>
      <c r="L144" s="635"/>
      <c r="M144" s="21">
        <f t="shared" si="28"/>
        <v>0</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0</v>
      </c>
      <c r="F145" s="635"/>
      <c r="G145" s="21">
        <f t="shared" si="25"/>
        <v>0</v>
      </c>
      <c r="H145" s="635"/>
      <c r="I145" s="21">
        <f t="shared" si="26"/>
        <v>1</v>
      </c>
      <c r="J145" s="635"/>
      <c r="K145" s="21">
        <f t="shared" si="27"/>
        <v>1</v>
      </c>
      <c r="L145" s="635"/>
      <c r="M145" s="21">
        <f t="shared" si="28"/>
        <v>0</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0</v>
      </c>
      <c r="F146" s="635"/>
      <c r="G146" s="21">
        <f t="shared" si="25"/>
        <v>0</v>
      </c>
      <c r="H146" s="635"/>
      <c r="I146" s="21">
        <f t="shared" si="26"/>
        <v>1</v>
      </c>
      <c r="J146" s="635"/>
      <c r="K146" s="21">
        <f t="shared" si="27"/>
        <v>1</v>
      </c>
      <c r="L146" s="635"/>
      <c r="M146" s="21">
        <f t="shared" si="28"/>
        <v>0</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0</v>
      </c>
      <c r="F147" s="635"/>
      <c r="G147" s="21">
        <f t="shared" si="25"/>
        <v>0</v>
      </c>
      <c r="H147" s="635"/>
      <c r="I147" s="21">
        <f t="shared" si="26"/>
        <v>1</v>
      </c>
      <c r="J147" s="635"/>
      <c r="K147" s="21">
        <f t="shared" si="27"/>
        <v>1</v>
      </c>
      <c r="L147" s="635"/>
      <c r="M147" s="21">
        <f t="shared" si="28"/>
        <v>0</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0</v>
      </c>
      <c r="F148" s="635"/>
      <c r="G148" s="21">
        <f t="shared" si="25"/>
        <v>0</v>
      </c>
      <c r="H148" s="635"/>
      <c r="I148" s="21">
        <f t="shared" si="26"/>
        <v>1</v>
      </c>
      <c r="J148" s="635"/>
      <c r="K148" s="21">
        <f t="shared" si="27"/>
        <v>1</v>
      </c>
      <c r="L148" s="635"/>
      <c r="M148" s="21">
        <f t="shared" si="28"/>
        <v>0</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0</v>
      </c>
      <c r="F149" s="635"/>
      <c r="G149" s="21">
        <f t="shared" si="25"/>
        <v>0</v>
      </c>
      <c r="H149" s="635"/>
      <c r="I149" s="21">
        <f t="shared" si="26"/>
        <v>1</v>
      </c>
      <c r="J149" s="635"/>
      <c r="K149" s="21">
        <f t="shared" si="27"/>
        <v>1</v>
      </c>
      <c r="L149" s="635"/>
      <c r="M149" s="21">
        <f t="shared" si="28"/>
        <v>0</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0</v>
      </c>
      <c r="F150" s="635"/>
      <c r="G150" s="21">
        <f t="shared" si="25"/>
        <v>0</v>
      </c>
      <c r="H150" s="635"/>
      <c r="I150" s="21">
        <f t="shared" si="26"/>
        <v>1</v>
      </c>
      <c r="J150" s="635"/>
      <c r="K150" s="21">
        <f t="shared" si="27"/>
        <v>1</v>
      </c>
      <c r="L150" s="635"/>
      <c r="M150" s="21">
        <f t="shared" si="28"/>
        <v>0</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0</v>
      </c>
      <c r="F151" s="635"/>
      <c r="G151" s="21">
        <f t="shared" si="25"/>
        <v>0</v>
      </c>
      <c r="H151" s="635"/>
      <c r="I151" s="21">
        <f t="shared" si="26"/>
        <v>1</v>
      </c>
      <c r="J151" s="635"/>
      <c r="K151" s="21">
        <f t="shared" si="27"/>
        <v>1</v>
      </c>
      <c r="L151" s="635"/>
      <c r="M151" s="21">
        <f t="shared" si="28"/>
        <v>0</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0</v>
      </c>
      <c r="F152" s="635"/>
      <c r="G152" s="21">
        <f t="shared" si="25"/>
        <v>0</v>
      </c>
      <c r="H152" s="635"/>
      <c r="I152" s="21">
        <f t="shared" si="26"/>
        <v>1</v>
      </c>
      <c r="J152" s="635"/>
      <c r="K152" s="21">
        <f t="shared" si="27"/>
        <v>1</v>
      </c>
      <c r="L152" s="635"/>
      <c r="M152" s="21">
        <f t="shared" si="28"/>
        <v>0</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0</v>
      </c>
      <c r="F153" s="635"/>
      <c r="G153" s="21">
        <f t="shared" si="25"/>
        <v>0</v>
      </c>
      <c r="H153" s="635"/>
      <c r="I153" s="21">
        <f t="shared" si="26"/>
        <v>1</v>
      </c>
      <c r="J153" s="635"/>
      <c r="K153" s="21">
        <f t="shared" si="27"/>
        <v>1</v>
      </c>
      <c r="L153" s="635"/>
      <c r="M153" s="21">
        <f t="shared" si="28"/>
        <v>0</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0</v>
      </c>
      <c r="F154" s="635"/>
      <c r="G154" s="21">
        <f t="shared" ref="G154:G217" si="35">(SUMIF($7:$7,F154,$8:$8)-SUMIF($7:$7,$F$24,$8:$8)+100)/100</f>
        <v>0</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0</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0</v>
      </c>
      <c r="F155" s="635"/>
      <c r="G155" s="21">
        <f t="shared" si="35"/>
        <v>0</v>
      </c>
      <c r="H155" s="635"/>
      <c r="I155" s="21">
        <f t="shared" si="36"/>
        <v>1</v>
      </c>
      <c r="J155" s="635"/>
      <c r="K155" s="21">
        <f t="shared" si="37"/>
        <v>1</v>
      </c>
      <c r="L155" s="635"/>
      <c r="M155" s="21">
        <f t="shared" si="38"/>
        <v>0</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0</v>
      </c>
      <c r="F156" s="635"/>
      <c r="G156" s="21">
        <f t="shared" si="35"/>
        <v>0</v>
      </c>
      <c r="H156" s="635"/>
      <c r="I156" s="21">
        <f t="shared" si="36"/>
        <v>1</v>
      </c>
      <c r="J156" s="635"/>
      <c r="K156" s="21">
        <f t="shared" si="37"/>
        <v>1</v>
      </c>
      <c r="L156" s="635"/>
      <c r="M156" s="21">
        <f t="shared" si="38"/>
        <v>0</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0</v>
      </c>
      <c r="F157" s="635"/>
      <c r="G157" s="21">
        <f t="shared" si="35"/>
        <v>0</v>
      </c>
      <c r="H157" s="635"/>
      <c r="I157" s="21">
        <f t="shared" si="36"/>
        <v>1</v>
      </c>
      <c r="J157" s="635"/>
      <c r="K157" s="21">
        <f t="shared" si="37"/>
        <v>1</v>
      </c>
      <c r="L157" s="635"/>
      <c r="M157" s="21">
        <f t="shared" si="38"/>
        <v>0</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0</v>
      </c>
      <c r="F158" s="635"/>
      <c r="G158" s="21">
        <f t="shared" si="35"/>
        <v>0</v>
      </c>
      <c r="H158" s="635"/>
      <c r="I158" s="21">
        <f t="shared" si="36"/>
        <v>1</v>
      </c>
      <c r="J158" s="635"/>
      <c r="K158" s="21">
        <f t="shared" si="37"/>
        <v>1</v>
      </c>
      <c r="L158" s="635"/>
      <c r="M158" s="21">
        <f t="shared" si="38"/>
        <v>0</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0</v>
      </c>
      <c r="F159" s="635"/>
      <c r="G159" s="21">
        <f t="shared" si="35"/>
        <v>0</v>
      </c>
      <c r="H159" s="635"/>
      <c r="I159" s="21">
        <f t="shared" si="36"/>
        <v>1</v>
      </c>
      <c r="J159" s="635"/>
      <c r="K159" s="21">
        <f t="shared" si="37"/>
        <v>1</v>
      </c>
      <c r="L159" s="635"/>
      <c r="M159" s="21">
        <f t="shared" si="38"/>
        <v>0</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0</v>
      </c>
      <c r="F160" s="635"/>
      <c r="G160" s="21">
        <f t="shared" si="35"/>
        <v>0</v>
      </c>
      <c r="H160" s="635"/>
      <c r="I160" s="21">
        <f t="shared" si="36"/>
        <v>1</v>
      </c>
      <c r="J160" s="635"/>
      <c r="K160" s="21">
        <f t="shared" si="37"/>
        <v>1</v>
      </c>
      <c r="L160" s="635"/>
      <c r="M160" s="21">
        <f t="shared" si="38"/>
        <v>0</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0</v>
      </c>
      <c r="F161" s="635"/>
      <c r="G161" s="21">
        <f t="shared" si="35"/>
        <v>0</v>
      </c>
      <c r="H161" s="635"/>
      <c r="I161" s="21">
        <f t="shared" si="36"/>
        <v>1</v>
      </c>
      <c r="J161" s="635"/>
      <c r="K161" s="21">
        <f t="shared" si="37"/>
        <v>1</v>
      </c>
      <c r="L161" s="635"/>
      <c r="M161" s="21">
        <f t="shared" si="38"/>
        <v>0</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0</v>
      </c>
      <c r="F162" s="635"/>
      <c r="G162" s="21">
        <f t="shared" si="35"/>
        <v>0</v>
      </c>
      <c r="H162" s="635"/>
      <c r="I162" s="21">
        <f t="shared" si="36"/>
        <v>1</v>
      </c>
      <c r="J162" s="635"/>
      <c r="K162" s="21">
        <f t="shared" si="37"/>
        <v>1</v>
      </c>
      <c r="L162" s="635"/>
      <c r="M162" s="21">
        <f t="shared" si="38"/>
        <v>0</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0</v>
      </c>
      <c r="F163" s="635"/>
      <c r="G163" s="21">
        <f t="shared" si="35"/>
        <v>0</v>
      </c>
      <c r="H163" s="635"/>
      <c r="I163" s="21">
        <f t="shared" si="36"/>
        <v>1</v>
      </c>
      <c r="J163" s="635"/>
      <c r="K163" s="21">
        <f t="shared" si="37"/>
        <v>1</v>
      </c>
      <c r="L163" s="635"/>
      <c r="M163" s="21">
        <f t="shared" si="38"/>
        <v>0</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0</v>
      </c>
      <c r="F164" s="635"/>
      <c r="G164" s="21">
        <f t="shared" si="35"/>
        <v>0</v>
      </c>
      <c r="H164" s="635"/>
      <c r="I164" s="21">
        <f t="shared" si="36"/>
        <v>1</v>
      </c>
      <c r="J164" s="635"/>
      <c r="K164" s="21">
        <f t="shared" si="37"/>
        <v>1</v>
      </c>
      <c r="L164" s="635"/>
      <c r="M164" s="21">
        <f t="shared" si="38"/>
        <v>0</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0</v>
      </c>
      <c r="F165" s="635"/>
      <c r="G165" s="21">
        <f t="shared" si="35"/>
        <v>0</v>
      </c>
      <c r="H165" s="635"/>
      <c r="I165" s="21">
        <f t="shared" si="36"/>
        <v>1</v>
      </c>
      <c r="J165" s="635"/>
      <c r="K165" s="21">
        <f t="shared" si="37"/>
        <v>1</v>
      </c>
      <c r="L165" s="635"/>
      <c r="M165" s="21">
        <f t="shared" si="38"/>
        <v>0</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0</v>
      </c>
      <c r="F166" s="635"/>
      <c r="G166" s="21">
        <f t="shared" si="35"/>
        <v>0</v>
      </c>
      <c r="H166" s="635"/>
      <c r="I166" s="21">
        <f t="shared" si="36"/>
        <v>1</v>
      </c>
      <c r="J166" s="635"/>
      <c r="K166" s="21">
        <f t="shared" si="37"/>
        <v>1</v>
      </c>
      <c r="L166" s="635"/>
      <c r="M166" s="21">
        <f t="shared" si="38"/>
        <v>0</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0</v>
      </c>
      <c r="F167" s="635"/>
      <c r="G167" s="21">
        <f t="shared" si="35"/>
        <v>0</v>
      </c>
      <c r="H167" s="635"/>
      <c r="I167" s="21">
        <f t="shared" si="36"/>
        <v>1</v>
      </c>
      <c r="J167" s="635"/>
      <c r="K167" s="21">
        <f t="shared" si="37"/>
        <v>1</v>
      </c>
      <c r="L167" s="635"/>
      <c r="M167" s="21">
        <f t="shared" si="38"/>
        <v>0</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0</v>
      </c>
      <c r="F168" s="635"/>
      <c r="G168" s="21">
        <f t="shared" si="35"/>
        <v>0</v>
      </c>
      <c r="H168" s="635"/>
      <c r="I168" s="21">
        <f t="shared" si="36"/>
        <v>1</v>
      </c>
      <c r="J168" s="635"/>
      <c r="K168" s="21">
        <f t="shared" si="37"/>
        <v>1</v>
      </c>
      <c r="L168" s="635"/>
      <c r="M168" s="21">
        <f t="shared" si="38"/>
        <v>0</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0</v>
      </c>
      <c r="F169" s="635"/>
      <c r="G169" s="21">
        <f t="shared" si="35"/>
        <v>0</v>
      </c>
      <c r="H169" s="635"/>
      <c r="I169" s="21">
        <f t="shared" si="36"/>
        <v>1</v>
      </c>
      <c r="J169" s="635"/>
      <c r="K169" s="21">
        <f t="shared" si="37"/>
        <v>1</v>
      </c>
      <c r="L169" s="635"/>
      <c r="M169" s="21">
        <f t="shared" si="38"/>
        <v>0</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0</v>
      </c>
      <c r="F170" s="635"/>
      <c r="G170" s="21">
        <f t="shared" si="35"/>
        <v>0</v>
      </c>
      <c r="H170" s="635"/>
      <c r="I170" s="21">
        <f t="shared" si="36"/>
        <v>1</v>
      </c>
      <c r="J170" s="635"/>
      <c r="K170" s="21">
        <f t="shared" si="37"/>
        <v>1</v>
      </c>
      <c r="L170" s="635"/>
      <c r="M170" s="21">
        <f t="shared" si="38"/>
        <v>0</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0</v>
      </c>
      <c r="F171" s="635"/>
      <c r="G171" s="21">
        <f t="shared" si="35"/>
        <v>0</v>
      </c>
      <c r="H171" s="635"/>
      <c r="I171" s="21">
        <f t="shared" si="36"/>
        <v>1</v>
      </c>
      <c r="J171" s="635"/>
      <c r="K171" s="21">
        <f t="shared" si="37"/>
        <v>1</v>
      </c>
      <c r="L171" s="635"/>
      <c r="M171" s="21">
        <f t="shared" si="38"/>
        <v>0</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0</v>
      </c>
      <c r="F172" s="635"/>
      <c r="G172" s="21">
        <f t="shared" si="35"/>
        <v>0</v>
      </c>
      <c r="H172" s="635"/>
      <c r="I172" s="21">
        <f t="shared" si="36"/>
        <v>1</v>
      </c>
      <c r="J172" s="635"/>
      <c r="K172" s="21">
        <f t="shared" si="37"/>
        <v>1</v>
      </c>
      <c r="L172" s="635"/>
      <c r="M172" s="21">
        <f t="shared" si="38"/>
        <v>0</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0</v>
      </c>
      <c r="F173" s="635"/>
      <c r="G173" s="21">
        <f t="shared" si="35"/>
        <v>0</v>
      </c>
      <c r="H173" s="635"/>
      <c r="I173" s="21">
        <f t="shared" si="36"/>
        <v>1</v>
      </c>
      <c r="J173" s="635"/>
      <c r="K173" s="21">
        <f t="shared" si="37"/>
        <v>1</v>
      </c>
      <c r="L173" s="635"/>
      <c r="M173" s="21">
        <f t="shared" si="38"/>
        <v>0</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0</v>
      </c>
      <c r="F174" s="635"/>
      <c r="G174" s="21">
        <f t="shared" si="35"/>
        <v>0</v>
      </c>
      <c r="H174" s="635"/>
      <c r="I174" s="21">
        <f t="shared" si="36"/>
        <v>1</v>
      </c>
      <c r="J174" s="635"/>
      <c r="K174" s="21">
        <f t="shared" si="37"/>
        <v>1</v>
      </c>
      <c r="L174" s="635"/>
      <c r="M174" s="21">
        <f t="shared" si="38"/>
        <v>0</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0</v>
      </c>
      <c r="F175" s="635"/>
      <c r="G175" s="21">
        <f t="shared" si="35"/>
        <v>0</v>
      </c>
      <c r="H175" s="635"/>
      <c r="I175" s="21">
        <f t="shared" si="36"/>
        <v>1</v>
      </c>
      <c r="J175" s="635"/>
      <c r="K175" s="21">
        <f t="shared" si="37"/>
        <v>1</v>
      </c>
      <c r="L175" s="635"/>
      <c r="M175" s="21">
        <f t="shared" si="38"/>
        <v>0</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0</v>
      </c>
      <c r="F176" s="635"/>
      <c r="G176" s="21">
        <f t="shared" si="35"/>
        <v>0</v>
      </c>
      <c r="H176" s="635"/>
      <c r="I176" s="21">
        <f t="shared" si="36"/>
        <v>1</v>
      </c>
      <c r="J176" s="635"/>
      <c r="K176" s="21">
        <f t="shared" si="37"/>
        <v>1</v>
      </c>
      <c r="L176" s="635"/>
      <c r="M176" s="21">
        <f t="shared" si="38"/>
        <v>0</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0</v>
      </c>
      <c r="F177" s="635"/>
      <c r="G177" s="21">
        <f t="shared" si="35"/>
        <v>0</v>
      </c>
      <c r="H177" s="635"/>
      <c r="I177" s="21">
        <f t="shared" si="36"/>
        <v>1</v>
      </c>
      <c r="J177" s="635"/>
      <c r="K177" s="21">
        <f t="shared" si="37"/>
        <v>1</v>
      </c>
      <c r="L177" s="635"/>
      <c r="M177" s="21">
        <f t="shared" si="38"/>
        <v>0</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0</v>
      </c>
      <c r="F178" s="635"/>
      <c r="G178" s="21">
        <f t="shared" si="35"/>
        <v>0</v>
      </c>
      <c r="H178" s="635"/>
      <c r="I178" s="21">
        <f t="shared" si="36"/>
        <v>1</v>
      </c>
      <c r="J178" s="635"/>
      <c r="K178" s="21">
        <f t="shared" si="37"/>
        <v>1</v>
      </c>
      <c r="L178" s="635"/>
      <c r="M178" s="21">
        <f t="shared" si="38"/>
        <v>0</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0</v>
      </c>
      <c r="F179" s="635"/>
      <c r="G179" s="21">
        <f t="shared" si="35"/>
        <v>0</v>
      </c>
      <c r="H179" s="635"/>
      <c r="I179" s="21">
        <f t="shared" si="36"/>
        <v>1</v>
      </c>
      <c r="J179" s="635"/>
      <c r="K179" s="21">
        <f t="shared" si="37"/>
        <v>1</v>
      </c>
      <c r="L179" s="635"/>
      <c r="M179" s="21">
        <f t="shared" si="38"/>
        <v>0</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0</v>
      </c>
      <c r="F180" s="635"/>
      <c r="G180" s="21">
        <f t="shared" si="35"/>
        <v>0</v>
      </c>
      <c r="H180" s="635"/>
      <c r="I180" s="21">
        <f t="shared" si="36"/>
        <v>1</v>
      </c>
      <c r="J180" s="635"/>
      <c r="K180" s="21">
        <f t="shared" si="37"/>
        <v>1</v>
      </c>
      <c r="L180" s="635"/>
      <c r="M180" s="21">
        <f t="shared" si="38"/>
        <v>0</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0</v>
      </c>
      <c r="F181" s="635"/>
      <c r="G181" s="21">
        <f t="shared" si="35"/>
        <v>0</v>
      </c>
      <c r="H181" s="635"/>
      <c r="I181" s="21">
        <f t="shared" si="36"/>
        <v>1</v>
      </c>
      <c r="J181" s="635"/>
      <c r="K181" s="21">
        <f t="shared" si="37"/>
        <v>1</v>
      </c>
      <c r="L181" s="635"/>
      <c r="M181" s="21">
        <f t="shared" si="38"/>
        <v>0</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0</v>
      </c>
      <c r="F182" s="635"/>
      <c r="G182" s="21">
        <f t="shared" si="35"/>
        <v>0</v>
      </c>
      <c r="H182" s="635"/>
      <c r="I182" s="21">
        <f t="shared" si="36"/>
        <v>1</v>
      </c>
      <c r="J182" s="635"/>
      <c r="K182" s="21">
        <f t="shared" si="37"/>
        <v>1</v>
      </c>
      <c r="L182" s="635"/>
      <c r="M182" s="21">
        <f t="shared" si="38"/>
        <v>0</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0</v>
      </c>
      <c r="F183" s="635"/>
      <c r="G183" s="21">
        <f t="shared" si="35"/>
        <v>0</v>
      </c>
      <c r="H183" s="635"/>
      <c r="I183" s="21">
        <f t="shared" si="36"/>
        <v>1</v>
      </c>
      <c r="J183" s="635"/>
      <c r="K183" s="21">
        <f t="shared" si="37"/>
        <v>1</v>
      </c>
      <c r="L183" s="635"/>
      <c r="M183" s="21">
        <f t="shared" si="38"/>
        <v>0</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0</v>
      </c>
      <c r="F184" s="635"/>
      <c r="G184" s="21">
        <f t="shared" si="35"/>
        <v>0</v>
      </c>
      <c r="H184" s="635"/>
      <c r="I184" s="21">
        <f t="shared" si="36"/>
        <v>1</v>
      </c>
      <c r="J184" s="635"/>
      <c r="K184" s="21">
        <f t="shared" si="37"/>
        <v>1</v>
      </c>
      <c r="L184" s="635"/>
      <c r="M184" s="21">
        <f t="shared" si="38"/>
        <v>0</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0</v>
      </c>
      <c r="F185" s="635"/>
      <c r="G185" s="21">
        <f t="shared" si="35"/>
        <v>0</v>
      </c>
      <c r="H185" s="635"/>
      <c r="I185" s="21">
        <f t="shared" si="36"/>
        <v>1</v>
      </c>
      <c r="J185" s="635"/>
      <c r="K185" s="21">
        <f t="shared" si="37"/>
        <v>1</v>
      </c>
      <c r="L185" s="635"/>
      <c r="M185" s="21">
        <f t="shared" si="38"/>
        <v>0</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0</v>
      </c>
      <c r="F186" s="635"/>
      <c r="G186" s="21">
        <f t="shared" si="35"/>
        <v>0</v>
      </c>
      <c r="H186" s="635"/>
      <c r="I186" s="21">
        <f t="shared" si="36"/>
        <v>1</v>
      </c>
      <c r="J186" s="635"/>
      <c r="K186" s="21">
        <f t="shared" si="37"/>
        <v>1</v>
      </c>
      <c r="L186" s="635"/>
      <c r="M186" s="21">
        <f t="shared" si="38"/>
        <v>0</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0</v>
      </c>
      <c r="F187" s="635"/>
      <c r="G187" s="21">
        <f t="shared" si="35"/>
        <v>0</v>
      </c>
      <c r="H187" s="635"/>
      <c r="I187" s="21">
        <f t="shared" si="36"/>
        <v>1</v>
      </c>
      <c r="J187" s="635"/>
      <c r="K187" s="21">
        <f t="shared" si="37"/>
        <v>1</v>
      </c>
      <c r="L187" s="635"/>
      <c r="M187" s="21">
        <f t="shared" si="38"/>
        <v>0</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0</v>
      </c>
      <c r="F188" s="635"/>
      <c r="G188" s="21">
        <f t="shared" si="35"/>
        <v>0</v>
      </c>
      <c r="H188" s="635"/>
      <c r="I188" s="21">
        <f t="shared" si="36"/>
        <v>1</v>
      </c>
      <c r="J188" s="635"/>
      <c r="K188" s="21">
        <f t="shared" si="37"/>
        <v>1</v>
      </c>
      <c r="L188" s="635"/>
      <c r="M188" s="21">
        <f t="shared" si="38"/>
        <v>0</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0</v>
      </c>
      <c r="F189" s="635"/>
      <c r="G189" s="21">
        <f t="shared" si="35"/>
        <v>0</v>
      </c>
      <c r="H189" s="635"/>
      <c r="I189" s="21">
        <f t="shared" si="36"/>
        <v>1</v>
      </c>
      <c r="J189" s="635"/>
      <c r="K189" s="21">
        <f t="shared" si="37"/>
        <v>1</v>
      </c>
      <c r="L189" s="635"/>
      <c r="M189" s="21">
        <f t="shared" si="38"/>
        <v>0</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0</v>
      </c>
      <c r="F190" s="635"/>
      <c r="G190" s="21">
        <f t="shared" si="35"/>
        <v>0</v>
      </c>
      <c r="H190" s="635"/>
      <c r="I190" s="21">
        <f t="shared" si="36"/>
        <v>1</v>
      </c>
      <c r="J190" s="635"/>
      <c r="K190" s="21">
        <f t="shared" si="37"/>
        <v>1</v>
      </c>
      <c r="L190" s="635"/>
      <c r="M190" s="21">
        <f t="shared" si="38"/>
        <v>0</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0</v>
      </c>
      <c r="F191" s="635"/>
      <c r="G191" s="21">
        <f t="shared" si="35"/>
        <v>0</v>
      </c>
      <c r="H191" s="635"/>
      <c r="I191" s="21">
        <f t="shared" si="36"/>
        <v>1</v>
      </c>
      <c r="J191" s="635"/>
      <c r="K191" s="21">
        <f t="shared" si="37"/>
        <v>1</v>
      </c>
      <c r="L191" s="635"/>
      <c r="M191" s="21">
        <f t="shared" si="38"/>
        <v>0</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0</v>
      </c>
      <c r="F192" s="635"/>
      <c r="G192" s="21">
        <f t="shared" si="35"/>
        <v>0</v>
      </c>
      <c r="H192" s="635"/>
      <c r="I192" s="21">
        <f t="shared" si="36"/>
        <v>1</v>
      </c>
      <c r="J192" s="635"/>
      <c r="K192" s="21">
        <f t="shared" si="37"/>
        <v>1</v>
      </c>
      <c r="L192" s="635"/>
      <c r="M192" s="21">
        <f t="shared" si="38"/>
        <v>0</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0</v>
      </c>
      <c r="F193" s="635"/>
      <c r="G193" s="21">
        <f t="shared" si="35"/>
        <v>0</v>
      </c>
      <c r="H193" s="635"/>
      <c r="I193" s="21">
        <f t="shared" si="36"/>
        <v>1</v>
      </c>
      <c r="J193" s="635"/>
      <c r="K193" s="21">
        <f t="shared" si="37"/>
        <v>1</v>
      </c>
      <c r="L193" s="635"/>
      <c r="M193" s="21">
        <f t="shared" si="38"/>
        <v>0</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0</v>
      </c>
      <c r="F194" s="635"/>
      <c r="G194" s="21">
        <f t="shared" si="35"/>
        <v>0</v>
      </c>
      <c r="H194" s="635"/>
      <c r="I194" s="21">
        <f t="shared" si="36"/>
        <v>1</v>
      </c>
      <c r="J194" s="635"/>
      <c r="K194" s="21">
        <f t="shared" si="37"/>
        <v>1</v>
      </c>
      <c r="L194" s="635"/>
      <c r="M194" s="21">
        <f t="shared" si="38"/>
        <v>0</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0</v>
      </c>
      <c r="F195" s="635"/>
      <c r="G195" s="21">
        <f t="shared" si="35"/>
        <v>0</v>
      </c>
      <c r="H195" s="635"/>
      <c r="I195" s="21">
        <f t="shared" si="36"/>
        <v>1</v>
      </c>
      <c r="J195" s="635"/>
      <c r="K195" s="21">
        <f t="shared" si="37"/>
        <v>1</v>
      </c>
      <c r="L195" s="635"/>
      <c r="M195" s="21">
        <f t="shared" si="38"/>
        <v>0</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0</v>
      </c>
      <c r="F196" s="635"/>
      <c r="G196" s="21">
        <f t="shared" si="35"/>
        <v>0</v>
      </c>
      <c r="H196" s="635"/>
      <c r="I196" s="21">
        <f t="shared" si="36"/>
        <v>1</v>
      </c>
      <c r="J196" s="635"/>
      <c r="K196" s="21">
        <f t="shared" si="37"/>
        <v>1</v>
      </c>
      <c r="L196" s="635"/>
      <c r="M196" s="21">
        <f t="shared" si="38"/>
        <v>0</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0</v>
      </c>
      <c r="F197" s="635"/>
      <c r="G197" s="21">
        <f t="shared" si="35"/>
        <v>0</v>
      </c>
      <c r="H197" s="635"/>
      <c r="I197" s="21">
        <f t="shared" si="36"/>
        <v>1</v>
      </c>
      <c r="J197" s="635"/>
      <c r="K197" s="21">
        <f t="shared" si="37"/>
        <v>1</v>
      </c>
      <c r="L197" s="635"/>
      <c r="M197" s="21">
        <f t="shared" si="38"/>
        <v>0</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0</v>
      </c>
      <c r="F198" s="635"/>
      <c r="G198" s="21">
        <f t="shared" si="35"/>
        <v>0</v>
      </c>
      <c r="H198" s="635"/>
      <c r="I198" s="21">
        <f t="shared" si="36"/>
        <v>1</v>
      </c>
      <c r="J198" s="635"/>
      <c r="K198" s="21">
        <f t="shared" si="37"/>
        <v>1</v>
      </c>
      <c r="L198" s="635"/>
      <c r="M198" s="21">
        <f t="shared" si="38"/>
        <v>0</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0</v>
      </c>
      <c r="F199" s="635"/>
      <c r="G199" s="21">
        <f t="shared" si="35"/>
        <v>0</v>
      </c>
      <c r="H199" s="635"/>
      <c r="I199" s="21">
        <f t="shared" si="36"/>
        <v>1</v>
      </c>
      <c r="J199" s="635"/>
      <c r="K199" s="21">
        <f t="shared" si="37"/>
        <v>1</v>
      </c>
      <c r="L199" s="635"/>
      <c r="M199" s="21">
        <f t="shared" si="38"/>
        <v>0</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0</v>
      </c>
      <c r="F200" s="635"/>
      <c r="G200" s="21">
        <f t="shared" si="35"/>
        <v>0</v>
      </c>
      <c r="H200" s="635"/>
      <c r="I200" s="21">
        <f t="shared" si="36"/>
        <v>1</v>
      </c>
      <c r="J200" s="635"/>
      <c r="K200" s="21">
        <f t="shared" si="37"/>
        <v>1</v>
      </c>
      <c r="L200" s="635"/>
      <c r="M200" s="21">
        <f t="shared" si="38"/>
        <v>0</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0</v>
      </c>
      <c r="F201" s="635"/>
      <c r="G201" s="21">
        <f t="shared" si="35"/>
        <v>0</v>
      </c>
      <c r="H201" s="635"/>
      <c r="I201" s="21">
        <f t="shared" si="36"/>
        <v>1</v>
      </c>
      <c r="J201" s="635"/>
      <c r="K201" s="21">
        <f t="shared" si="37"/>
        <v>1</v>
      </c>
      <c r="L201" s="635"/>
      <c r="M201" s="21">
        <f t="shared" si="38"/>
        <v>0</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0</v>
      </c>
      <c r="F202" s="635"/>
      <c r="G202" s="21">
        <f t="shared" si="35"/>
        <v>0</v>
      </c>
      <c r="H202" s="635"/>
      <c r="I202" s="21">
        <f t="shared" si="36"/>
        <v>1</v>
      </c>
      <c r="J202" s="635"/>
      <c r="K202" s="21">
        <f t="shared" si="37"/>
        <v>1</v>
      </c>
      <c r="L202" s="635"/>
      <c r="M202" s="21">
        <f t="shared" si="38"/>
        <v>0</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0</v>
      </c>
      <c r="F203" s="635"/>
      <c r="G203" s="21">
        <f t="shared" si="35"/>
        <v>0</v>
      </c>
      <c r="H203" s="635"/>
      <c r="I203" s="21">
        <f t="shared" si="36"/>
        <v>1</v>
      </c>
      <c r="J203" s="635"/>
      <c r="K203" s="21">
        <f t="shared" si="37"/>
        <v>1</v>
      </c>
      <c r="L203" s="635"/>
      <c r="M203" s="21">
        <f t="shared" si="38"/>
        <v>0</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0</v>
      </c>
      <c r="F204" s="635"/>
      <c r="G204" s="21">
        <f t="shared" si="35"/>
        <v>0</v>
      </c>
      <c r="H204" s="635"/>
      <c r="I204" s="21">
        <f t="shared" si="36"/>
        <v>1</v>
      </c>
      <c r="J204" s="635"/>
      <c r="K204" s="21">
        <f t="shared" si="37"/>
        <v>1</v>
      </c>
      <c r="L204" s="635"/>
      <c r="M204" s="21">
        <f t="shared" si="38"/>
        <v>0</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0</v>
      </c>
      <c r="F205" s="635"/>
      <c r="G205" s="21">
        <f t="shared" si="35"/>
        <v>0</v>
      </c>
      <c r="H205" s="635"/>
      <c r="I205" s="21">
        <f t="shared" si="36"/>
        <v>1</v>
      </c>
      <c r="J205" s="635"/>
      <c r="K205" s="21">
        <f t="shared" si="37"/>
        <v>1</v>
      </c>
      <c r="L205" s="635"/>
      <c r="M205" s="21">
        <f t="shared" si="38"/>
        <v>0</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0</v>
      </c>
      <c r="F206" s="635"/>
      <c r="G206" s="21">
        <f t="shared" si="35"/>
        <v>0</v>
      </c>
      <c r="H206" s="635"/>
      <c r="I206" s="21">
        <f t="shared" si="36"/>
        <v>1</v>
      </c>
      <c r="J206" s="635"/>
      <c r="K206" s="21">
        <f t="shared" si="37"/>
        <v>1</v>
      </c>
      <c r="L206" s="635"/>
      <c r="M206" s="21">
        <f t="shared" si="38"/>
        <v>0</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0</v>
      </c>
      <c r="F207" s="635"/>
      <c r="G207" s="21">
        <f t="shared" si="35"/>
        <v>0</v>
      </c>
      <c r="H207" s="635"/>
      <c r="I207" s="21">
        <f t="shared" si="36"/>
        <v>1</v>
      </c>
      <c r="J207" s="635"/>
      <c r="K207" s="21">
        <f t="shared" si="37"/>
        <v>1</v>
      </c>
      <c r="L207" s="635"/>
      <c r="M207" s="21">
        <f t="shared" si="38"/>
        <v>0</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0</v>
      </c>
      <c r="F208" s="635"/>
      <c r="G208" s="21">
        <f t="shared" si="35"/>
        <v>0</v>
      </c>
      <c r="H208" s="635"/>
      <c r="I208" s="21">
        <f t="shared" si="36"/>
        <v>1</v>
      </c>
      <c r="J208" s="635"/>
      <c r="K208" s="21">
        <f t="shared" si="37"/>
        <v>1</v>
      </c>
      <c r="L208" s="635"/>
      <c r="M208" s="21">
        <f t="shared" si="38"/>
        <v>0</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0</v>
      </c>
      <c r="F209" s="635"/>
      <c r="G209" s="21">
        <f t="shared" si="35"/>
        <v>0</v>
      </c>
      <c r="H209" s="635"/>
      <c r="I209" s="21">
        <f t="shared" si="36"/>
        <v>1</v>
      </c>
      <c r="J209" s="635"/>
      <c r="K209" s="21">
        <f t="shared" si="37"/>
        <v>1</v>
      </c>
      <c r="L209" s="635"/>
      <c r="M209" s="21">
        <f t="shared" si="38"/>
        <v>0</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0</v>
      </c>
      <c r="F210" s="635"/>
      <c r="G210" s="21">
        <f t="shared" si="35"/>
        <v>0</v>
      </c>
      <c r="H210" s="635"/>
      <c r="I210" s="21">
        <f t="shared" si="36"/>
        <v>1</v>
      </c>
      <c r="J210" s="635"/>
      <c r="K210" s="21">
        <f t="shared" si="37"/>
        <v>1</v>
      </c>
      <c r="L210" s="635"/>
      <c r="M210" s="21">
        <f t="shared" si="38"/>
        <v>0</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0</v>
      </c>
      <c r="F211" s="635"/>
      <c r="G211" s="21">
        <f t="shared" si="35"/>
        <v>0</v>
      </c>
      <c r="H211" s="635"/>
      <c r="I211" s="21">
        <f t="shared" si="36"/>
        <v>1</v>
      </c>
      <c r="J211" s="635"/>
      <c r="K211" s="21">
        <f t="shared" si="37"/>
        <v>1</v>
      </c>
      <c r="L211" s="635"/>
      <c r="M211" s="21">
        <f t="shared" si="38"/>
        <v>0</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0</v>
      </c>
      <c r="F212" s="635"/>
      <c r="G212" s="21">
        <f t="shared" si="35"/>
        <v>0</v>
      </c>
      <c r="H212" s="635"/>
      <c r="I212" s="21">
        <f t="shared" si="36"/>
        <v>1</v>
      </c>
      <c r="J212" s="635"/>
      <c r="K212" s="21">
        <f t="shared" si="37"/>
        <v>1</v>
      </c>
      <c r="L212" s="635"/>
      <c r="M212" s="21">
        <f t="shared" si="38"/>
        <v>0</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0</v>
      </c>
      <c r="F213" s="635"/>
      <c r="G213" s="21">
        <f t="shared" si="35"/>
        <v>0</v>
      </c>
      <c r="H213" s="635"/>
      <c r="I213" s="21">
        <f t="shared" si="36"/>
        <v>1</v>
      </c>
      <c r="J213" s="635"/>
      <c r="K213" s="21">
        <f t="shared" si="37"/>
        <v>1</v>
      </c>
      <c r="L213" s="635"/>
      <c r="M213" s="21">
        <f t="shared" si="38"/>
        <v>0</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0</v>
      </c>
      <c r="F214" s="635"/>
      <c r="G214" s="21">
        <f t="shared" si="35"/>
        <v>0</v>
      </c>
      <c r="H214" s="635"/>
      <c r="I214" s="21">
        <f t="shared" si="36"/>
        <v>1</v>
      </c>
      <c r="J214" s="635"/>
      <c r="K214" s="21">
        <f t="shared" si="37"/>
        <v>1</v>
      </c>
      <c r="L214" s="635"/>
      <c r="M214" s="21">
        <f t="shared" si="38"/>
        <v>0</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0</v>
      </c>
      <c r="F215" s="635"/>
      <c r="G215" s="21">
        <f t="shared" si="35"/>
        <v>0</v>
      </c>
      <c r="H215" s="635"/>
      <c r="I215" s="21">
        <f t="shared" si="36"/>
        <v>1</v>
      </c>
      <c r="J215" s="635"/>
      <c r="K215" s="21">
        <f t="shared" si="37"/>
        <v>1</v>
      </c>
      <c r="L215" s="635"/>
      <c r="M215" s="21">
        <f t="shared" si="38"/>
        <v>0</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0</v>
      </c>
      <c r="F216" s="635"/>
      <c r="G216" s="21">
        <f t="shared" si="35"/>
        <v>0</v>
      </c>
      <c r="H216" s="635"/>
      <c r="I216" s="21">
        <f t="shared" si="36"/>
        <v>1</v>
      </c>
      <c r="J216" s="635"/>
      <c r="K216" s="21">
        <f t="shared" si="37"/>
        <v>1</v>
      </c>
      <c r="L216" s="635"/>
      <c r="M216" s="21">
        <f t="shared" si="38"/>
        <v>0</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0</v>
      </c>
      <c r="F217" s="635"/>
      <c r="G217" s="21">
        <f t="shared" si="35"/>
        <v>0</v>
      </c>
      <c r="H217" s="635"/>
      <c r="I217" s="21">
        <f t="shared" si="36"/>
        <v>1</v>
      </c>
      <c r="J217" s="635"/>
      <c r="K217" s="21">
        <f t="shared" si="37"/>
        <v>1</v>
      </c>
      <c r="L217" s="635"/>
      <c r="M217" s="21">
        <f t="shared" si="38"/>
        <v>0</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0</v>
      </c>
      <c r="F218" s="635"/>
      <c r="G218" s="21">
        <f t="shared" ref="G218:G281" si="45">(SUMIF($7:$7,F218,$8:$8)-SUMIF($7:$7,$F$24,$8:$8)+100)/100</f>
        <v>0</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0</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0</v>
      </c>
      <c r="F219" s="635"/>
      <c r="G219" s="21">
        <f t="shared" si="45"/>
        <v>0</v>
      </c>
      <c r="H219" s="635"/>
      <c r="I219" s="21">
        <f t="shared" si="46"/>
        <v>1</v>
      </c>
      <c r="J219" s="635"/>
      <c r="K219" s="21">
        <f t="shared" si="47"/>
        <v>1</v>
      </c>
      <c r="L219" s="635"/>
      <c r="M219" s="21">
        <f t="shared" si="48"/>
        <v>0</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0</v>
      </c>
      <c r="F220" s="635"/>
      <c r="G220" s="21">
        <f t="shared" si="45"/>
        <v>0</v>
      </c>
      <c r="H220" s="635"/>
      <c r="I220" s="21">
        <f t="shared" si="46"/>
        <v>1</v>
      </c>
      <c r="J220" s="635"/>
      <c r="K220" s="21">
        <f t="shared" si="47"/>
        <v>1</v>
      </c>
      <c r="L220" s="635"/>
      <c r="M220" s="21">
        <f t="shared" si="48"/>
        <v>0</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0</v>
      </c>
      <c r="F221" s="635"/>
      <c r="G221" s="21">
        <f t="shared" si="45"/>
        <v>0</v>
      </c>
      <c r="H221" s="635"/>
      <c r="I221" s="21">
        <f t="shared" si="46"/>
        <v>1</v>
      </c>
      <c r="J221" s="635"/>
      <c r="K221" s="21">
        <f t="shared" si="47"/>
        <v>1</v>
      </c>
      <c r="L221" s="635"/>
      <c r="M221" s="21">
        <f t="shared" si="48"/>
        <v>0</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0</v>
      </c>
      <c r="F222" s="635"/>
      <c r="G222" s="21">
        <f t="shared" si="45"/>
        <v>0</v>
      </c>
      <c r="H222" s="635"/>
      <c r="I222" s="21">
        <f t="shared" si="46"/>
        <v>1</v>
      </c>
      <c r="J222" s="635"/>
      <c r="K222" s="21">
        <f t="shared" si="47"/>
        <v>1</v>
      </c>
      <c r="L222" s="635"/>
      <c r="M222" s="21">
        <f t="shared" si="48"/>
        <v>0</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0</v>
      </c>
      <c r="F223" s="635"/>
      <c r="G223" s="21">
        <f t="shared" si="45"/>
        <v>0</v>
      </c>
      <c r="H223" s="635"/>
      <c r="I223" s="21">
        <f t="shared" si="46"/>
        <v>1</v>
      </c>
      <c r="J223" s="635"/>
      <c r="K223" s="21">
        <f t="shared" si="47"/>
        <v>1</v>
      </c>
      <c r="L223" s="635"/>
      <c r="M223" s="21">
        <f t="shared" si="48"/>
        <v>0</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0</v>
      </c>
      <c r="F224" s="635"/>
      <c r="G224" s="21">
        <f t="shared" si="45"/>
        <v>0</v>
      </c>
      <c r="H224" s="635"/>
      <c r="I224" s="21">
        <f t="shared" si="46"/>
        <v>1</v>
      </c>
      <c r="J224" s="635"/>
      <c r="K224" s="21">
        <f t="shared" si="47"/>
        <v>1</v>
      </c>
      <c r="L224" s="635"/>
      <c r="M224" s="21">
        <f t="shared" si="48"/>
        <v>0</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0</v>
      </c>
      <c r="F225" s="635"/>
      <c r="G225" s="21">
        <f t="shared" si="45"/>
        <v>0</v>
      </c>
      <c r="H225" s="635"/>
      <c r="I225" s="21">
        <f t="shared" si="46"/>
        <v>1</v>
      </c>
      <c r="J225" s="635"/>
      <c r="K225" s="21">
        <f t="shared" si="47"/>
        <v>1</v>
      </c>
      <c r="L225" s="635"/>
      <c r="M225" s="21">
        <f t="shared" si="48"/>
        <v>0</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0</v>
      </c>
      <c r="F226" s="635"/>
      <c r="G226" s="21">
        <f t="shared" si="45"/>
        <v>0</v>
      </c>
      <c r="H226" s="635"/>
      <c r="I226" s="21">
        <f t="shared" si="46"/>
        <v>1</v>
      </c>
      <c r="J226" s="635"/>
      <c r="K226" s="21">
        <f t="shared" si="47"/>
        <v>1</v>
      </c>
      <c r="L226" s="635"/>
      <c r="M226" s="21">
        <f t="shared" si="48"/>
        <v>0</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0</v>
      </c>
      <c r="F227" s="635"/>
      <c r="G227" s="21">
        <f t="shared" si="45"/>
        <v>0</v>
      </c>
      <c r="H227" s="635"/>
      <c r="I227" s="21">
        <f t="shared" si="46"/>
        <v>1</v>
      </c>
      <c r="J227" s="635"/>
      <c r="K227" s="21">
        <f t="shared" si="47"/>
        <v>1</v>
      </c>
      <c r="L227" s="635"/>
      <c r="M227" s="21">
        <f t="shared" si="48"/>
        <v>0</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0</v>
      </c>
      <c r="F228" s="635"/>
      <c r="G228" s="21">
        <f t="shared" si="45"/>
        <v>0</v>
      </c>
      <c r="H228" s="635"/>
      <c r="I228" s="21">
        <f t="shared" si="46"/>
        <v>1</v>
      </c>
      <c r="J228" s="635"/>
      <c r="K228" s="21">
        <f t="shared" si="47"/>
        <v>1</v>
      </c>
      <c r="L228" s="635"/>
      <c r="M228" s="21">
        <f t="shared" si="48"/>
        <v>0</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0</v>
      </c>
      <c r="F229" s="635"/>
      <c r="G229" s="21">
        <f t="shared" si="45"/>
        <v>0</v>
      </c>
      <c r="H229" s="635"/>
      <c r="I229" s="21">
        <f t="shared" si="46"/>
        <v>1</v>
      </c>
      <c r="J229" s="635"/>
      <c r="K229" s="21">
        <f t="shared" si="47"/>
        <v>1</v>
      </c>
      <c r="L229" s="635"/>
      <c r="M229" s="21">
        <f t="shared" si="48"/>
        <v>0</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0</v>
      </c>
      <c r="F230" s="635"/>
      <c r="G230" s="21">
        <f t="shared" si="45"/>
        <v>0</v>
      </c>
      <c r="H230" s="635"/>
      <c r="I230" s="21">
        <f t="shared" si="46"/>
        <v>1</v>
      </c>
      <c r="J230" s="635"/>
      <c r="K230" s="21">
        <f t="shared" si="47"/>
        <v>1</v>
      </c>
      <c r="L230" s="635"/>
      <c r="M230" s="21">
        <f t="shared" si="48"/>
        <v>0</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0</v>
      </c>
      <c r="F231" s="635"/>
      <c r="G231" s="21">
        <f t="shared" si="45"/>
        <v>0</v>
      </c>
      <c r="H231" s="635"/>
      <c r="I231" s="21">
        <f t="shared" si="46"/>
        <v>1</v>
      </c>
      <c r="J231" s="635"/>
      <c r="K231" s="21">
        <f t="shared" si="47"/>
        <v>1</v>
      </c>
      <c r="L231" s="635"/>
      <c r="M231" s="21">
        <f t="shared" si="48"/>
        <v>0</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0</v>
      </c>
      <c r="F232" s="635"/>
      <c r="G232" s="21">
        <f t="shared" si="45"/>
        <v>0</v>
      </c>
      <c r="H232" s="635"/>
      <c r="I232" s="21">
        <f t="shared" si="46"/>
        <v>1</v>
      </c>
      <c r="J232" s="635"/>
      <c r="K232" s="21">
        <f t="shared" si="47"/>
        <v>1</v>
      </c>
      <c r="L232" s="635"/>
      <c r="M232" s="21">
        <f t="shared" si="48"/>
        <v>0</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0</v>
      </c>
      <c r="F233" s="635"/>
      <c r="G233" s="21">
        <f t="shared" si="45"/>
        <v>0</v>
      </c>
      <c r="H233" s="635"/>
      <c r="I233" s="21">
        <f t="shared" si="46"/>
        <v>1</v>
      </c>
      <c r="J233" s="635"/>
      <c r="K233" s="21">
        <f t="shared" si="47"/>
        <v>1</v>
      </c>
      <c r="L233" s="635"/>
      <c r="M233" s="21">
        <f t="shared" si="48"/>
        <v>0</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0</v>
      </c>
      <c r="F234" s="635"/>
      <c r="G234" s="21">
        <f t="shared" si="45"/>
        <v>0</v>
      </c>
      <c r="H234" s="635"/>
      <c r="I234" s="21">
        <f t="shared" si="46"/>
        <v>1</v>
      </c>
      <c r="J234" s="635"/>
      <c r="K234" s="21">
        <f t="shared" si="47"/>
        <v>1</v>
      </c>
      <c r="L234" s="635"/>
      <c r="M234" s="21">
        <f t="shared" si="48"/>
        <v>0</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0</v>
      </c>
      <c r="F235" s="635"/>
      <c r="G235" s="21">
        <f t="shared" si="45"/>
        <v>0</v>
      </c>
      <c r="H235" s="635"/>
      <c r="I235" s="21">
        <f t="shared" si="46"/>
        <v>1</v>
      </c>
      <c r="J235" s="635"/>
      <c r="K235" s="21">
        <f t="shared" si="47"/>
        <v>1</v>
      </c>
      <c r="L235" s="635"/>
      <c r="M235" s="21">
        <f t="shared" si="48"/>
        <v>0</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0</v>
      </c>
      <c r="F236" s="635"/>
      <c r="G236" s="21">
        <f t="shared" si="45"/>
        <v>0</v>
      </c>
      <c r="H236" s="635"/>
      <c r="I236" s="21">
        <f t="shared" si="46"/>
        <v>1</v>
      </c>
      <c r="J236" s="635"/>
      <c r="K236" s="21">
        <f t="shared" si="47"/>
        <v>1</v>
      </c>
      <c r="L236" s="635"/>
      <c r="M236" s="21">
        <f t="shared" si="48"/>
        <v>0</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0</v>
      </c>
      <c r="F237" s="635"/>
      <c r="G237" s="21">
        <f t="shared" si="45"/>
        <v>0</v>
      </c>
      <c r="H237" s="635"/>
      <c r="I237" s="21">
        <f t="shared" si="46"/>
        <v>1</v>
      </c>
      <c r="J237" s="635"/>
      <c r="K237" s="21">
        <f t="shared" si="47"/>
        <v>1</v>
      </c>
      <c r="L237" s="635"/>
      <c r="M237" s="21">
        <f t="shared" si="48"/>
        <v>0</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0</v>
      </c>
      <c r="F238" s="635"/>
      <c r="G238" s="21">
        <f t="shared" si="45"/>
        <v>0</v>
      </c>
      <c r="H238" s="635"/>
      <c r="I238" s="21">
        <f t="shared" si="46"/>
        <v>1</v>
      </c>
      <c r="J238" s="635"/>
      <c r="K238" s="21">
        <f t="shared" si="47"/>
        <v>1</v>
      </c>
      <c r="L238" s="635"/>
      <c r="M238" s="21">
        <f t="shared" si="48"/>
        <v>0</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0</v>
      </c>
      <c r="F239" s="635"/>
      <c r="G239" s="21">
        <f t="shared" si="45"/>
        <v>0</v>
      </c>
      <c r="H239" s="635"/>
      <c r="I239" s="21">
        <f t="shared" si="46"/>
        <v>1</v>
      </c>
      <c r="J239" s="635"/>
      <c r="K239" s="21">
        <f t="shared" si="47"/>
        <v>1</v>
      </c>
      <c r="L239" s="635"/>
      <c r="M239" s="21">
        <f t="shared" si="48"/>
        <v>0</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0</v>
      </c>
      <c r="F240" s="635"/>
      <c r="G240" s="21">
        <f t="shared" si="45"/>
        <v>0</v>
      </c>
      <c r="H240" s="635"/>
      <c r="I240" s="21">
        <f t="shared" si="46"/>
        <v>1</v>
      </c>
      <c r="J240" s="635"/>
      <c r="K240" s="21">
        <f t="shared" si="47"/>
        <v>1</v>
      </c>
      <c r="L240" s="635"/>
      <c r="M240" s="21">
        <f t="shared" si="48"/>
        <v>0</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0</v>
      </c>
      <c r="F241" s="635"/>
      <c r="G241" s="21">
        <f t="shared" si="45"/>
        <v>0</v>
      </c>
      <c r="H241" s="635"/>
      <c r="I241" s="21">
        <f t="shared" si="46"/>
        <v>1</v>
      </c>
      <c r="J241" s="635"/>
      <c r="K241" s="21">
        <f t="shared" si="47"/>
        <v>1</v>
      </c>
      <c r="L241" s="635"/>
      <c r="M241" s="21">
        <f t="shared" si="48"/>
        <v>0</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0</v>
      </c>
      <c r="F242" s="635"/>
      <c r="G242" s="21">
        <f t="shared" si="45"/>
        <v>0</v>
      </c>
      <c r="H242" s="635"/>
      <c r="I242" s="21">
        <f t="shared" si="46"/>
        <v>1</v>
      </c>
      <c r="J242" s="635"/>
      <c r="K242" s="21">
        <f t="shared" si="47"/>
        <v>1</v>
      </c>
      <c r="L242" s="635"/>
      <c r="M242" s="21">
        <f t="shared" si="48"/>
        <v>0</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0</v>
      </c>
      <c r="F243" s="635"/>
      <c r="G243" s="21">
        <f t="shared" si="45"/>
        <v>0</v>
      </c>
      <c r="H243" s="635"/>
      <c r="I243" s="21">
        <f t="shared" si="46"/>
        <v>1</v>
      </c>
      <c r="J243" s="635"/>
      <c r="K243" s="21">
        <f t="shared" si="47"/>
        <v>1</v>
      </c>
      <c r="L243" s="635"/>
      <c r="M243" s="21">
        <f t="shared" si="48"/>
        <v>0</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0</v>
      </c>
      <c r="F244" s="635"/>
      <c r="G244" s="21">
        <f t="shared" si="45"/>
        <v>0</v>
      </c>
      <c r="H244" s="635"/>
      <c r="I244" s="21">
        <f t="shared" si="46"/>
        <v>1</v>
      </c>
      <c r="J244" s="635"/>
      <c r="K244" s="21">
        <f t="shared" si="47"/>
        <v>1</v>
      </c>
      <c r="L244" s="635"/>
      <c r="M244" s="21">
        <f t="shared" si="48"/>
        <v>0</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0</v>
      </c>
      <c r="F245" s="635"/>
      <c r="G245" s="21">
        <f t="shared" si="45"/>
        <v>0</v>
      </c>
      <c r="H245" s="635"/>
      <c r="I245" s="21">
        <f t="shared" si="46"/>
        <v>1</v>
      </c>
      <c r="J245" s="635"/>
      <c r="K245" s="21">
        <f t="shared" si="47"/>
        <v>1</v>
      </c>
      <c r="L245" s="635"/>
      <c r="M245" s="21">
        <f t="shared" si="48"/>
        <v>0</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0</v>
      </c>
      <c r="F246" s="635"/>
      <c r="G246" s="21">
        <f t="shared" si="45"/>
        <v>0</v>
      </c>
      <c r="H246" s="635"/>
      <c r="I246" s="21">
        <f t="shared" si="46"/>
        <v>1</v>
      </c>
      <c r="J246" s="635"/>
      <c r="K246" s="21">
        <f t="shared" si="47"/>
        <v>1</v>
      </c>
      <c r="L246" s="635"/>
      <c r="M246" s="21">
        <f t="shared" si="48"/>
        <v>0</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0</v>
      </c>
      <c r="F247" s="635"/>
      <c r="G247" s="21">
        <f t="shared" si="45"/>
        <v>0</v>
      </c>
      <c r="H247" s="635"/>
      <c r="I247" s="21">
        <f t="shared" si="46"/>
        <v>1</v>
      </c>
      <c r="J247" s="635"/>
      <c r="K247" s="21">
        <f t="shared" si="47"/>
        <v>1</v>
      </c>
      <c r="L247" s="635"/>
      <c r="M247" s="21">
        <f t="shared" si="48"/>
        <v>0</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0</v>
      </c>
      <c r="F248" s="635"/>
      <c r="G248" s="21">
        <f t="shared" si="45"/>
        <v>0</v>
      </c>
      <c r="H248" s="635"/>
      <c r="I248" s="21">
        <f t="shared" si="46"/>
        <v>1</v>
      </c>
      <c r="J248" s="635"/>
      <c r="K248" s="21">
        <f t="shared" si="47"/>
        <v>1</v>
      </c>
      <c r="L248" s="635"/>
      <c r="M248" s="21">
        <f t="shared" si="48"/>
        <v>0</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0</v>
      </c>
      <c r="F249" s="635"/>
      <c r="G249" s="21">
        <f t="shared" si="45"/>
        <v>0</v>
      </c>
      <c r="H249" s="635"/>
      <c r="I249" s="21">
        <f t="shared" si="46"/>
        <v>1</v>
      </c>
      <c r="J249" s="635"/>
      <c r="K249" s="21">
        <f t="shared" si="47"/>
        <v>1</v>
      </c>
      <c r="L249" s="635"/>
      <c r="M249" s="21">
        <f t="shared" si="48"/>
        <v>0</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0</v>
      </c>
      <c r="F250" s="635"/>
      <c r="G250" s="21">
        <f t="shared" si="45"/>
        <v>0</v>
      </c>
      <c r="H250" s="635"/>
      <c r="I250" s="21">
        <f t="shared" si="46"/>
        <v>1</v>
      </c>
      <c r="J250" s="635"/>
      <c r="K250" s="21">
        <f t="shared" si="47"/>
        <v>1</v>
      </c>
      <c r="L250" s="635"/>
      <c r="M250" s="21">
        <f t="shared" si="48"/>
        <v>0</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0</v>
      </c>
      <c r="F251" s="635"/>
      <c r="G251" s="21">
        <f t="shared" si="45"/>
        <v>0</v>
      </c>
      <c r="H251" s="635"/>
      <c r="I251" s="21">
        <f t="shared" si="46"/>
        <v>1</v>
      </c>
      <c r="J251" s="635"/>
      <c r="K251" s="21">
        <f t="shared" si="47"/>
        <v>1</v>
      </c>
      <c r="L251" s="635"/>
      <c r="M251" s="21">
        <f t="shared" si="48"/>
        <v>0</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0</v>
      </c>
      <c r="F252" s="635"/>
      <c r="G252" s="21">
        <f t="shared" si="45"/>
        <v>0</v>
      </c>
      <c r="H252" s="635"/>
      <c r="I252" s="21">
        <f t="shared" si="46"/>
        <v>1</v>
      </c>
      <c r="J252" s="635"/>
      <c r="K252" s="21">
        <f t="shared" si="47"/>
        <v>1</v>
      </c>
      <c r="L252" s="635"/>
      <c r="M252" s="21">
        <f t="shared" si="48"/>
        <v>0</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0</v>
      </c>
      <c r="F253" s="635"/>
      <c r="G253" s="21">
        <f t="shared" si="45"/>
        <v>0</v>
      </c>
      <c r="H253" s="635"/>
      <c r="I253" s="21">
        <f t="shared" si="46"/>
        <v>1</v>
      </c>
      <c r="J253" s="635"/>
      <c r="K253" s="21">
        <f t="shared" si="47"/>
        <v>1</v>
      </c>
      <c r="L253" s="635"/>
      <c r="M253" s="21">
        <f t="shared" si="48"/>
        <v>0</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0</v>
      </c>
      <c r="F254" s="635"/>
      <c r="G254" s="21">
        <f t="shared" si="45"/>
        <v>0</v>
      </c>
      <c r="H254" s="635"/>
      <c r="I254" s="21">
        <f t="shared" si="46"/>
        <v>1</v>
      </c>
      <c r="J254" s="635"/>
      <c r="K254" s="21">
        <f t="shared" si="47"/>
        <v>1</v>
      </c>
      <c r="L254" s="635"/>
      <c r="M254" s="21">
        <f t="shared" si="48"/>
        <v>0</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0</v>
      </c>
      <c r="F255" s="635"/>
      <c r="G255" s="21">
        <f t="shared" si="45"/>
        <v>0</v>
      </c>
      <c r="H255" s="635"/>
      <c r="I255" s="21">
        <f t="shared" si="46"/>
        <v>1</v>
      </c>
      <c r="J255" s="635"/>
      <c r="K255" s="21">
        <f t="shared" si="47"/>
        <v>1</v>
      </c>
      <c r="L255" s="635"/>
      <c r="M255" s="21">
        <f t="shared" si="48"/>
        <v>0</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0</v>
      </c>
      <c r="F256" s="635"/>
      <c r="G256" s="21">
        <f t="shared" si="45"/>
        <v>0</v>
      </c>
      <c r="H256" s="635"/>
      <c r="I256" s="21">
        <f t="shared" si="46"/>
        <v>1</v>
      </c>
      <c r="J256" s="635"/>
      <c r="K256" s="21">
        <f t="shared" si="47"/>
        <v>1</v>
      </c>
      <c r="L256" s="635"/>
      <c r="M256" s="21">
        <f t="shared" si="48"/>
        <v>0</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0</v>
      </c>
      <c r="F257" s="635"/>
      <c r="G257" s="21">
        <f t="shared" si="45"/>
        <v>0</v>
      </c>
      <c r="H257" s="635"/>
      <c r="I257" s="21">
        <f t="shared" si="46"/>
        <v>1</v>
      </c>
      <c r="J257" s="635"/>
      <c r="K257" s="21">
        <f t="shared" si="47"/>
        <v>1</v>
      </c>
      <c r="L257" s="635"/>
      <c r="M257" s="21">
        <f t="shared" si="48"/>
        <v>0</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0</v>
      </c>
      <c r="F258" s="635"/>
      <c r="G258" s="21">
        <f t="shared" si="45"/>
        <v>0</v>
      </c>
      <c r="H258" s="635"/>
      <c r="I258" s="21">
        <f t="shared" si="46"/>
        <v>1</v>
      </c>
      <c r="J258" s="635"/>
      <c r="K258" s="21">
        <f t="shared" si="47"/>
        <v>1</v>
      </c>
      <c r="L258" s="635"/>
      <c r="M258" s="21">
        <f t="shared" si="48"/>
        <v>0</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0</v>
      </c>
      <c r="F259" s="635"/>
      <c r="G259" s="21">
        <f t="shared" si="45"/>
        <v>0</v>
      </c>
      <c r="H259" s="635"/>
      <c r="I259" s="21">
        <f t="shared" si="46"/>
        <v>1</v>
      </c>
      <c r="J259" s="635"/>
      <c r="K259" s="21">
        <f t="shared" si="47"/>
        <v>1</v>
      </c>
      <c r="L259" s="635"/>
      <c r="M259" s="21">
        <f t="shared" si="48"/>
        <v>0</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0</v>
      </c>
      <c r="F260" s="635"/>
      <c r="G260" s="21">
        <f t="shared" si="45"/>
        <v>0</v>
      </c>
      <c r="H260" s="635"/>
      <c r="I260" s="21">
        <f t="shared" si="46"/>
        <v>1</v>
      </c>
      <c r="J260" s="635"/>
      <c r="K260" s="21">
        <f t="shared" si="47"/>
        <v>1</v>
      </c>
      <c r="L260" s="635"/>
      <c r="M260" s="21">
        <f t="shared" si="48"/>
        <v>0</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0</v>
      </c>
      <c r="F261" s="635"/>
      <c r="G261" s="21">
        <f t="shared" si="45"/>
        <v>0</v>
      </c>
      <c r="H261" s="635"/>
      <c r="I261" s="21">
        <f t="shared" si="46"/>
        <v>1</v>
      </c>
      <c r="J261" s="635"/>
      <c r="K261" s="21">
        <f t="shared" si="47"/>
        <v>1</v>
      </c>
      <c r="L261" s="635"/>
      <c r="M261" s="21">
        <f t="shared" si="48"/>
        <v>0</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0</v>
      </c>
      <c r="F262" s="635"/>
      <c r="G262" s="21">
        <f t="shared" si="45"/>
        <v>0</v>
      </c>
      <c r="H262" s="635"/>
      <c r="I262" s="21">
        <f t="shared" si="46"/>
        <v>1</v>
      </c>
      <c r="J262" s="635"/>
      <c r="K262" s="21">
        <f t="shared" si="47"/>
        <v>1</v>
      </c>
      <c r="L262" s="635"/>
      <c r="M262" s="21">
        <f t="shared" si="48"/>
        <v>0</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0</v>
      </c>
      <c r="F263" s="635"/>
      <c r="G263" s="21">
        <f t="shared" si="45"/>
        <v>0</v>
      </c>
      <c r="H263" s="635"/>
      <c r="I263" s="21">
        <f t="shared" si="46"/>
        <v>1</v>
      </c>
      <c r="J263" s="635"/>
      <c r="K263" s="21">
        <f t="shared" si="47"/>
        <v>1</v>
      </c>
      <c r="L263" s="635"/>
      <c r="M263" s="21">
        <f t="shared" si="48"/>
        <v>0</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0</v>
      </c>
      <c r="F264" s="635"/>
      <c r="G264" s="21">
        <f t="shared" si="45"/>
        <v>0</v>
      </c>
      <c r="H264" s="635"/>
      <c r="I264" s="21">
        <f t="shared" si="46"/>
        <v>1</v>
      </c>
      <c r="J264" s="635"/>
      <c r="K264" s="21">
        <f t="shared" si="47"/>
        <v>1</v>
      </c>
      <c r="L264" s="635"/>
      <c r="M264" s="21">
        <f t="shared" si="48"/>
        <v>0</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0</v>
      </c>
      <c r="F265" s="635"/>
      <c r="G265" s="21">
        <f t="shared" si="45"/>
        <v>0</v>
      </c>
      <c r="H265" s="635"/>
      <c r="I265" s="21">
        <f t="shared" si="46"/>
        <v>1</v>
      </c>
      <c r="J265" s="635"/>
      <c r="K265" s="21">
        <f t="shared" si="47"/>
        <v>1</v>
      </c>
      <c r="L265" s="635"/>
      <c r="M265" s="21">
        <f t="shared" si="48"/>
        <v>0</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0</v>
      </c>
      <c r="F266" s="635"/>
      <c r="G266" s="21">
        <f t="shared" si="45"/>
        <v>0</v>
      </c>
      <c r="H266" s="635"/>
      <c r="I266" s="21">
        <f t="shared" si="46"/>
        <v>1</v>
      </c>
      <c r="J266" s="635"/>
      <c r="K266" s="21">
        <f t="shared" si="47"/>
        <v>1</v>
      </c>
      <c r="L266" s="635"/>
      <c r="M266" s="21">
        <f t="shared" si="48"/>
        <v>0</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0</v>
      </c>
      <c r="F267" s="635"/>
      <c r="G267" s="21">
        <f t="shared" si="45"/>
        <v>0</v>
      </c>
      <c r="H267" s="635"/>
      <c r="I267" s="21">
        <f t="shared" si="46"/>
        <v>1</v>
      </c>
      <c r="J267" s="635"/>
      <c r="K267" s="21">
        <f t="shared" si="47"/>
        <v>1</v>
      </c>
      <c r="L267" s="635"/>
      <c r="M267" s="21">
        <f t="shared" si="48"/>
        <v>0</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0</v>
      </c>
      <c r="F268" s="635"/>
      <c r="G268" s="21">
        <f t="shared" si="45"/>
        <v>0</v>
      </c>
      <c r="H268" s="635"/>
      <c r="I268" s="21">
        <f t="shared" si="46"/>
        <v>1</v>
      </c>
      <c r="J268" s="635"/>
      <c r="K268" s="21">
        <f t="shared" si="47"/>
        <v>1</v>
      </c>
      <c r="L268" s="635"/>
      <c r="M268" s="21">
        <f t="shared" si="48"/>
        <v>0</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0</v>
      </c>
      <c r="F269" s="635"/>
      <c r="G269" s="21">
        <f t="shared" si="45"/>
        <v>0</v>
      </c>
      <c r="H269" s="635"/>
      <c r="I269" s="21">
        <f t="shared" si="46"/>
        <v>1</v>
      </c>
      <c r="J269" s="635"/>
      <c r="K269" s="21">
        <f t="shared" si="47"/>
        <v>1</v>
      </c>
      <c r="L269" s="635"/>
      <c r="M269" s="21">
        <f t="shared" si="48"/>
        <v>0</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0</v>
      </c>
      <c r="F270" s="635"/>
      <c r="G270" s="21">
        <f t="shared" si="45"/>
        <v>0</v>
      </c>
      <c r="H270" s="635"/>
      <c r="I270" s="21">
        <f t="shared" si="46"/>
        <v>1</v>
      </c>
      <c r="J270" s="635"/>
      <c r="K270" s="21">
        <f t="shared" si="47"/>
        <v>1</v>
      </c>
      <c r="L270" s="635"/>
      <c r="M270" s="21">
        <f t="shared" si="48"/>
        <v>0</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0</v>
      </c>
      <c r="F271" s="635"/>
      <c r="G271" s="21">
        <f t="shared" si="45"/>
        <v>0</v>
      </c>
      <c r="H271" s="635"/>
      <c r="I271" s="21">
        <f t="shared" si="46"/>
        <v>1</v>
      </c>
      <c r="J271" s="635"/>
      <c r="K271" s="21">
        <f t="shared" si="47"/>
        <v>1</v>
      </c>
      <c r="L271" s="635"/>
      <c r="M271" s="21">
        <f t="shared" si="48"/>
        <v>0</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0</v>
      </c>
      <c r="F272" s="635"/>
      <c r="G272" s="21">
        <f t="shared" si="45"/>
        <v>0</v>
      </c>
      <c r="H272" s="635"/>
      <c r="I272" s="21">
        <f t="shared" si="46"/>
        <v>1</v>
      </c>
      <c r="J272" s="635"/>
      <c r="K272" s="21">
        <f t="shared" si="47"/>
        <v>1</v>
      </c>
      <c r="L272" s="635"/>
      <c r="M272" s="21">
        <f t="shared" si="48"/>
        <v>0</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0</v>
      </c>
      <c r="F273" s="635"/>
      <c r="G273" s="21">
        <f t="shared" si="45"/>
        <v>0</v>
      </c>
      <c r="H273" s="635"/>
      <c r="I273" s="21">
        <f t="shared" si="46"/>
        <v>1</v>
      </c>
      <c r="J273" s="635"/>
      <c r="K273" s="21">
        <f t="shared" si="47"/>
        <v>1</v>
      </c>
      <c r="L273" s="635"/>
      <c r="M273" s="21">
        <f t="shared" si="48"/>
        <v>0</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0</v>
      </c>
      <c r="F274" s="635"/>
      <c r="G274" s="21">
        <f t="shared" si="45"/>
        <v>0</v>
      </c>
      <c r="H274" s="635"/>
      <c r="I274" s="21">
        <f t="shared" si="46"/>
        <v>1</v>
      </c>
      <c r="J274" s="635"/>
      <c r="K274" s="21">
        <f t="shared" si="47"/>
        <v>1</v>
      </c>
      <c r="L274" s="635"/>
      <c r="M274" s="21">
        <f t="shared" si="48"/>
        <v>0</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0</v>
      </c>
      <c r="F275" s="635"/>
      <c r="G275" s="21">
        <f t="shared" si="45"/>
        <v>0</v>
      </c>
      <c r="H275" s="635"/>
      <c r="I275" s="21">
        <f t="shared" si="46"/>
        <v>1</v>
      </c>
      <c r="J275" s="635"/>
      <c r="K275" s="21">
        <f t="shared" si="47"/>
        <v>1</v>
      </c>
      <c r="L275" s="635"/>
      <c r="M275" s="21">
        <f t="shared" si="48"/>
        <v>0</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0</v>
      </c>
      <c r="F276" s="635"/>
      <c r="G276" s="21">
        <f t="shared" si="45"/>
        <v>0</v>
      </c>
      <c r="H276" s="635"/>
      <c r="I276" s="21">
        <f t="shared" si="46"/>
        <v>1</v>
      </c>
      <c r="J276" s="635"/>
      <c r="K276" s="21">
        <f t="shared" si="47"/>
        <v>1</v>
      </c>
      <c r="L276" s="635"/>
      <c r="M276" s="21">
        <f t="shared" si="48"/>
        <v>0</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0</v>
      </c>
      <c r="F277" s="635"/>
      <c r="G277" s="21">
        <f t="shared" si="45"/>
        <v>0</v>
      </c>
      <c r="H277" s="635"/>
      <c r="I277" s="21">
        <f t="shared" si="46"/>
        <v>1</v>
      </c>
      <c r="J277" s="635"/>
      <c r="K277" s="21">
        <f t="shared" si="47"/>
        <v>1</v>
      </c>
      <c r="L277" s="635"/>
      <c r="M277" s="21">
        <f t="shared" si="48"/>
        <v>0</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0</v>
      </c>
      <c r="F278" s="635"/>
      <c r="G278" s="21">
        <f t="shared" si="45"/>
        <v>0</v>
      </c>
      <c r="H278" s="635"/>
      <c r="I278" s="21">
        <f t="shared" si="46"/>
        <v>1</v>
      </c>
      <c r="J278" s="635"/>
      <c r="K278" s="21">
        <f t="shared" si="47"/>
        <v>1</v>
      </c>
      <c r="L278" s="635"/>
      <c r="M278" s="21">
        <f t="shared" si="48"/>
        <v>0</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0</v>
      </c>
      <c r="F279" s="635"/>
      <c r="G279" s="21">
        <f t="shared" si="45"/>
        <v>0</v>
      </c>
      <c r="H279" s="635"/>
      <c r="I279" s="21">
        <f t="shared" si="46"/>
        <v>1</v>
      </c>
      <c r="J279" s="635"/>
      <c r="K279" s="21">
        <f t="shared" si="47"/>
        <v>1</v>
      </c>
      <c r="L279" s="635"/>
      <c r="M279" s="21">
        <f t="shared" si="48"/>
        <v>0</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0</v>
      </c>
      <c r="F280" s="635"/>
      <c r="G280" s="21">
        <f t="shared" si="45"/>
        <v>0</v>
      </c>
      <c r="H280" s="635"/>
      <c r="I280" s="21">
        <f t="shared" si="46"/>
        <v>1</v>
      </c>
      <c r="J280" s="635"/>
      <c r="K280" s="21">
        <f t="shared" si="47"/>
        <v>1</v>
      </c>
      <c r="L280" s="635"/>
      <c r="M280" s="21">
        <f t="shared" si="48"/>
        <v>0</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0</v>
      </c>
      <c r="F281" s="635"/>
      <c r="G281" s="21">
        <f t="shared" si="45"/>
        <v>0</v>
      </c>
      <c r="H281" s="635"/>
      <c r="I281" s="21">
        <f t="shared" si="46"/>
        <v>1</v>
      </c>
      <c r="J281" s="635"/>
      <c r="K281" s="21">
        <f t="shared" si="47"/>
        <v>1</v>
      </c>
      <c r="L281" s="635"/>
      <c r="M281" s="21">
        <f t="shared" si="48"/>
        <v>0</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0</v>
      </c>
      <c r="F282" s="635"/>
      <c r="G282" s="21">
        <f t="shared" ref="G282:G345" si="55">(SUMIF($7:$7,F282,$8:$8)-SUMIF($7:$7,$F$24,$8:$8)+100)/100</f>
        <v>0</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0</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0</v>
      </c>
      <c r="F283" s="635"/>
      <c r="G283" s="21">
        <f t="shared" si="55"/>
        <v>0</v>
      </c>
      <c r="H283" s="635"/>
      <c r="I283" s="21">
        <f t="shared" si="56"/>
        <v>1</v>
      </c>
      <c r="J283" s="635"/>
      <c r="K283" s="21">
        <f t="shared" si="57"/>
        <v>1</v>
      </c>
      <c r="L283" s="635"/>
      <c r="M283" s="21">
        <f t="shared" si="58"/>
        <v>0</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0</v>
      </c>
      <c r="F284" s="635"/>
      <c r="G284" s="21">
        <f t="shared" si="55"/>
        <v>0</v>
      </c>
      <c r="H284" s="635"/>
      <c r="I284" s="21">
        <f t="shared" si="56"/>
        <v>1</v>
      </c>
      <c r="J284" s="635"/>
      <c r="K284" s="21">
        <f t="shared" si="57"/>
        <v>1</v>
      </c>
      <c r="L284" s="635"/>
      <c r="M284" s="21">
        <f t="shared" si="58"/>
        <v>0</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0</v>
      </c>
      <c r="F285" s="635"/>
      <c r="G285" s="21">
        <f t="shared" si="55"/>
        <v>0</v>
      </c>
      <c r="H285" s="635"/>
      <c r="I285" s="21">
        <f t="shared" si="56"/>
        <v>1</v>
      </c>
      <c r="J285" s="635"/>
      <c r="K285" s="21">
        <f t="shared" si="57"/>
        <v>1</v>
      </c>
      <c r="L285" s="635"/>
      <c r="M285" s="21">
        <f t="shared" si="58"/>
        <v>0</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0</v>
      </c>
      <c r="F286" s="635"/>
      <c r="G286" s="21">
        <f t="shared" si="55"/>
        <v>0</v>
      </c>
      <c r="H286" s="635"/>
      <c r="I286" s="21">
        <f t="shared" si="56"/>
        <v>1</v>
      </c>
      <c r="J286" s="635"/>
      <c r="K286" s="21">
        <f t="shared" si="57"/>
        <v>1</v>
      </c>
      <c r="L286" s="635"/>
      <c r="M286" s="21">
        <f t="shared" si="58"/>
        <v>0</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0</v>
      </c>
      <c r="F287" s="635"/>
      <c r="G287" s="21">
        <f t="shared" si="55"/>
        <v>0</v>
      </c>
      <c r="H287" s="635"/>
      <c r="I287" s="21">
        <f t="shared" si="56"/>
        <v>1</v>
      </c>
      <c r="J287" s="635"/>
      <c r="K287" s="21">
        <f t="shared" si="57"/>
        <v>1</v>
      </c>
      <c r="L287" s="635"/>
      <c r="M287" s="21">
        <f t="shared" si="58"/>
        <v>0</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0</v>
      </c>
      <c r="F288" s="635"/>
      <c r="G288" s="21">
        <f t="shared" si="55"/>
        <v>0</v>
      </c>
      <c r="H288" s="635"/>
      <c r="I288" s="21">
        <f t="shared" si="56"/>
        <v>1</v>
      </c>
      <c r="J288" s="635"/>
      <c r="K288" s="21">
        <f t="shared" si="57"/>
        <v>1</v>
      </c>
      <c r="L288" s="635"/>
      <c r="M288" s="21">
        <f t="shared" si="58"/>
        <v>0</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0</v>
      </c>
      <c r="F289" s="635"/>
      <c r="G289" s="21">
        <f t="shared" si="55"/>
        <v>0</v>
      </c>
      <c r="H289" s="635"/>
      <c r="I289" s="21">
        <f t="shared" si="56"/>
        <v>1</v>
      </c>
      <c r="J289" s="635"/>
      <c r="K289" s="21">
        <f t="shared" si="57"/>
        <v>1</v>
      </c>
      <c r="L289" s="635"/>
      <c r="M289" s="21">
        <f t="shared" si="58"/>
        <v>0</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0</v>
      </c>
      <c r="F290" s="635"/>
      <c r="G290" s="21">
        <f t="shared" si="55"/>
        <v>0</v>
      </c>
      <c r="H290" s="635"/>
      <c r="I290" s="21">
        <f t="shared" si="56"/>
        <v>1</v>
      </c>
      <c r="J290" s="635"/>
      <c r="K290" s="21">
        <f t="shared" si="57"/>
        <v>1</v>
      </c>
      <c r="L290" s="635"/>
      <c r="M290" s="21">
        <f t="shared" si="58"/>
        <v>0</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0</v>
      </c>
      <c r="F291" s="635"/>
      <c r="G291" s="21">
        <f t="shared" si="55"/>
        <v>0</v>
      </c>
      <c r="H291" s="635"/>
      <c r="I291" s="21">
        <f t="shared" si="56"/>
        <v>1</v>
      </c>
      <c r="J291" s="635"/>
      <c r="K291" s="21">
        <f t="shared" si="57"/>
        <v>1</v>
      </c>
      <c r="L291" s="635"/>
      <c r="M291" s="21">
        <f t="shared" si="58"/>
        <v>0</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0</v>
      </c>
      <c r="F292" s="635"/>
      <c r="G292" s="21">
        <f t="shared" si="55"/>
        <v>0</v>
      </c>
      <c r="H292" s="635"/>
      <c r="I292" s="21">
        <f t="shared" si="56"/>
        <v>1</v>
      </c>
      <c r="J292" s="635"/>
      <c r="K292" s="21">
        <f t="shared" si="57"/>
        <v>1</v>
      </c>
      <c r="L292" s="635"/>
      <c r="M292" s="21">
        <f t="shared" si="58"/>
        <v>0</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0</v>
      </c>
      <c r="F293" s="635"/>
      <c r="G293" s="21">
        <f t="shared" si="55"/>
        <v>0</v>
      </c>
      <c r="H293" s="635"/>
      <c r="I293" s="21">
        <f t="shared" si="56"/>
        <v>1</v>
      </c>
      <c r="J293" s="635"/>
      <c r="K293" s="21">
        <f t="shared" si="57"/>
        <v>1</v>
      </c>
      <c r="L293" s="635"/>
      <c r="M293" s="21">
        <f t="shared" si="58"/>
        <v>0</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0</v>
      </c>
      <c r="F294" s="635"/>
      <c r="G294" s="21">
        <f t="shared" si="55"/>
        <v>0</v>
      </c>
      <c r="H294" s="635"/>
      <c r="I294" s="21">
        <f t="shared" si="56"/>
        <v>1</v>
      </c>
      <c r="J294" s="635"/>
      <c r="K294" s="21">
        <f t="shared" si="57"/>
        <v>1</v>
      </c>
      <c r="L294" s="635"/>
      <c r="M294" s="21">
        <f t="shared" si="58"/>
        <v>0</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0</v>
      </c>
      <c r="F295" s="635"/>
      <c r="G295" s="21">
        <f t="shared" si="55"/>
        <v>0</v>
      </c>
      <c r="H295" s="635"/>
      <c r="I295" s="21">
        <f t="shared" si="56"/>
        <v>1</v>
      </c>
      <c r="J295" s="635"/>
      <c r="K295" s="21">
        <f t="shared" si="57"/>
        <v>1</v>
      </c>
      <c r="L295" s="635"/>
      <c r="M295" s="21">
        <f t="shared" si="58"/>
        <v>0</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0</v>
      </c>
      <c r="F296" s="635"/>
      <c r="G296" s="21">
        <f t="shared" si="55"/>
        <v>0</v>
      </c>
      <c r="H296" s="635"/>
      <c r="I296" s="21">
        <f t="shared" si="56"/>
        <v>1</v>
      </c>
      <c r="J296" s="635"/>
      <c r="K296" s="21">
        <f t="shared" si="57"/>
        <v>1</v>
      </c>
      <c r="L296" s="635"/>
      <c r="M296" s="21">
        <f t="shared" si="58"/>
        <v>0</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0</v>
      </c>
      <c r="F297" s="635"/>
      <c r="G297" s="21">
        <f t="shared" si="55"/>
        <v>0</v>
      </c>
      <c r="H297" s="635"/>
      <c r="I297" s="21">
        <f t="shared" si="56"/>
        <v>1</v>
      </c>
      <c r="J297" s="635"/>
      <c r="K297" s="21">
        <f t="shared" si="57"/>
        <v>1</v>
      </c>
      <c r="L297" s="635"/>
      <c r="M297" s="21">
        <f t="shared" si="58"/>
        <v>0</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0</v>
      </c>
      <c r="F298" s="635"/>
      <c r="G298" s="21">
        <f t="shared" si="55"/>
        <v>0</v>
      </c>
      <c r="H298" s="635"/>
      <c r="I298" s="21">
        <f t="shared" si="56"/>
        <v>1</v>
      </c>
      <c r="J298" s="635"/>
      <c r="K298" s="21">
        <f t="shared" si="57"/>
        <v>1</v>
      </c>
      <c r="L298" s="635"/>
      <c r="M298" s="21">
        <f t="shared" si="58"/>
        <v>0</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0</v>
      </c>
      <c r="F299" s="635"/>
      <c r="G299" s="21">
        <f t="shared" si="55"/>
        <v>0</v>
      </c>
      <c r="H299" s="635"/>
      <c r="I299" s="21">
        <f t="shared" si="56"/>
        <v>1</v>
      </c>
      <c r="J299" s="635"/>
      <c r="K299" s="21">
        <f t="shared" si="57"/>
        <v>1</v>
      </c>
      <c r="L299" s="635"/>
      <c r="M299" s="21">
        <f t="shared" si="58"/>
        <v>0</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0</v>
      </c>
      <c r="F300" s="635"/>
      <c r="G300" s="21">
        <f t="shared" si="55"/>
        <v>0</v>
      </c>
      <c r="H300" s="635"/>
      <c r="I300" s="21">
        <f t="shared" si="56"/>
        <v>1</v>
      </c>
      <c r="J300" s="635"/>
      <c r="K300" s="21">
        <f t="shared" si="57"/>
        <v>1</v>
      </c>
      <c r="L300" s="635"/>
      <c r="M300" s="21">
        <f t="shared" si="58"/>
        <v>0</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0</v>
      </c>
      <c r="F301" s="635"/>
      <c r="G301" s="21">
        <f t="shared" si="55"/>
        <v>0</v>
      </c>
      <c r="H301" s="635"/>
      <c r="I301" s="21">
        <f t="shared" si="56"/>
        <v>1</v>
      </c>
      <c r="J301" s="635"/>
      <c r="K301" s="21">
        <f t="shared" si="57"/>
        <v>1</v>
      </c>
      <c r="L301" s="635"/>
      <c r="M301" s="21">
        <f t="shared" si="58"/>
        <v>0</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0</v>
      </c>
      <c r="F302" s="635"/>
      <c r="G302" s="21">
        <f t="shared" si="55"/>
        <v>0</v>
      </c>
      <c r="H302" s="635"/>
      <c r="I302" s="21">
        <f t="shared" si="56"/>
        <v>1</v>
      </c>
      <c r="J302" s="635"/>
      <c r="K302" s="21">
        <f t="shared" si="57"/>
        <v>1</v>
      </c>
      <c r="L302" s="635"/>
      <c r="M302" s="21">
        <f t="shared" si="58"/>
        <v>0</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0</v>
      </c>
      <c r="F303" s="635"/>
      <c r="G303" s="21">
        <f t="shared" si="55"/>
        <v>0</v>
      </c>
      <c r="H303" s="635"/>
      <c r="I303" s="21">
        <f t="shared" si="56"/>
        <v>1</v>
      </c>
      <c r="J303" s="635"/>
      <c r="K303" s="21">
        <f t="shared" si="57"/>
        <v>1</v>
      </c>
      <c r="L303" s="635"/>
      <c r="M303" s="21">
        <f t="shared" si="58"/>
        <v>0</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0</v>
      </c>
      <c r="F304" s="635"/>
      <c r="G304" s="21">
        <f t="shared" si="55"/>
        <v>0</v>
      </c>
      <c r="H304" s="635"/>
      <c r="I304" s="21">
        <f t="shared" si="56"/>
        <v>1</v>
      </c>
      <c r="J304" s="635"/>
      <c r="K304" s="21">
        <f t="shared" si="57"/>
        <v>1</v>
      </c>
      <c r="L304" s="635"/>
      <c r="M304" s="21">
        <f t="shared" si="58"/>
        <v>0</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0</v>
      </c>
      <c r="F305" s="635"/>
      <c r="G305" s="21">
        <f t="shared" si="55"/>
        <v>0</v>
      </c>
      <c r="H305" s="635"/>
      <c r="I305" s="21">
        <f t="shared" si="56"/>
        <v>1</v>
      </c>
      <c r="J305" s="635"/>
      <c r="K305" s="21">
        <f t="shared" si="57"/>
        <v>1</v>
      </c>
      <c r="L305" s="635"/>
      <c r="M305" s="21">
        <f t="shared" si="58"/>
        <v>0</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0</v>
      </c>
      <c r="F306" s="635"/>
      <c r="G306" s="21">
        <f t="shared" si="55"/>
        <v>0</v>
      </c>
      <c r="H306" s="635"/>
      <c r="I306" s="21">
        <f t="shared" si="56"/>
        <v>1</v>
      </c>
      <c r="J306" s="635"/>
      <c r="K306" s="21">
        <f t="shared" si="57"/>
        <v>1</v>
      </c>
      <c r="L306" s="635"/>
      <c r="M306" s="21">
        <f t="shared" si="58"/>
        <v>0</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0</v>
      </c>
      <c r="F307" s="635"/>
      <c r="G307" s="21">
        <f t="shared" si="55"/>
        <v>0</v>
      </c>
      <c r="H307" s="635"/>
      <c r="I307" s="21">
        <f t="shared" si="56"/>
        <v>1</v>
      </c>
      <c r="J307" s="635"/>
      <c r="K307" s="21">
        <f t="shared" si="57"/>
        <v>1</v>
      </c>
      <c r="L307" s="635"/>
      <c r="M307" s="21">
        <f t="shared" si="58"/>
        <v>0</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0</v>
      </c>
      <c r="F308" s="635"/>
      <c r="G308" s="21">
        <f t="shared" si="55"/>
        <v>0</v>
      </c>
      <c r="H308" s="635"/>
      <c r="I308" s="21">
        <f t="shared" si="56"/>
        <v>1</v>
      </c>
      <c r="J308" s="635"/>
      <c r="K308" s="21">
        <f t="shared" si="57"/>
        <v>1</v>
      </c>
      <c r="L308" s="635"/>
      <c r="M308" s="21">
        <f t="shared" si="58"/>
        <v>0</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0</v>
      </c>
      <c r="F309" s="635"/>
      <c r="G309" s="21">
        <f t="shared" si="55"/>
        <v>0</v>
      </c>
      <c r="H309" s="635"/>
      <c r="I309" s="21">
        <f t="shared" si="56"/>
        <v>1</v>
      </c>
      <c r="J309" s="635"/>
      <c r="K309" s="21">
        <f t="shared" si="57"/>
        <v>1</v>
      </c>
      <c r="L309" s="635"/>
      <c r="M309" s="21">
        <f t="shared" si="58"/>
        <v>0</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0</v>
      </c>
      <c r="F310" s="635"/>
      <c r="G310" s="21">
        <f t="shared" si="55"/>
        <v>0</v>
      </c>
      <c r="H310" s="635"/>
      <c r="I310" s="21">
        <f t="shared" si="56"/>
        <v>1</v>
      </c>
      <c r="J310" s="635"/>
      <c r="K310" s="21">
        <f t="shared" si="57"/>
        <v>1</v>
      </c>
      <c r="L310" s="635"/>
      <c r="M310" s="21">
        <f t="shared" si="58"/>
        <v>0</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0</v>
      </c>
      <c r="F311" s="635"/>
      <c r="G311" s="21">
        <f t="shared" si="55"/>
        <v>0</v>
      </c>
      <c r="H311" s="635"/>
      <c r="I311" s="21">
        <f t="shared" si="56"/>
        <v>1</v>
      </c>
      <c r="J311" s="635"/>
      <c r="K311" s="21">
        <f t="shared" si="57"/>
        <v>1</v>
      </c>
      <c r="L311" s="635"/>
      <c r="M311" s="21">
        <f t="shared" si="58"/>
        <v>0</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0</v>
      </c>
      <c r="F312" s="635"/>
      <c r="G312" s="21">
        <f t="shared" si="55"/>
        <v>0</v>
      </c>
      <c r="H312" s="635"/>
      <c r="I312" s="21">
        <f t="shared" si="56"/>
        <v>1</v>
      </c>
      <c r="J312" s="635"/>
      <c r="K312" s="21">
        <f t="shared" si="57"/>
        <v>1</v>
      </c>
      <c r="L312" s="635"/>
      <c r="M312" s="21">
        <f t="shared" si="58"/>
        <v>0</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0</v>
      </c>
      <c r="F313" s="635"/>
      <c r="G313" s="21">
        <f t="shared" si="55"/>
        <v>0</v>
      </c>
      <c r="H313" s="635"/>
      <c r="I313" s="21">
        <f t="shared" si="56"/>
        <v>1</v>
      </c>
      <c r="J313" s="635"/>
      <c r="K313" s="21">
        <f t="shared" si="57"/>
        <v>1</v>
      </c>
      <c r="L313" s="635"/>
      <c r="M313" s="21">
        <f t="shared" si="58"/>
        <v>0</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0</v>
      </c>
      <c r="F314" s="635"/>
      <c r="G314" s="21">
        <f t="shared" si="55"/>
        <v>0</v>
      </c>
      <c r="H314" s="635"/>
      <c r="I314" s="21">
        <f t="shared" si="56"/>
        <v>1</v>
      </c>
      <c r="J314" s="635"/>
      <c r="K314" s="21">
        <f t="shared" si="57"/>
        <v>1</v>
      </c>
      <c r="L314" s="635"/>
      <c r="M314" s="21">
        <f t="shared" si="58"/>
        <v>0</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0</v>
      </c>
      <c r="F315" s="635"/>
      <c r="G315" s="21">
        <f t="shared" si="55"/>
        <v>0</v>
      </c>
      <c r="H315" s="635"/>
      <c r="I315" s="21">
        <f t="shared" si="56"/>
        <v>1</v>
      </c>
      <c r="J315" s="635"/>
      <c r="K315" s="21">
        <f t="shared" si="57"/>
        <v>1</v>
      </c>
      <c r="L315" s="635"/>
      <c r="M315" s="21">
        <f t="shared" si="58"/>
        <v>0</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0</v>
      </c>
      <c r="F316" s="635"/>
      <c r="G316" s="21">
        <f t="shared" si="55"/>
        <v>0</v>
      </c>
      <c r="H316" s="635"/>
      <c r="I316" s="21">
        <f t="shared" si="56"/>
        <v>1</v>
      </c>
      <c r="J316" s="635"/>
      <c r="K316" s="21">
        <f t="shared" si="57"/>
        <v>1</v>
      </c>
      <c r="L316" s="635"/>
      <c r="M316" s="21">
        <f t="shared" si="58"/>
        <v>0</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0</v>
      </c>
      <c r="F317" s="635"/>
      <c r="G317" s="21">
        <f t="shared" si="55"/>
        <v>0</v>
      </c>
      <c r="H317" s="635"/>
      <c r="I317" s="21">
        <f t="shared" si="56"/>
        <v>1</v>
      </c>
      <c r="J317" s="635"/>
      <c r="K317" s="21">
        <f t="shared" si="57"/>
        <v>1</v>
      </c>
      <c r="L317" s="635"/>
      <c r="M317" s="21">
        <f t="shared" si="58"/>
        <v>0</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0</v>
      </c>
      <c r="F318" s="635"/>
      <c r="G318" s="21">
        <f t="shared" si="55"/>
        <v>0</v>
      </c>
      <c r="H318" s="635"/>
      <c r="I318" s="21">
        <f t="shared" si="56"/>
        <v>1</v>
      </c>
      <c r="J318" s="635"/>
      <c r="K318" s="21">
        <f t="shared" si="57"/>
        <v>1</v>
      </c>
      <c r="L318" s="635"/>
      <c r="M318" s="21">
        <f t="shared" si="58"/>
        <v>0</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0</v>
      </c>
      <c r="F319" s="635"/>
      <c r="G319" s="21">
        <f t="shared" si="55"/>
        <v>0</v>
      </c>
      <c r="H319" s="635"/>
      <c r="I319" s="21">
        <f t="shared" si="56"/>
        <v>1</v>
      </c>
      <c r="J319" s="635"/>
      <c r="K319" s="21">
        <f t="shared" si="57"/>
        <v>1</v>
      </c>
      <c r="L319" s="635"/>
      <c r="M319" s="21">
        <f t="shared" si="58"/>
        <v>0</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0</v>
      </c>
      <c r="F320" s="635"/>
      <c r="G320" s="21">
        <f t="shared" si="55"/>
        <v>0</v>
      </c>
      <c r="H320" s="635"/>
      <c r="I320" s="21">
        <f t="shared" si="56"/>
        <v>1</v>
      </c>
      <c r="J320" s="635"/>
      <c r="K320" s="21">
        <f t="shared" si="57"/>
        <v>1</v>
      </c>
      <c r="L320" s="635"/>
      <c r="M320" s="21">
        <f t="shared" si="58"/>
        <v>0</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0</v>
      </c>
      <c r="F321" s="635"/>
      <c r="G321" s="21">
        <f t="shared" si="55"/>
        <v>0</v>
      </c>
      <c r="H321" s="635"/>
      <c r="I321" s="21">
        <f t="shared" si="56"/>
        <v>1</v>
      </c>
      <c r="J321" s="635"/>
      <c r="K321" s="21">
        <f t="shared" si="57"/>
        <v>1</v>
      </c>
      <c r="L321" s="635"/>
      <c r="M321" s="21">
        <f t="shared" si="58"/>
        <v>0</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0</v>
      </c>
      <c r="F322" s="635"/>
      <c r="G322" s="21">
        <f t="shared" si="55"/>
        <v>0</v>
      </c>
      <c r="H322" s="635"/>
      <c r="I322" s="21">
        <f t="shared" si="56"/>
        <v>1</v>
      </c>
      <c r="J322" s="635"/>
      <c r="K322" s="21">
        <f t="shared" si="57"/>
        <v>1</v>
      </c>
      <c r="L322" s="635"/>
      <c r="M322" s="21">
        <f t="shared" si="58"/>
        <v>0</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0</v>
      </c>
      <c r="F323" s="635"/>
      <c r="G323" s="21">
        <f t="shared" si="55"/>
        <v>0</v>
      </c>
      <c r="H323" s="635"/>
      <c r="I323" s="21">
        <f t="shared" si="56"/>
        <v>1</v>
      </c>
      <c r="J323" s="635"/>
      <c r="K323" s="21">
        <f t="shared" si="57"/>
        <v>1</v>
      </c>
      <c r="L323" s="635"/>
      <c r="M323" s="21">
        <f t="shared" si="58"/>
        <v>0</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0</v>
      </c>
      <c r="F324" s="635"/>
      <c r="G324" s="21">
        <f t="shared" si="55"/>
        <v>0</v>
      </c>
      <c r="H324" s="635"/>
      <c r="I324" s="21">
        <f t="shared" si="56"/>
        <v>1</v>
      </c>
      <c r="J324" s="635"/>
      <c r="K324" s="21">
        <f t="shared" si="57"/>
        <v>1</v>
      </c>
      <c r="L324" s="635"/>
      <c r="M324" s="21">
        <f t="shared" si="58"/>
        <v>0</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0</v>
      </c>
      <c r="F325" s="635"/>
      <c r="G325" s="21">
        <f t="shared" si="55"/>
        <v>0</v>
      </c>
      <c r="H325" s="635"/>
      <c r="I325" s="21">
        <f t="shared" si="56"/>
        <v>1</v>
      </c>
      <c r="J325" s="635"/>
      <c r="K325" s="21">
        <f t="shared" si="57"/>
        <v>1</v>
      </c>
      <c r="L325" s="635"/>
      <c r="M325" s="21">
        <f t="shared" si="58"/>
        <v>0</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0</v>
      </c>
      <c r="F326" s="635"/>
      <c r="G326" s="21">
        <f t="shared" si="55"/>
        <v>0</v>
      </c>
      <c r="H326" s="635"/>
      <c r="I326" s="21">
        <f t="shared" si="56"/>
        <v>1</v>
      </c>
      <c r="J326" s="635"/>
      <c r="K326" s="21">
        <f t="shared" si="57"/>
        <v>1</v>
      </c>
      <c r="L326" s="635"/>
      <c r="M326" s="21">
        <f t="shared" si="58"/>
        <v>0</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0</v>
      </c>
      <c r="F327" s="635"/>
      <c r="G327" s="21">
        <f t="shared" si="55"/>
        <v>0</v>
      </c>
      <c r="H327" s="635"/>
      <c r="I327" s="21">
        <f t="shared" si="56"/>
        <v>1</v>
      </c>
      <c r="J327" s="635"/>
      <c r="K327" s="21">
        <f t="shared" si="57"/>
        <v>1</v>
      </c>
      <c r="L327" s="635"/>
      <c r="M327" s="21">
        <f t="shared" si="58"/>
        <v>0</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0</v>
      </c>
      <c r="F328" s="635"/>
      <c r="G328" s="21">
        <f t="shared" si="55"/>
        <v>0</v>
      </c>
      <c r="H328" s="635"/>
      <c r="I328" s="21">
        <f t="shared" si="56"/>
        <v>1</v>
      </c>
      <c r="J328" s="635"/>
      <c r="K328" s="21">
        <f t="shared" si="57"/>
        <v>1</v>
      </c>
      <c r="L328" s="635"/>
      <c r="M328" s="21">
        <f t="shared" si="58"/>
        <v>0</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0</v>
      </c>
      <c r="F329" s="635"/>
      <c r="G329" s="21">
        <f t="shared" si="55"/>
        <v>0</v>
      </c>
      <c r="H329" s="635"/>
      <c r="I329" s="21">
        <f t="shared" si="56"/>
        <v>1</v>
      </c>
      <c r="J329" s="635"/>
      <c r="K329" s="21">
        <f t="shared" si="57"/>
        <v>1</v>
      </c>
      <c r="L329" s="635"/>
      <c r="M329" s="21">
        <f t="shared" si="58"/>
        <v>0</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0</v>
      </c>
      <c r="F330" s="635"/>
      <c r="G330" s="21">
        <f t="shared" si="55"/>
        <v>0</v>
      </c>
      <c r="H330" s="635"/>
      <c r="I330" s="21">
        <f t="shared" si="56"/>
        <v>1</v>
      </c>
      <c r="J330" s="635"/>
      <c r="K330" s="21">
        <f t="shared" si="57"/>
        <v>1</v>
      </c>
      <c r="L330" s="635"/>
      <c r="M330" s="21">
        <f t="shared" si="58"/>
        <v>0</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0</v>
      </c>
      <c r="F331" s="635"/>
      <c r="G331" s="21">
        <f t="shared" si="55"/>
        <v>0</v>
      </c>
      <c r="H331" s="635"/>
      <c r="I331" s="21">
        <f t="shared" si="56"/>
        <v>1</v>
      </c>
      <c r="J331" s="635"/>
      <c r="K331" s="21">
        <f t="shared" si="57"/>
        <v>1</v>
      </c>
      <c r="L331" s="635"/>
      <c r="M331" s="21">
        <f t="shared" si="58"/>
        <v>0</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0</v>
      </c>
      <c r="F332" s="635"/>
      <c r="G332" s="21">
        <f t="shared" si="55"/>
        <v>0</v>
      </c>
      <c r="H332" s="635"/>
      <c r="I332" s="21">
        <f t="shared" si="56"/>
        <v>1</v>
      </c>
      <c r="J332" s="635"/>
      <c r="K332" s="21">
        <f t="shared" si="57"/>
        <v>1</v>
      </c>
      <c r="L332" s="635"/>
      <c r="M332" s="21">
        <f t="shared" si="58"/>
        <v>0</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0</v>
      </c>
      <c r="F333" s="635"/>
      <c r="G333" s="21">
        <f t="shared" si="55"/>
        <v>0</v>
      </c>
      <c r="H333" s="635"/>
      <c r="I333" s="21">
        <f t="shared" si="56"/>
        <v>1</v>
      </c>
      <c r="J333" s="635"/>
      <c r="K333" s="21">
        <f t="shared" si="57"/>
        <v>1</v>
      </c>
      <c r="L333" s="635"/>
      <c r="M333" s="21">
        <f t="shared" si="58"/>
        <v>0</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0</v>
      </c>
      <c r="F334" s="635"/>
      <c r="G334" s="21">
        <f t="shared" si="55"/>
        <v>0</v>
      </c>
      <c r="H334" s="635"/>
      <c r="I334" s="21">
        <f t="shared" si="56"/>
        <v>1</v>
      </c>
      <c r="J334" s="635"/>
      <c r="K334" s="21">
        <f t="shared" si="57"/>
        <v>1</v>
      </c>
      <c r="L334" s="635"/>
      <c r="M334" s="21">
        <f t="shared" si="58"/>
        <v>0</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0</v>
      </c>
      <c r="F335" s="635"/>
      <c r="G335" s="21">
        <f t="shared" si="55"/>
        <v>0</v>
      </c>
      <c r="H335" s="635"/>
      <c r="I335" s="21">
        <f t="shared" si="56"/>
        <v>1</v>
      </c>
      <c r="J335" s="635"/>
      <c r="K335" s="21">
        <f t="shared" si="57"/>
        <v>1</v>
      </c>
      <c r="L335" s="635"/>
      <c r="M335" s="21">
        <f t="shared" si="58"/>
        <v>0</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0</v>
      </c>
      <c r="F336" s="635"/>
      <c r="G336" s="21">
        <f t="shared" si="55"/>
        <v>0</v>
      </c>
      <c r="H336" s="635"/>
      <c r="I336" s="21">
        <f t="shared" si="56"/>
        <v>1</v>
      </c>
      <c r="J336" s="635"/>
      <c r="K336" s="21">
        <f t="shared" si="57"/>
        <v>1</v>
      </c>
      <c r="L336" s="635"/>
      <c r="M336" s="21">
        <f t="shared" si="58"/>
        <v>0</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0</v>
      </c>
      <c r="F337" s="635"/>
      <c r="G337" s="21">
        <f t="shared" si="55"/>
        <v>0</v>
      </c>
      <c r="H337" s="635"/>
      <c r="I337" s="21">
        <f t="shared" si="56"/>
        <v>1</v>
      </c>
      <c r="J337" s="635"/>
      <c r="K337" s="21">
        <f t="shared" si="57"/>
        <v>1</v>
      </c>
      <c r="L337" s="635"/>
      <c r="M337" s="21">
        <f t="shared" si="58"/>
        <v>0</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0</v>
      </c>
      <c r="F338" s="635"/>
      <c r="G338" s="21">
        <f t="shared" si="55"/>
        <v>0</v>
      </c>
      <c r="H338" s="635"/>
      <c r="I338" s="21">
        <f t="shared" si="56"/>
        <v>1</v>
      </c>
      <c r="J338" s="635"/>
      <c r="K338" s="21">
        <f t="shared" si="57"/>
        <v>1</v>
      </c>
      <c r="L338" s="635"/>
      <c r="M338" s="21">
        <f t="shared" si="58"/>
        <v>0</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0</v>
      </c>
      <c r="F339" s="635"/>
      <c r="G339" s="21">
        <f t="shared" si="55"/>
        <v>0</v>
      </c>
      <c r="H339" s="635"/>
      <c r="I339" s="21">
        <f t="shared" si="56"/>
        <v>1</v>
      </c>
      <c r="J339" s="635"/>
      <c r="K339" s="21">
        <f t="shared" si="57"/>
        <v>1</v>
      </c>
      <c r="L339" s="635"/>
      <c r="M339" s="21">
        <f t="shared" si="58"/>
        <v>0</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0</v>
      </c>
      <c r="F340" s="635"/>
      <c r="G340" s="21">
        <f t="shared" si="55"/>
        <v>0</v>
      </c>
      <c r="H340" s="635"/>
      <c r="I340" s="21">
        <f t="shared" si="56"/>
        <v>1</v>
      </c>
      <c r="J340" s="635"/>
      <c r="K340" s="21">
        <f t="shared" si="57"/>
        <v>1</v>
      </c>
      <c r="L340" s="635"/>
      <c r="M340" s="21">
        <f t="shared" si="58"/>
        <v>0</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0</v>
      </c>
      <c r="F341" s="635"/>
      <c r="G341" s="21">
        <f t="shared" si="55"/>
        <v>0</v>
      </c>
      <c r="H341" s="635"/>
      <c r="I341" s="21">
        <f t="shared" si="56"/>
        <v>1</v>
      </c>
      <c r="J341" s="635"/>
      <c r="K341" s="21">
        <f t="shared" si="57"/>
        <v>1</v>
      </c>
      <c r="L341" s="635"/>
      <c r="M341" s="21">
        <f t="shared" si="58"/>
        <v>0</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0</v>
      </c>
      <c r="F342" s="635"/>
      <c r="G342" s="21">
        <f t="shared" si="55"/>
        <v>0</v>
      </c>
      <c r="H342" s="635"/>
      <c r="I342" s="21">
        <f t="shared" si="56"/>
        <v>1</v>
      </c>
      <c r="J342" s="635"/>
      <c r="K342" s="21">
        <f t="shared" si="57"/>
        <v>1</v>
      </c>
      <c r="L342" s="635"/>
      <c r="M342" s="21">
        <f t="shared" si="58"/>
        <v>0</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0</v>
      </c>
      <c r="F343" s="635"/>
      <c r="G343" s="21">
        <f t="shared" si="55"/>
        <v>0</v>
      </c>
      <c r="H343" s="635"/>
      <c r="I343" s="21">
        <f t="shared" si="56"/>
        <v>1</v>
      </c>
      <c r="J343" s="635"/>
      <c r="K343" s="21">
        <f t="shared" si="57"/>
        <v>1</v>
      </c>
      <c r="L343" s="635"/>
      <c r="M343" s="21">
        <f t="shared" si="58"/>
        <v>0</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0</v>
      </c>
      <c r="F344" s="635"/>
      <c r="G344" s="21">
        <f t="shared" si="55"/>
        <v>0</v>
      </c>
      <c r="H344" s="635"/>
      <c r="I344" s="21">
        <f t="shared" si="56"/>
        <v>1</v>
      </c>
      <c r="J344" s="635"/>
      <c r="K344" s="21">
        <f t="shared" si="57"/>
        <v>1</v>
      </c>
      <c r="L344" s="635"/>
      <c r="M344" s="21">
        <f t="shared" si="58"/>
        <v>0</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0</v>
      </c>
      <c r="F345" s="635"/>
      <c r="G345" s="21">
        <f t="shared" si="55"/>
        <v>0</v>
      </c>
      <c r="H345" s="635"/>
      <c r="I345" s="21">
        <f t="shared" si="56"/>
        <v>1</v>
      </c>
      <c r="J345" s="635"/>
      <c r="K345" s="21">
        <f t="shared" si="57"/>
        <v>1</v>
      </c>
      <c r="L345" s="635"/>
      <c r="M345" s="21">
        <f t="shared" si="58"/>
        <v>0</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0</v>
      </c>
      <c r="F346" s="635"/>
      <c r="G346" s="21">
        <f t="shared" ref="G346:G409" si="66">(SUMIF($7:$7,F346,$8:$8)-SUMIF($7:$7,$F$24,$8:$8)+100)/100</f>
        <v>0</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0</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0</v>
      </c>
      <c r="F347" s="635"/>
      <c r="G347" s="21">
        <f t="shared" si="66"/>
        <v>0</v>
      </c>
      <c r="H347" s="635"/>
      <c r="I347" s="21">
        <f t="shared" si="67"/>
        <v>1</v>
      </c>
      <c r="J347" s="635"/>
      <c r="K347" s="21">
        <f t="shared" si="68"/>
        <v>1</v>
      </c>
      <c r="L347" s="635"/>
      <c r="M347" s="21">
        <f t="shared" si="69"/>
        <v>0</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0</v>
      </c>
      <c r="F348" s="635"/>
      <c r="G348" s="21">
        <f t="shared" si="66"/>
        <v>0</v>
      </c>
      <c r="H348" s="635"/>
      <c r="I348" s="21">
        <f t="shared" si="67"/>
        <v>1</v>
      </c>
      <c r="J348" s="635"/>
      <c r="K348" s="21">
        <f t="shared" si="68"/>
        <v>1</v>
      </c>
      <c r="L348" s="635"/>
      <c r="M348" s="21">
        <f t="shared" si="69"/>
        <v>0</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0</v>
      </c>
      <c r="F349" s="635"/>
      <c r="G349" s="21">
        <f t="shared" si="66"/>
        <v>0</v>
      </c>
      <c r="H349" s="635"/>
      <c r="I349" s="21">
        <f t="shared" si="67"/>
        <v>1</v>
      </c>
      <c r="J349" s="635"/>
      <c r="K349" s="21">
        <f t="shared" si="68"/>
        <v>1</v>
      </c>
      <c r="L349" s="635"/>
      <c r="M349" s="21">
        <f t="shared" si="69"/>
        <v>0</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0</v>
      </c>
      <c r="F350" s="635"/>
      <c r="G350" s="21">
        <f t="shared" si="66"/>
        <v>0</v>
      </c>
      <c r="H350" s="635"/>
      <c r="I350" s="21">
        <f t="shared" si="67"/>
        <v>1</v>
      </c>
      <c r="J350" s="635"/>
      <c r="K350" s="21">
        <f t="shared" si="68"/>
        <v>1</v>
      </c>
      <c r="L350" s="635"/>
      <c r="M350" s="21">
        <f t="shared" si="69"/>
        <v>0</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0</v>
      </c>
      <c r="F351" s="635"/>
      <c r="G351" s="21">
        <f t="shared" si="66"/>
        <v>0</v>
      </c>
      <c r="H351" s="635"/>
      <c r="I351" s="21">
        <f t="shared" si="67"/>
        <v>1</v>
      </c>
      <c r="J351" s="635"/>
      <c r="K351" s="21">
        <f t="shared" si="68"/>
        <v>1</v>
      </c>
      <c r="L351" s="635"/>
      <c r="M351" s="21">
        <f t="shared" si="69"/>
        <v>0</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0</v>
      </c>
      <c r="F352" s="635"/>
      <c r="G352" s="21">
        <f t="shared" si="66"/>
        <v>0</v>
      </c>
      <c r="H352" s="635"/>
      <c r="I352" s="21">
        <f t="shared" si="67"/>
        <v>1</v>
      </c>
      <c r="J352" s="635"/>
      <c r="K352" s="21">
        <f t="shared" si="68"/>
        <v>1</v>
      </c>
      <c r="L352" s="635"/>
      <c r="M352" s="21">
        <f t="shared" si="69"/>
        <v>0</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0</v>
      </c>
      <c r="F353" s="635"/>
      <c r="G353" s="21">
        <f t="shared" si="66"/>
        <v>0</v>
      </c>
      <c r="H353" s="635"/>
      <c r="I353" s="21">
        <f t="shared" si="67"/>
        <v>1</v>
      </c>
      <c r="J353" s="635"/>
      <c r="K353" s="21">
        <f t="shared" si="68"/>
        <v>1</v>
      </c>
      <c r="L353" s="635"/>
      <c r="M353" s="21">
        <f t="shared" si="69"/>
        <v>0</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0</v>
      </c>
      <c r="F354" s="635"/>
      <c r="G354" s="21">
        <f t="shared" si="66"/>
        <v>0</v>
      </c>
      <c r="H354" s="635"/>
      <c r="I354" s="21">
        <f t="shared" si="67"/>
        <v>1</v>
      </c>
      <c r="J354" s="635"/>
      <c r="K354" s="21">
        <f t="shared" si="68"/>
        <v>1</v>
      </c>
      <c r="L354" s="635"/>
      <c r="M354" s="21">
        <f t="shared" si="69"/>
        <v>0</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0</v>
      </c>
      <c r="F355" s="635"/>
      <c r="G355" s="21">
        <f t="shared" si="66"/>
        <v>0</v>
      </c>
      <c r="H355" s="635"/>
      <c r="I355" s="21">
        <f t="shared" si="67"/>
        <v>1</v>
      </c>
      <c r="J355" s="635"/>
      <c r="K355" s="21">
        <f t="shared" si="68"/>
        <v>1</v>
      </c>
      <c r="L355" s="635"/>
      <c r="M355" s="21">
        <f t="shared" si="69"/>
        <v>0</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0</v>
      </c>
      <c r="F356" s="635"/>
      <c r="G356" s="21">
        <f t="shared" si="66"/>
        <v>0</v>
      </c>
      <c r="H356" s="635"/>
      <c r="I356" s="21">
        <f t="shared" si="67"/>
        <v>1</v>
      </c>
      <c r="J356" s="635"/>
      <c r="K356" s="21">
        <f t="shared" si="68"/>
        <v>1</v>
      </c>
      <c r="L356" s="635"/>
      <c r="M356" s="21">
        <f t="shared" si="69"/>
        <v>0</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0</v>
      </c>
      <c r="F357" s="635"/>
      <c r="G357" s="21">
        <f t="shared" si="66"/>
        <v>0</v>
      </c>
      <c r="H357" s="635"/>
      <c r="I357" s="21">
        <f t="shared" si="67"/>
        <v>1</v>
      </c>
      <c r="J357" s="635"/>
      <c r="K357" s="21">
        <f t="shared" si="68"/>
        <v>1</v>
      </c>
      <c r="L357" s="635"/>
      <c r="M357" s="21">
        <f t="shared" si="69"/>
        <v>0</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0</v>
      </c>
      <c r="F358" s="635"/>
      <c r="G358" s="21">
        <f t="shared" si="66"/>
        <v>0</v>
      </c>
      <c r="H358" s="635"/>
      <c r="I358" s="21">
        <f t="shared" si="67"/>
        <v>1</v>
      </c>
      <c r="J358" s="635"/>
      <c r="K358" s="21">
        <f t="shared" si="68"/>
        <v>1</v>
      </c>
      <c r="L358" s="635"/>
      <c r="M358" s="21">
        <f t="shared" si="69"/>
        <v>0</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0</v>
      </c>
      <c r="F359" s="635"/>
      <c r="G359" s="21">
        <f t="shared" si="66"/>
        <v>0</v>
      </c>
      <c r="H359" s="635"/>
      <c r="I359" s="21">
        <f t="shared" si="67"/>
        <v>1</v>
      </c>
      <c r="J359" s="635"/>
      <c r="K359" s="21">
        <f t="shared" si="68"/>
        <v>1</v>
      </c>
      <c r="L359" s="635"/>
      <c r="M359" s="21">
        <f t="shared" si="69"/>
        <v>0</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0</v>
      </c>
      <c r="F360" s="635"/>
      <c r="G360" s="21">
        <f t="shared" si="66"/>
        <v>0</v>
      </c>
      <c r="H360" s="635"/>
      <c r="I360" s="21">
        <f t="shared" si="67"/>
        <v>1</v>
      </c>
      <c r="J360" s="635"/>
      <c r="K360" s="21">
        <f t="shared" si="68"/>
        <v>1</v>
      </c>
      <c r="L360" s="635"/>
      <c r="M360" s="21">
        <f t="shared" si="69"/>
        <v>0</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0</v>
      </c>
      <c r="F361" s="635"/>
      <c r="G361" s="21">
        <f t="shared" si="66"/>
        <v>0</v>
      </c>
      <c r="H361" s="635"/>
      <c r="I361" s="21">
        <f t="shared" si="67"/>
        <v>1</v>
      </c>
      <c r="J361" s="635"/>
      <c r="K361" s="21">
        <f t="shared" si="68"/>
        <v>1</v>
      </c>
      <c r="L361" s="635"/>
      <c r="M361" s="21">
        <f t="shared" si="69"/>
        <v>0</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0</v>
      </c>
      <c r="F362" s="635"/>
      <c r="G362" s="21">
        <f t="shared" si="66"/>
        <v>0</v>
      </c>
      <c r="H362" s="635"/>
      <c r="I362" s="21">
        <f t="shared" si="67"/>
        <v>1</v>
      </c>
      <c r="J362" s="635"/>
      <c r="K362" s="21">
        <f t="shared" si="68"/>
        <v>1</v>
      </c>
      <c r="L362" s="635"/>
      <c r="M362" s="21">
        <f t="shared" si="69"/>
        <v>0</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0</v>
      </c>
      <c r="F363" s="635"/>
      <c r="G363" s="21">
        <f t="shared" si="66"/>
        <v>0</v>
      </c>
      <c r="H363" s="635"/>
      <c r="I363" s="21">
        <f t="shared" si="67"/>
        <v>1</v>
      </c>
      <c r="J363" s="635"/>
      <c r="K363" s="21">
        <f t="shared" si="68"/>
        <v>1</v>
      </c>
      <c r="L363" s="635"/>
      <c r="M363" s="21">
        <f t="shared" si="69"/>
        <v>0</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0</v>
      </c>
      <c r="F364" s="635"/>
      <c r="G364" s="21">
        <f t="shared" si="66"/>
        <v>0</v>
      </c>
      <c r="H364" s="635"/>
      <c r="I364" s="21">
        <f t="shared" si="67"/>
        <v>1</v>
      </c>
      <c r="J364" s="635"/>
      <c r="K364" s="21">
        <f t="shared" si="68"/>
        <v>1</v>
      </c>
      <c r="L364" s="635"/>
      <c r="M364" s="21">
        <f t="shared" si="69"/>
        <v>0</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0</v>
      </c>
      <c r="F365" s="635"/>
      <c r="G365" s="21">
        <f t="shared" si="66"/>
        <v>0</v>
      </c>
      <c r="H365" s="635"/>
      <c r="I365" s="21">
        <f t="shared" si="67"/>
        <v>1</v>
      </c>
      <c r="J365" s="635"/>
      <c r="K365" s="21">
        <f t="shared" si="68"/>
        <v>1</v>
      </c>
      <c r="L365" s="635"/>
      <c r="M365" s="21">
        <f t="shared" si="69"/>
        <v>0</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0</v>
      </c>
      <c r="F366" s="635"/>
      <c r="G366" s="21">
        <f t="shared" si="66"/>
        <v>0</v>
      </c>
      <c r="H366" s="635"/>
      <c r="I366" s="21">
        <f t="shared" si="67"/>
        <v>1</v>
      </c>
      <c r="J366" s="635"/>
      <c r="K366" s="21">
        <f t="shared" si="68"/>
        <v>1</v>
      </c>
      <c r="L366" s="635"/>
      <c r="M366" s="21">
        <f t="shared" si="69"/>
        <v>0</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0</v>
      </c>
      <c r="F367" s="635"/>
      <c r="G367" s="21">
        <f t="shared" si="66"/>
        <v>0</v>
      </c>
      <c r="H367" s="635"/>
      <c r="I367" s="21">
        <f t="shared" si="67"/>
        <v>1</v>
      </c>
      <c r="J367" s="635"/>
      <c r="K367" s="21">
        <f t="shared" si="68"/>
        <v>1</v>
      </c>
      <c r="L367" s="635"/>
      <c r="M367" s="21">
        <f t="shared" si="69"/>
        <v>0</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0</v>
      </c>
      <c r="F368" s="635"/>
      <c r="G368" s="21">
        <f t="shared" si="66"/>
        <v>0</v>
      </c>
      <c r="H368" s="635"/>
      <c r="I368" s="21">
        <f t="shared" si="67"/>
        <v>1</v>
      </c>
      <c r="J368" s="635"/>
      <c r="K368" s="21">
        <f t="shared" si="68"/>
        <v>1</v>
      </c>
      <c r="L368" s="635"/>
      <c r="M368" s="21">
        <f t="shared" si="69"/>
        <v>0</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0</v>
      </c>
      <c r="F369" s="635"/>
      <c r="G369" s="21">
        <f t="shared" si="66"/>
        <v>0</v>
      </c>
      <c r="H369" s="635"/>
      <c r="I369" s="21">
        <f t="shared" si="67"/>
        <v>1</v>
      </c>
      <c r="J369" s="635"/>
      <c r="K369" s="21">
        <f t="shared" si="68"/>
        <v>1</v>
      </c>
      <c r="L369" s="635"/>
      <c r="M369" s="21">
        <f t="shared" si="69"/>
        <v>0</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0</v>
      </c>
      <c r="F370" s="635"/>
      <c r="G370" s="21">
        <f t="shared" si="66"/>
        <v>0</v>
      </c>
      <c r="H370" s="635"/>
      <c r="I370" s="21">
        <f t="shared" si="67"/>
        <v>1</v>
      </c>
      <c r="J370" s="635"/>
      <c r="K370" s="21">
        <f t="shared" si="68"/>
        <v>1</v>
      </c>
      <c r="L370" s="635"/>
      <c r="M370" s="21">
        <f t="shared" si="69"/>
        <v>0</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0</v>
      </c>
      <c r="F371" s="635"/>
      <c r="G371" s="21">
        <f t="shared" si="66"/>
        <v>0</v>
      </c>
      <c r="H371" s="635"/>
      <c r="I371" s="21">
        <f t="shared" si="67"/>
        <v>1</v>
      </c>
      <c r="J371" s="635"/>
      <c r="K371" s="21">
        <f t="shared" si="68"/>
        <v>1</v>
      </c>
      <c r="L371" s="635"/>
      <c r="M371" s="21">
        <f t="shared" si="69"/>
        <v>0</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0</v>
      </c>
      <c r="F372" s="635"/>
      <c r="G372" s="21">
        <f t="shared" si="66"/>
        <v>0</v>
      </c>
      <c r="H372" s="635"/>
      <c r="I372" s="21">
        <f t="shared" si="67"/>
        <v>1</v>
      </c>
      <c r="J372" s="635"/>
      <c r="K372" s="21">
        <f t="shared" si="68"/>
        <v>1</v>
      </c>
      <c r="L372" s="635"/>
      <c r="M372" s="21">
        <f t="shared" si="69"/>
        <v>0</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0</v>
      </c>
      <c r="F373" s="635"/>
      <c r="G373" s="21">
        <f t="shared" si="66"/>
        <v>0</v>
      </c>
      <c r="H373" s="635"/>
      <c r="I373" s="21">
        <f t="shared" si="67"/>
        <v>1</v>
      </c>
      <c r="J373" s="635"/>
      <c r="K373" s="21">
        <f t="shared" si="68"/>
        <v>1</v>
      </c>
      <c r="L373" s="635"/>
      <c r="M373" s="21">
        <f t="shared" si="69"/>
        <v>0</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0</v>
      </c>
      <c r="F374" s="635"/>
      <c r="G374" s="21">
        <f t="shared" si="66"/>
        <v>0</v>
      </c>
      <c r="H374" s="635"/>
      <c r="I374" s="21">
        <f t="shared" si="67"/>
        <v>1</v>
      </c>
      <c r="J374" s="635"/>
      <c r="K374" s="21">
        <f t="shared" si="68"/>
        <v>1</v>
      </c>
      <c r="L374" s="635"/>
      <c r="M374" s="21">
        <f t="shared" si="69"/>
        <v>0</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0</v>
      </c>
      <c r="F375" s="635"/>
      <c r="G375" s="21">
        <f t="shared" si="66"/>
        <v>0</v>
      </c>
      <c r="H375" s="635"/>
      <c r="I375" s="21">
        <f t="shared" si="67"/>
        <v>1</v>
      </c>
      <c r="J375" s="635"/>
      <c r="K375" s="21">
        <f t="shared" si="68"/>
        <v>1</v>
      </c>
      <c r="L375" s="635"/>
      <c r="M375" s="21">
        <f t="shared" si="69"/>
        <v>0</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0</v>
      </c>
      <c r="F376" s="635"/>
      <c r="G376" s="21">
        <f t="shared" si="66"/>
        <v>0</v>
      </c>
      <c r="H376" s="635"/>
      <c r="I376" s="21">
        <f t="shared" si="67"/>
        <v>1</v>
      </c>
      <c r="J376" s="635"/>
      <c r="K376" s="21">
        <f t="shared" si="68"/>
        <v>1</v>
      </c>
      <c r="L376" s="635"/>
      <c r="M376" s="21">
        <f t="shared" si="69"/>
        <v>0</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0</v>
      </c>
      <c r="F377" s="635"/>
      <c r="G377" s="21">
        <f t="shared" si="66"/>
        <v>0</v>
      </c>
      <c r="H377" s="635"/>
      <c r="I377" s="21">
        <f t="shared" si="67"/>
        <v>1</v>
      </c>
      <c r="J377" s="635"/>
      <c r="K377" s="21">
        <f t="shared" si="68"/>
        <v>1</v>
      </c>
      <c r="L377" s="635"/>
      <c r="M377" s="21">
        <f t="shared" si="69"/>
        <v>0</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0</v>
      </c>
      <c r="F378" s="635"/>
      <c r="G378" s="21">
        <f t="shared" si="66"/>
        <v>0</v>
      </c>
      <c r="H378" s="635"/>
      <c r="I378" s="21">
        <f t="shared" si="67"/>
        <v>1</v>
      </c>
      <c r="J378" s="635"/>
      <c r="K378" s="21">
        <f t="shared" si="68"/>
        <v>1</v>
      </c>
      <c r="L378" s="635"/>
      <c r="M378" s="21">
        <f t="shared" si="69"/>
        <v>0</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0</v>
      </c>
      <c r="F379" s="635"/>
      <c r="G379" s="21">
        <f t="shared" si="66"/>
        <v>0</v>
      </c>
      <c r="H379" s="635"/>
      <c r="I379" s="21">
        <f t="shared" si="67"/>
        <v>1</v>
      </c>
      <c r="J379" s="635"/>
      <c r="K379" s="21">
        <f t="shared" si="68"/>
        <v>1</v>
      </c>
      <c r="L379" s="635"/>
      <c r="M379" s="21">
        <f t="shared" si="69"/>
        <v>0</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0</v>
      </c>
      <c r="F380" s="635"/>
      <c r="G380" s="21">
        <f t="shared" si="66"/>
        <v>0</v>
      </c>
      <c r="H380" s="635"/>
      <c r="I380" s="21">
        <f t="shared" si="67"/>
        <v>1</v>
      </c>
      <c r="J380" s="635"/>
      <c r="K380" s="21">
        <f t="shared" si="68"/>
        <v>1</v>
      </c>
      <c r="L380" s="635"/>
      <c r="M380" s="21">
        <f t="shared" si="69"/>
        <v>0</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0</v>
      </c>
      <c r="F381" s="635"/>
      <c r="G381" s="21">
        <f t="shared" si="66"/>
        <v>0</v>
      </c>
      <c r="H381" s="635"/>
      <c r="I381" s="21">
        <f t="shared" si="67"/>
        <v>1</v>
      </c>
      <c r="J381" s="635"/>
      <c r="K381" s="21">
        <f t="shared" si="68"/>
        <v>1</v>
      </c>
      <c r="L381" s="635"/>
      <c r="M381" s="21">
        <f t="shared" si="69"/>
        <v>0</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0</v>
      </c>
      <c r="F382" s="635"/>
      <c r="G382" s="21">
        <f t="shared" si="66"/>
        <v>0</v>
      </c>
      <c r="H382" s="635"/>
      <c r="I382" s="21">
        <f t="shared" si="67"/>
        <v>1</v>
      </c>
      <c r="J382" s="635"/>
      <c r="K382" s="21">
        <f t="shared" si="68"/>
        <v>1</v>
      </c>
      <c r="L382" s="635"/>
      <c r="M382" s="21">
        <f t="shared" si="69"/>
        <v>0</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0</v>
      </c>
      <c r="F383" s="635"/>
      <c r="G383" s="21">
        <f t="shared" si="66"/>
        <v>0</v>
      </c>
      <c r="H383" s="635"/>
      <c r="I383" s="21">
        <f t="shared" si="67"/>
        <v>1</v>
      </c>
      <c r="J383" s="635"/>
      <c r="K383" s="21">
        <f t="shared" si="68"/>
        <v>1</v>
      </c>
      <c r="L383" s="635"/>
      <c r="M383" s="21">
        <f t="shared" si="69"/>
        <v>0</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0</v>
      </c>
      <c r="F384" s="635"/>
      <c r="G384" s="21">
        <f t="shared" si="66"/>
        <v>0</v>
      </c>
      <c r="H384" s="635"/>
      <c r="I384" s="21">
        <f t="shared" si="67"/>
        <v>1</v>
      </c>
      <c r="J384" s="635"/>
      <c r="K384" s="21">
        <f t="shared" si="68"/>
        <v>1</v>
      </c>
      <c r="L384" s="635"/>
      <c r="M384" s="21">
        <f t="shared" si="69"/>
        <v>0</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0</v>
      </c>
      <c r="F385" s="635"/>
      <c r="G385" s="21">
        <f t="shared" si="66"/>
        <v>0</v>
      </c>
      <c r="H385" s="635"/>
      <c r="I385" s="21">
        <f t="shared" si="67"/>
        <v>1</v>
      </c>
      <c r="J385" s="635"/>
      <c r="K385" s="21">
        <f t="shared" si="68"/>
        <v>1</v>
      </c>
      <c r="L385" s="635"/>
      <c r="M385" s="21">
        <f t="shared" si="69"/>
        <v>0</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0</v>
      </c>
      <c r="F386" s="635"/>
      <c r="G386" s="21">
        <f t="shared" si="66"/>
        <v>0</v>
      </c>
      <c r="H386" s="635"/>
      <c r="I386" s="21">
        <f t="shared" si="67"/>
        <v>1</v>
      </c>
      <c r="J386" s="635"/>
      <c r="K386" s="21">
        <f t="shared" si="68"/>
        <v>1</v>
      </c>
      <c r="L386" s="635"/>
      <c r="M386" s="21">
        <f t="shared" si="69"/>
        <v>0</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0</v>
      </c>
      <c r="F387" s="635"/>
      <c r="G387" s="21">
        <f t="shared" si="66"/>
        <v>0</v>
      </c>
      <c r="H387" s="635"/>
      <c r="I387" s="21">
        <f t="shared" si="67"/>
        <v>1</v>
      </c>
      <c r="J387" s="635"/>
      <c r="K387" s="21">
        <f t="shared" si="68"/>
        <v>1</v>
      </c>
      <c r="L387" s="635"/>
      <c r="M387" s="21">
        <f t="shared" si="69"/>
        <v>0</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0</v>
      </c>
      <c r="F388" s="635"/>
      <c r="G388" s="21">
        <f t="shared" si="66"/>
        <v>0</v>
      </c>
      <c r="H388" s="635"/>
      <c r="I388" s="21">
        <f t="shared" si="67"/>
        <v>1</v>
      </c>
      <c r="J388" s="635"/>
      <c r="K388" s="21">
        <f t="shared" si="68"/>
        <v>1</v>
      </c>
      <c r="L388" s="635"/>
      <c r="M388" s="21">
        <f t="shared" si="69"/>
        <v>0</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0</v>
      </c>
      <c r="F389" s="635"/>
      <c r="G389" s="21">
        <f t="shared" si="66"/>
        <v>0</v>
      </c>
      <c r="H389" s="635"/>
      <c r="I389" s="21">
        <f t="shared" si="67"/>
        <v>1</v>
      </c>
      <c r="J389" s="635"/>
      <c r="K389" s="21">
        <f t="shared" si="68"/>
        <v>1</v>
      </c>
      <c r="L389" s="635"/>
      <c r="M389" s="21">
        <f t="shared" si="69"/>
        <v>0</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0</v>
      </c>
      <c r="F390" s="635"/>
      <c r="G390" s="21">
        <f t="shared" si="66"/>
        <v>0</v>
      </c>
      <c r="H390" s="635"/>
      <c r="I390" s="21">
        <f t="shared" si="67"/>
        <v>1</v>
      </c>
      <c r="J390" s="635"/>
      <c r="K390" s="21">
        <f t="shared" si="68"/>
        <v>1</v>
      </c>
      <c r="L390" s="635"/>
      <c r="M390" s="21">
        <f t="shared" si="69"/>
        <v>0</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0</v>
      </c>
      <c r="F391" s="635"/>
      <c r="G391" s="21">
        <f t="shared" si="66"/>
        <v>0</v>
      </c>
      <c r="H391" s="635"/>
      <c r="I391" s="21">
        <f t="shared" si="67"/>
        <v>1</v>
      </c>
      <c r="J391" s="635"/>
      <c r="K391" s="21">
        <f t="shared" si="68"/>
        <v>1</v>
      </c>
      <c r="L391" s="635"/>
      <c r="M391" s="21">
        <f t="shared" si="69"/>
        <v>0</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0</v>
      </c>
      <c r="F392" s="635"/>
      <c r="G392" s="21">
        <f t="shared" si="66"/>
        <v>0</v>
      </c>
      <c r="H392" s="635"/>
      <c r="I392" s="21">
        <f t="shared" si="67"/>
        <v>1</v>
      </c>
      <c r="J392" s="635"/>
      <c r="K392" s="21">
        <f t="shared" si="68"/>
        <v>1</v>
      </c>
      <c r="L392" s="635"/>
      <c r="M392" s="21">
        <f t="shared" si="69"/>
        <v>0</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0</v>
      </c>
      <c r="F393" s="635"/>
      <c r="G393" s="21">
        <f t="shared" si="66"/>
        <v>0</v>
      </c>
      <c r="H393" s="635"/>
      <c r="I393" s="21">
        <f t="shared" si="67"/>
        <v>1</v>
      </c>
      <c r="J393" s="635"/>
      <c r="K393" s="21">
        <f t="shared" si="68"/>
        <v>1</v>
      </c>
      <c r="L393" s="635"/>
      <c r="M393" s="21">
        <f t="shared" si="69"/>
        <v>0</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0</v>
      </c>
      <c r="F394" s="635"/>
      <c r="G394" s="21">
        <f t="shared" si="66"/>
        <v>0</v>
      </c>
      <c r="H394" s="635"/>
      <c r="I394" s="21">
        <f t="shared" si="67"/>
        <v>1</v>
      </c>
      <c r="J394" s="635"/>
      <c r="K394" s="21">
        <f t="shared" si="68"/>
        <v>1</v>
      </c>
      <c r="L394" s="635"/>
      <c r="M394" s="21">
        <f t="shared" si="69"/>
        <v>0</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0</v>
      </c>
      <c r="F395" s="635"/>
      <c r="G395" s="21">
        <f t="shared" si="66"/>
        <v>0</v>
      </c>
      <c r="H395" s="635"/>
      <c r="I395" s="21">
        <f t="shared" si="67"/>
        <v>1</v>
      </c>
      <c r="J395" s="635"/>
      <c r="K395" s="21">
        <f t="shared" si="68"/>
        <v>1</v>
      </c>
      <c r="L395" s="635"/>
      <c r="M395" s="21">
        <f t="shared" si="69"/>
        <v>0</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0</v>
      </c>
      <c r="F396" s="635"/>
      <c r="G396" s="21">
        <f t="shared" si="66"/>
        <v>0</v>
      </c>
      <c r="H396" s="635"/>
      <c r="I396" s="21">
        <f t="shared" si="67"/>
        <v>1</v>
      </c>
      <c r="J396" s="635"/>
      <c r="K396" s="21">
        <f t="shared" si="68"/>
        <v>1</v>
      </c>
      <c r="L396" s="635"/>
      <c r="M396" s="21">
        <f t="shared" si="69"/>
        <v>0</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0</v>
      </c>
      <c r="F397" s="635"/>
      <c r="G397" s="21">
        <f t="shared" si="66"/>
        <v>0</v>
      </c>
      <c r="H397" s="635"/>
      <c r="I397" s="21">
        <f t="shared" si="67"/>
        <v>1</v>
      </c>
      <c r="J397" s="635"/>
      <c r="K397" s="21">
        <f t="shared" si="68"/>
        <v>1</v>
      </c>
      <c r="L397" s="635"/>
      <c r="M397" s="21">
        <f t="shared" si="69"/>
        <v>0</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0</v>
      </c>
      <c r="F398" s="635"/>
      <c r="G398" s="21">
        <f t="shared" si="66"/>
        <v>0</v>
      </c>
      <c r="H398" s="635"/>
      <c r="I398" s="21">
        <f t="shared" si="67"/>
        <v>1</v>
      </c>
      <c r="J398" s="635"/>
      <c r="K398" s="21">
        <f t="shared" si="68"/>
        <v>1</v>
      </c>
      <c r="L398" s="635"/>
      <c r="M398" s="21">
        <f t="shared" si="69"/>
        <v>0</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0</v>
      </c>
      <c r="F399" s="635"/>
      <c r="G399" s="21">
        <f t="shared" si="66"/>
        <v>0</v>
      </c>
      <c r="H399" s="635"/>
      <c r="I399" s="21">
        <f t="shared" si="67"/>
        <v>1</v>
      </c>
      <c r="J399" s="635"/>
      <c r="K399" s="21">
        <f t="shared" si="68"/>
        <v>1</v>
      </c>
      <c r="L399" s="635"/>
      <c r="M399" s="21">
        <f t="shared" si="69"/>
        <v>0</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0</v>
      </c>
      <c r="F400" s="635"/>
      <c r="G400" s="21">
        <f t="shared" si="66"/>
        <v>0</v>
      </c>
      <c r="H400" s="635"/>
      <c r="I400" s="21">
        <f t="shared" si="67"/>
        <v>1</v>
      </c>
      <c r="J400" s="635"/>
      <c r="K400" s="21">
        <f t="shared" si="68"/>
        <v>1</v>
      </c>
      <c r="L400" s="635"/>
      <c r="M400" s="21">
        <f t="shared" si="69"/>
        <v>0</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0</v>
      </c>
      <c r="F401" s="635"/>
      <c r="G401" s="21">
        <f t="shared" si="66"/>
        <v>0</v>
      </c>
      <c r="H401" s="635"/>
      <c r="I401" s="21">
        <f t="shared" si="67"/>
        <v>1</v>
      </c>
      <c r="J401" s="635"/>
      <c r="K401" s="21">
        <f t="shared" si="68"/>
        <v>1</v>
      </c>
      <c r="L401" s="635"/>
      <c r="M401" s="21">
        <f t="shared" si="69"/>
        <v>0</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0</v>
      </c>
      <c r="F402" s="635"/>
      <c r="G402" s="21">
        <f t="shared" si="66"/>
        <v>0</v>
      </c>
      <c r="H402" s="635"/>
      <c r="I402" s="21">
        <f t="shared" si="67"/>
        <v>1</v>
      </c>
      <c r="J402" s="635"/>
      <c r="K402" s="21">
        <f t="shared" si="68"/>
        <v>1</v>
      </c>
      <c r="L402" s="635"/>
      <c r="M402" s="21">
        <f t="shared" si="69"/>
        <v>0</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0</v>
      </c>
      <c r="F403" s="635"/>
      <c r="G403" s="21">
        <f t="shared" si="66"/>
        <v>0</v>
      </c>
      <c r="H403" s="635"/>
      <c r="I403" s="21">
        <f t="shared" si="67"/>
        <v>1</v>
      </c>
      <c r="J403" s="635"/>
      <c r="K403" s="21">
        <f t="shared" si="68"/>
        <v>1</v>
      </c>
      <c r="L403" s="635"/>
      <c r="M403" s="21">
        <f t="shared" si="69"/>
        <v>0</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0</v>
      </c>
      <c r="F404" s="635"/>
      <c r="G404" s="21">
        <f t="shared" si="66"/>
        <v>0</v>
      </c>
      <c r="H404" s="635"/>
      <c r="I404" s="21">
        <f t="shared" si="67"/>
        <v>1</v>
      </c>
      <c r="J404" s="635"/>
      <c r="K404" s="21">
        <f t="shared" si="68"/>
        <v>1</v>
      </c>
      <c r="L404" s="635"/>
      <c r="M404" s="21">
        <f t="shared" si="69"/>
        <v>0</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0</v>
      </c>
      <c r="F405" s="635"/>
      <c r="G405" s="21">
        <f t="shared" si="66"/>
        <v>0</v>
      </c>
      <c r="H405" s="635"/>
      <c r="I405" s="21">
        <f t="shared" si="67"/>
        <v>1</v>
      </c>
      <c r="J405" s="635"/>
      <c r="K405" s="21">
        <f t="shared" si="68"/>
        <v>1</v>
      </c>
      <c r="L405" s="635"/>
      <c r="M405" s="21">
        <f t="shared" si="69"/>
        <v>0</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0</v>
      </c>
      <c r="F406" s="635"/>
      <c r="G406" s="21">
        <f t="shared" si="66"/>
        <v>0</v>
      </c>
      <c r="H406" s="635"/>
      <c r="I406" s="21">
        <f t="shared" si="67"/>
        <v>1</v>
      </c>
      <c r="J406" s="635"/>
      <c r="K406" s="21">
        <f t="shared" si="68"/>
        <v>1</v>
      </c>
      <c r="L406" s="635"/>
      <c r="M406" s="21">
        <f t="shared" si="69"/>
        <v>0</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0</v>
      </c>
      <c r="F407" s="635"/>
      <c r="G407" s="21">
        <f t="shared" si="66"/>
        <v>0</v>
      </c>
      <c r="H407" s="635"/>
      <c r="I407" s="21">
        <f t="shared" si="67"/>
        <v>1</v>
      </c>
      <c r="J407" s="635"/>
      <c r="K407" s="21">
        <f t="shared" si="68"/>
        <v>1</v>
      </c>
      <c r="L407" s="635"/>
      <c r="M407" s="21">
        <f t="shared" si="69"/>
        <v>0</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0</v>
      </c>
      <c r="F408" s="635"/>
      <c r="G408" s="21">
        <f t="shared" si="66"/>
        <v>0</v>
      </c>
      <c r="H408" s="635"/>
      <c r="I408" s="21">
        <f t="shared" si="67"/>
        <v>1</v>
      </c>
      <c r="J408" s="635"/>
      <c r="K408" s="21">
        <f t="shared" si="68"/>
        <v>1</v>
      </c>
      <c r="L408" s="635"/>
      <c r="M408" s="21">
        <f t="shared" si="69"/>
        <v>0</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0</v>
      </c>
      <c r="F409" s="635"/>
      <c r="G409" s="21">
        <f t="shared" si="66"/>
        <v>0</v>
      </c>
      <c r="H409" s="635"/>
      <c r="I409" s="21">
        <f t="shared" si="67"/>
        <v>1</v>
      </c>
      <c r="J409" s="635"/>
      <c r="K409" s="21">
        <f t="shared" si="68"/>
        <v>1</v>
      </c>
      <c r="L409" s="635"/>
      <c r="M409" s="21">
        <f t="shared" si="69"/>
        <v>0</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0</v>
      </c>
      <c r="F410" s="635"/>
      <c r="G410" s="21">
        <f t="shared" ref="G410:G473" si="76">(SUMIF($7:$7,F410,$8:$8)-SUMIF($7:$7,$F$24,$8:$8)+100)/100</f>
        <v>0</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0</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0</v>
      </c>
      <c r="F411" s="635"/>
      <c r="G411" s="21">
        <f t="shared" si="76"/>
        <v>0</v>
      </c>
      <c r="H411" s="635"/>
      <c r="I411" s="21">
        <f t="shared" si="77"/>
        <v>1</v>
      </c>
      <c r="J411" s="635"/>
      <c r="K411" s="21">
        <f t="shared" si="78"/>
        <v>1</v>
      </c>
      <c r="L411" s="635"/>
      <c r="M411" s="21">
        <f t="shared" si="79"/>
        <v>0</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0</v>
      </c>
      <c r="F412" s="635"/>
      <c r="G412" s="21">
        <f t="shared" si="76"/>
        <v>0</v>
      </c>
      <c r="H412" s="635"/>
      <c r="I412" s="21">
        <f t="shared" si="77"/>
        <v>1</v>
      </c>
      <c r="J412" s="635"/>
      <c r="K412" s="21">
        <f t="shared" si="78"/>
        <v>1</v>
      </c>
      <c r="L412" s="635"/>
      <c r="M412" s="21">
        <f t="shared" si="79"/>
        <v>0</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0</v>
      </c>
      <c r="F413" s="635"/>
      <c r="G413" s="21">
        <f t="shared" si="76"/>
        <v>0</v>
      </c>
      <c r="H413" s="635"/>
      <c r="I413" s="21">
        <f t="shared" si="77"/>
        <v>1</v>
      </c>
      <c r="J413" s="635"/>
      <c r="K413" s="21">
        <f t="shared" si="78"/>
        <v>1</v>
      </c>
      <c r="L413" s="635"/>
      <c r="M413" s="21">
        <f t="shared" si="79"/>
        <v>0</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0</v>
      </c>
      <c r="F414" s="635"/>
      <c r="G414" s="21">
        <f t="shared" si="76"/>
        <v>0</v>
      </c>
      <c r="H414" s="635"/>
      <c r="I414" s="21">
        <f t="shared" si="77"/>
        <v>1</v>
      </c>
      <c r="J414" s="635"/>
      <c r="K414" s="21">
        <f t="shared" si="78"/>
        <v>1</v>
      </c>
      <c r="L414" s="635"/>
      <c r="M414" s="21">
        <f t="shared" si="79"/>
        <v>0</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0</v>
      </c>
      <c r="F415" s="635"/>
      <c r="G415" s="21">
        <f t="shared" si="76"/>
        <v>0</v>
      </c>
      <c r="H415" s="635"/>
      <c r="I415" s="21">
        <f t="shared" si="77"/>
        <v>1</v>
      </c>
      <c r="J415" s="635"/>
      <c r="K415" s="21">
        <f t="shared" si="78"/>
        <v>1</v>
      </c>
      <c r="L415" s="635"/>
      <c r="M415" s="21">
        <f t="shared" si="79"/>
        <v>0</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0</v>
      </c>
      <c r="F416" s="635"/>
      <c r="G416" s="21">
        <f t="shared" si="76"/>
        <v>0</v>
      </c>
      <c r="H416" s="635"/>
      <c r="I416" s="21">
        <f t="shared" si="77"/>
        <v>1</v>
      </c>
      <c r="J416" s="635"/>
      <c r="K416" s="21">
        <f t="shared" si="78"/>
        <v>1</v>
      </c>
      <c r="L416" s="635"/>
      <c r="M416" s="21">
        <f t="shared" si="79"/>
        <v>0</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0</v>
      </c>
      <c r="F417" s="635"/>
      <c r="G417" s="21">
        <f t="shared" si="76"/>
        <v>0</v>
      </c>
      <c r="H417" s="635"/>
      <c r="I417" s="21">
        <f t="shared" si="77"/>
        <v>1</v>
      </c>
      <c r="J417" s="635"/>
      <c r="K417" s="21">
        <f t="shared" si="78"/>
        <v>1</v>
      </c>
      <c r="L417" s="635"/>
      <c r="M417" s="21">
        <f t="shared" si="79"/>
        <v>0</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0</v>
      </c>
      <c r="F418" s="635"/>
      <c r="G418" s="21">
        <f t="shared" si="76"/>
        <v>0</v>
      </c>
      <c r="H418" s="635"/>
      <c r="I418" s="21">
        <f t="shared" si="77"/>
        <v>1</v>
      </c>
      <c r="J418" s="635"/>
      <c r="K418" s="21">
        <f t="shared" si="78"/>
        <v>1</v>
      </c>
      <c r="L418" s="635"/>
      <c r="M418" s="21">
        <f t="shared" si="79"/>
        <v>0</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0</v>
      </c>
      <c r="F419" s="635"/>
      <c r="G419" s="21">
        <f t="shared" si="76"/>
        <v>0</v>
      </c>
      <c r="H419" s="635"/>
      <c r="I419" s="21">
        <f t="shared" si="77"/>
        <v>1</v>
      </c>
      <c r="J419" s="635"/>
      <c r="K419" s="21">
        <f t="shared" si="78"/>
        <v>1</v>
      </c>
      <c r="L419" s="635"/>
      <c r="M419" s="21">
        <f t="shared" si="79"/>
        <v>0</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0</v>
      </c>
      <c r="F420" s="635"/>
      <c r="G420" s="21">
        <f t="shared" si="76"/>
        <v>0</v>
      </c>
      <c r="H420" s="635"/>
      <c r="I420" s="21">
        <f t="shared" si="77"/>
        <v>1</v>
      </c>
      <c r="J420" s="635"/>
      <c r="K420" s="21">
        <f t="shared" si="78"/>
        <v>1</v>
      </c>
      <c r="L420" s="635"/>
      <c r="M420" s="21">
        <f t="shared" si="79"/>
        <v>0</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0</v>
      </c>
      <c r="F421" s="635"/>
      <c r="G421" s="21">
        <f t="shared" si="76"/>
        <v>0</v>
      </c>
      <c r="H421" s="635"/>
      <c r="I421" s="21">
        <f t="shared" si="77"/>
        <v>1</v>
      </c>
      <c r="J421" s="635"/>
      <c r="K421" s="21">
        <f t="shared" si="78"/>
        <v>1</v>
      </c>
      <c r="L421" s="635"/>
      <c r="M421" s="21">
        <f t="shared" si="79"/>
        <v>0</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0</v>
      </c>
      <c r="F422" s="635"/>
      <c r="G422" s="21">
        <f t="shared" si="76"/>
        <v>0</v>
      </c>
      <c r="H422" s="635"/>
      <c r="I422" s="21">
        <f t="shared" si="77"/>
        <v>1</v>
      </c>
      <c r="J422" s="635"/>
      <c r="K422" s="21">
        <f t="shared" si="78"/>
        <v>1</v>
      </c>
      <c r="L422" s="635"/>
      <c r="M422" s="21">
        <f t="shared" si="79"/>
        <v>0</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0</v>
      </c>
      <c r="F423" s="635"/>
      <c r="G423" s="21">
        <f t="shared" si="76"/>
        <v>0</v>
      </c>
      <c r="H423" s="635"/>
      <c r="I423" s="21">
        <f t="shared" si="77"/>
        <v>1</v>
      </c>
      <c r="J423" s="635"/>
      <c r="K423" s="21">
        <f t="shared" si="78"/>
        <v>1</v>
      </c>
      <c r="L423" s="635"/>
      <c r="M423" s="21">
        <f t="shared" si="79"/>
        <v>0</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0</v>
      </c>
      <c r="F424" s="635"/>
      <c r="G424" s="21">
        <f t="shared" si="76"/>
        <v>0</v>
      </c>
      <c r="H424" s="635"/>
      <c r="I424" s="21">
        <f t="shared" si="77"/>
        <v>1</v>
      </c>
      <c r="J424" s="635"/>
      <c r="K424" s="21">
        <f t="shared" si="78"/>
        <v>1</v>
      </c>
      <c r="L424" s="635"/>
      <c r="M424" s="21">
        <f t="shared" si="79"/>
        <v>0</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0</v>
      </c>
      <c r="F425" s="635"/>
      <c r="G425" s="21">
        <f t="shared" si="76"/>
        <v>0</v>
      </c>
      <c r="H425" s="635"/>
      <c r="I425" s="21">
        <f t="shared" si="77"/>
        <v>1</v>
      </c>
      <c r="J425" s="635"/>
      <c r="K425" s="21">
        <f t="shared" si="78"/>
        <v>1</v>
      </c>
      <c r="L425" s="635"/>
      <c r="M425" s="21">
        <f t="shared" si="79"/>
        <v>0</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0</v>
      </c>
      <c r="F426" s="635"/>
      <c r="G426" s="21">
        <f t="shared" si="76"/>
        <v>0</v>
      </c>
      <c r="H426" s="635"/>
      <c r="I426" s="21">
        <f t="shared" si="77"/>
        <v>1</v>
      </c>
      <c r="J426" s="635"/>
      <c r="K426" s="21">
        <f t="shared" si="78"/>
        <v>1</v>
      </c>
      <c r="L426" s="635"/>
      <c r="M426" s="21">
        <f t="shared" si="79"/>
        <v>0</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0</v>
      </c>
      <c r="F427" s="635"/>
      <c r="G427" s="21">
        <f t="shared" si="76"/>
        <v>0</v>
      </c>
      <c r="H427" s="635"/>
      <c r="I427" s="21">
        <f t="shared" si="77"/>
        <v>1</v>
      </c>
      <c r="J427" s="635"/>
      <c r="K427" s="21">
        <f t="shared" si="78"/>
        <v>1</v>
      </c>
      <c r="L427" s="635"/>
      <c r="M427" s="21">
        <f t="shared" si="79"/>
        <v>0</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0</v>
      </c>
      <c r="F428" s="635"/>
      <c r="G428" s="21">
        <f t="shared" si="76"/>
        <v>0</v>
      </c>
      <c r="H428" s="635"/>
      <c r="I428" s="21">
        <f t="shared" si="77"/>
        <v>1</v>
      </c>
      <c r="J428" s="635"/>
      <c r="K428" s="21">
        <f t="shared" si="78"/>
        <v>1</v>
      </c>
      <c r="L428" s="635"/>
      <c r="M428" s="21">
        <f t="shared" si="79"/>
        <v>0</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0</v>
      </c>
      <c r="F429" s="635"/>
      <c r="G429" s="21">
        <f t="shared" si="76"/>
        <v>0</v>
      </c>
      <c r="H429" s="635"/>
      <c r="I429" s="21">
        <f t="shared" si="77"/>
        <v>1</v>
      </c>
      <c r="J429" s="635"/>
      <c r="K429" s="21">
        <f t="shared" si="78"/>
        <v>1</v>
      </c>
      <c r="L429" s="635"/>
      <c r="M429" s="21">
        <f t="shared" si="79"/>
        <v>0</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0</v>
      </c>
      <c r="F430" s="635"/>
      <c r="G430" s="21">
        <f t="shared" si="76"/>
        <v>0</v>
      </c>
      <c r="H430" s="635"/>
      <c r="I430" s="21">
        <f t="shared" si="77"/>
        <v>1</v>
      </c>
      <c r="J430" s="635"/>
      <c r="K430" s="21">
        <f t="shared" si="78"/>
        <v>1</v>
      </c>
      <c r="L430" s="635"/>
      <c r="M430" s="21">
        <f t="shared" si="79"/>
        <v>0</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0</v>
      </c>
      <c r="F431" s="635"/>
      <c r="G431" s="21">
        <f t="shared" si="76"/>
        <v>0</v>
      </c>
      <c r="H431" s="635"/>
      <c r="I431" s="21">
        <f t="shared" si="77"/>
        <v>1</v>
      </c>
      <c r="J431" s="635"/>
      <c r="K431" s="21">
        <f t="shared" si="78"/>
        <v>1</v>
      </c>
      <c r="L431" s="635"/>
      <c r="M431" s="21">
        <f t="shared" si="79"/>
        <v>0</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0</v>
      </c>
      <c r="F432" s="635"/>
      <c r="G432" s="21">
        <f t="shared" si="76"/>
        <v>0</v>
      </c>
      <c r="H432" s="635"/>
      <c r="I432" s="21">
        <f t="shared" si="77"/>
        <v>1</v>
      </c>
      <c r="J432" s="635"/>
      <c r="K432" s="21">
        <f t="shared" si="78"/>
        <v>1</v>
      </c>
      <c r="L432" s="635"/>
      <c r="M432" s="21">
        <f t="shared" si="79"/>
        <v>0</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0</v>
      </c>
      <c r="F433" s="635"/>
      <c r="G433" s="21">
        <f t="shared" si="76"/>
        <v>0</v>
      </c>
      <c r="H433" s="635"/>
      <c r="I433" s="21">
        <f t="shared" si="77"/>
        <v>1</v>
      </c>
      <c r="J433" s="635"/>
      <c r="K433" s="21">
        <f t="shared" si="78"/>
        <v>1</v>
      </c>
      <c r="L433" s="635"/>
      <c r="M433" s="21">
        <f t="shared" si="79"/>
        <v>0</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0</v>
      </c>
      <c r="F434" s="635"/>
      <c r="G434" s="21">
        <f t="shared" si="76"/>
        <v>0</v>
      </c>
      <c r="H434" s="635"/>
      <c r="I434" s="21">
        <f t="shared" si="77"/>
        <v>1</v>
      </c>
      <c r="J434" s="635"/>
      <c r="K434" s="21">
        <f t="shared" si="78"/>
        <v>1</v>
      </c>
      <c r="L434" s="635"/>
      <c r="M434" s="21">
        <f t="shared" si="79"/>
        <v>0</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0</v>
      </c>
      <c r="F435" s="635"/>
      <c r="G435" s="21">
        <f t="shared" si="76"/>
        <v>0</v>
      </c>
      <c r="H435" s="635"/>
      <c r="I435" s="21">
        <f t="shared" si="77"/>
        <v>1</v>
      </c>
      <c r="J435" s="635"/>
      <c r="K435" s="21">
        <f t="shared" si="78"/>
        <v>1</v>
      </c>
      <c r="L435" s="635"/>
      <c r="M435" s="21">
        <f t="shared" si="79"/>
        <v>0</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0</v>
      </c>
      <c r="F436" s="635"/>
      <c r="G436" s="21">
        <f t="shared" si="76"/>
        <v>0</v>
      </c>
      <c r="H436" s="635"/>
      <c r="I436" s="21">
        <f t="shared" si="77"/>
        <v>1</v>
      </c>
      <c r="J436" s="635"/>
      <c r="K436" s="21">
        <f t="shared" si="78"/>
        <v>1</v>
      </c>
      <c r="L436" s="635"/>
      <c r="M436" s="21">
        <f t="shared" si="79"/>
        <v>0</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0</v>
      </c>
      <c r="F437" s="635"/>
      <c r="G437" s="21">
        <f t="shared" si="76"/>
        <v>0</v>
      </c>
      <c r="H437" s="635"/>
      <c r="I437" s="21">
        <f t="shared" si="77"/>
        <v>1</v>
      </c>
      <c r="J437" s="635"/>
      <c r="K437" s="21">
        <f t="shared" si="78"/>
        <v>1</v>
      </c>
      <c r="L437" s="635"/>
      <c r="M437" s="21">
        <f t="shared" si="79"/>
        <v>0</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0</v>
      </c>
      <c r="F438" s="635"/>
      <c r="G438" s="21">
        <f t="shared" si="76"/>
        <v>0</v>
      </c>
      <c r="H438" s="635"/>
      <c r="I438" s="21">
        <f t="shared" si="77"/>
        <v>1</v>
      </c>
      <c r="J438" s="635"/>
      <c r="K438" s="21">
        <f t="shared" si="78"/>
        <v>1</v>
      </c>
      <c r="L438" s="635"/>
      <c r="M438" s="21">
        <f t="shared" si="79"/>
        <v>0</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0</v>
      </c>
      <c r="F439" s="635"/>
      <c r="G439" s="21">
        <f t="shared" si="76"/>
        <v>0</v>
      </c>
      <c r="H439" s="635"/>
      <c r="I439" s="21">
        <f t="shared" si="77"/>
        <v>1</v>
      </c>
      <c r="J439" s="635"/>
      <c r="K439" s="21">
        <f t="shared" si="78"/>
        <v>1</v>
      </c>
      <c r="L439" s="635"/>
      <c r="M439" s="21">
        <f t="shared" si="79"/>
        <v>0</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0</v>
      </c>
      <c r="F440" s="635"/>
      <c r="G440" s="21">
        <f t="shared" si="76"/>
        <v>0</v>
      </c>
      <c r="H440" s="635"/>
      <c r="I440" s="21">
        <f t="shared" si="77"/>
        <v>1</v>
      </c>
      <c r="J440" s="635"/>
      <c r="K440" s="21">
        <f t="shared" si="78"/>
        <v>1</v>
      </c>
      <c r="L440" s="635"/>
      <c r="M440" s="21">
        <f t="shared" si="79"/>
        <v>0</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0</v>
      </c>
      <c r="F441" s="635"/>
      <c r="G441" s="21">
        <f t="shared" si="76"/>
        <v>0</v>
      </c>
      <c r="H441" s="635"/>
      <c r="I441" s="21">
        <f t="shared" si="77"/>
        <v>1</v>
      </c>
      <c r="J441" s="635"/>
      <c r="K441" s="21">
        <f t="shared" si="78"/>
        <v>1</v>
      </c>
      <c r="L441" s="635"/>
      <c r="M441" s="21">
        <f t="shared" si="79"/>
        <v>0</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0</v>
      </c>
      <c r="F442" s="635"/>
      <c r="G442" s="21">
        <f t="shared" si="76"/>
        <v>0</v>
      </c>
      <c r="H442" s="635"/>
      <c r="I442" s="21">
        <f t="shared" si="77"/>
        <v>1</v>
      </c>
      <c r="J442" s="635"/>
      <c r="K442" s="21">
        <f t="shared" si="78"/>
        <v>1</v>
      </c>
      <c r="L442" s="635"/>
      <c r="M442" s="21">
        <f t="shared" si="79"/>
        <v>0</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0</v>
      </c>
      <c r="F443" s="635"/>
      <c r="G443" s="21">
        <f t="shared" si="76"/>
        <v>0</v>
      </c>
      <c r="H443" s="635"/>
      <c r="I443" s="21">
        <f t="shared" si="77"/>
        <v>1</v>
      </c>
      <c r="J443" s="635"/>
      <c r="K443" s="21">
        <f t="shared" si="78"/>
        <v>1</v>
      </c>
      <c r="L443" s="635"/>
      <c r="M443" s="21">
        <f t="shared" si="79"/>
        <v>0</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0</v>
      </c>
      <c r="F444" s="635"/>
      <c r="G444" s="21">
        <f t="shared" si="76"/>
        <v>0</v>
      </c>
      <c r="H444" s="635"/>
      <c r="I444" s="21">
        <f t="shared" si="77"/>
        <v>1</v>
      </c>
      <c r="J444" s="635"/>
      <c r="K444" s="21">
        <f t="shared" si="78"/>
        <v>1</v>
      </c>
      <c r="L444" s="635"/>
      <c r="M444" s="21">
        <f t="shared" si="79"/>
        <v>0</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0</v>
      </c>
      <c r="F445" s="635"/>
      <c r="G445" s="21">
        <f t="shared" si="76"/>
        <v>0</v>
      </c>
      <c r="H445" s="635"/>
      <c r="I445" s="21">
        <f t="shared" si="77"/>
        <v>1</v>
      </c>
      <c r="J445" s="635"/>
      <c r="K445" s="21">
        <f t="shared" si="78"/>
        <v>1</v>
      </c>
      <c r="L445" s="635"/>
      <c r="M445" s="21">
        <f t="shared" si="79"/>
        <v>0</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0</v>
      </c>
      <c r="F446" s="635"/>
      <c r="G446" s="21">
        <f t="shared" si="76"/>
        <v>0</v>
      </c>
      <c r="H446" s="635"/>
      <c r="I446" s="21">
        <f t="shared" si="77"/>
        <v>1</v>
      </c>
      <c r="J446" s="635"/>
      <c r="K446" s="21">
        <f t="shared" si="78"/>
        <v>1</v>
      </c>
      <c r="L446" s="635"/>
      <c r="M446" s="21">
        <f t="shared" si="79"/>
        <v>0</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0</v>
      </c>
      <c r="F447" s="635"/>
      <c r="G447" s="21">
        <f t="shared" si="76"/>
        <v>0</v>
      </c>
      <c r="H447" s="635"/>
      <c r="I447" s="21">
        <f t="shared" si="77"/>
        <v>1</v>
      </c>
      <c r="J447" s="635"/>
      <c r="K447" s="21">
        <f t="shared" si="78"/>
        <v>1</v>
      </c>
      <c r="L447" s="635"/>
      <c r="M447" s="21">
        <f t="shared" si="79"/>
        <v>0</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0</v>
      </c>
      <c r="F448" s="635"/>
      <c r="G448" s="21">
        <f t="shared" si="76"/>
        <v>0</v>
      </c>
      <c r="H448" s="635"/>
      <c r="I448" s="21">
        <f t="shared" si="77"/>
        <v>1</v>
      </c>
      <c r="J448" s="635"/>
      <c r="K448" s="21">
        <f t="shared" si="78"/>
        <v>1</v>
      </c>
      <c r="L448" s="635"/>
      <c r="M448" s="21">
        <f t="shared" si="79"/>
        <v>0</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0</v>
      </c>
      <c r="F449" s="635"/>
      <c r="G449" s="21">
        <f t="shared" si="76"/>
        <v>0</v>
      </c>
      <c r="H449" s="635"/>
      <c r="I449" s="21">
        <f t="shared" si="77"/>
        <v>1</v>
      </c>
      <c r="J449" s="635"/>
      <c r="K449" s="21">
        <f t="shared" si="78"/>
        <v>1</v>
      </c>
      <c r="L449" s="635"/>
      <c r="M449" s="21">
        <f t="shared" si="79"/>
        <v>0</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0</v>
      </c>
      <c r="F450" s="635"/>
      <c r="G450" s="21">
        <f t="shared" si="76"/>
        <v>0</v>
      </c>
      <c r="H450" s="635"/>
      <c r="I450" s="21">
        <f t="shared" si="77"/>
        <v>1</v>
      </c>
      <c r="J450" s="635"/>
      <c r="K450" s="21">
        <f t="shared" si="78"/>
        <v>1</v>
      </c>
      <c r="L450" s="635"/>
      <c r="M450" s="21">
        <f t="shared" si="79"/>
        <v>0</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0</v>
      </c>
      <c r="F451" s="635"/>
      <c r="G451" s="21">
        <f t="shared" si="76"/>
        <v>0</v>
      </c>
      <c r="H451" s="635"/>
      <c r="I451" s="21">
        <f t="shared" si="77"/>
        <v>1</v>
      </c>
      <c r="J451" s="635"/>
      <c r="K451" s="21">
        <f t="shared" si="78"/>
        <v>1</v>
      </c>
      <c r="L451" s="635"/>
      <c r="M451" s="21">
        <f t="shared" si="79"/>
        <v>0</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0</v>
      </c>
      <c r="F452" s="635"/>
      <c r="G452" s="21">
        <f t="shared" si="76"/>
        <v>0</v>
      </c>
      <c r="H452" s="635"/>
      <c r="I452" s="21">
        <f t="shared" si="77"/>
        <v>1</v>
      </c>
      <c r="J452" s="635"/>
      <c r="K452" s="21">
        <f t="shared" si="78"/>
        <v>1</v>
      </c>
      <c r="L452" s="635"/>
      <c r="M452" s="21">
        <f t="shared" si="79"/>
        <v>0</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0</v>
      </c>
      <c r="F453" s="635"/>
      <c r="G453" s="21">
        <f t="shared" si="76"/>
        <v>0</v>
      </c>
      <c r="H453" s="635"/>
      <c r="I453" s="21">
        <f t="shared" si="77"/>
        <v>1</v>
      </c>
      <c r="J453" s="635"/>
      <c r="K453" s="21">
        <f t="shared" si="78"/>
        <v>1</v>
      </c>
      <c r="L453" s="635"/>
      <c r="M453" s="21">
        <f t="shared" si="79"/>
        <v>0</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0</v>
      </c>
      <c r="F454" s="635"/>
      <c r="G454" s="21">
        <f t="shared" si="76"/>
        <v>0</v>
      </c>
      <c r="H454" s="635"/>
      <c r="I454" s="21">
        <f t="shared" si="77"/>
        <v>1</v>
      </c>
      <c r="J454" s="635"/>
      <c r="K454" s="21">
        <f t="shared" si="78"/>
        <v>1</v>
      </c>
      <c r="L454" s="635"/>
      <c r="M454" s="21">
        <f t="shared" si="79"/>
        <v>0</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0</v>
      </c>
      <c r="F455" s="635"/>
      <c r="G455" s="21">
        <f t="shared" si="76"/>
        <v>0</v>
      </c>
      <c r="H455" s="635"/>
      <c r="I455" s="21">
        <f t="shared" si="77"/>
        <v>1</v>
      </c>
      <c r="J455" s="635"/>
      <c r="K455" s="21">
        <f t="shared" si="78"/>
        <v>1</v>
      </c>
      <c r="L455" s="635"/>
      <c r="M455" s="21">
        <f t="shared" si="79"/>
        <v>0</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0</v>
      </c>
      <c r="F456" s="635"/>
      <c r="G456" s="21">
        <f t="shared" si="76"/>
        <v>0</v>
      </c>
      <c r="H456" s="635"/>
      <c r="I456" s="21">
        <f t="shared" si="77"/>
        <v>1</v>
      </c>
      <c r="J456" s="635"/>
      <c r="K456" s="21">
        <f t="shared" si="78"/>
        <v>1</v>
      </c>
      <c r="L456" s="635"/>
      <c r="M456" s="21">
        <f t="shared" si="79"/>
        <v>0</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0</v>
      </c>
      <c r="F457" s="635"/>
      <c r="G457" s="21">
        <f t="shared" si="76"/>
        <v>0</v>
      </c>
      <c r="H457" s="635"/>
      <c r="I457" s="21">
        <f t="shared" si="77"/>
        <v>1</v>
      </c>
      <c r="J457" s="635"/>
      <c r="K457" s="21">
        <f t="shared" si="78"/>
        <v>1</v>
      </c>
      <c r="L457" s="635"/>
      <c r="M457" s="21">
        <f t="shared" si="79"/>
        <v>0</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0</v>
      </c>
      <c r="F458" s="635"/>
      <c r="G458" s="21">
        <f t="shared" si="76"/>
        <v>0</v>
      </c>
      <c r="H458" s="635"/>
      <c r="I458" s="21">
        <f t="shared" si="77"/>
        <v>1</v>
      </c>
      <c r="J458" s="635"/>
      <c r="K458" s="21">
        <f t="shared" si="78"/>
        <v>1</v>
      </c>
      <c r="L458" s="635"/>
      <c r="M458" s="21">
        <f t="shared" si="79"/>
        <v>0</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0</v>
      </c>
      <c r="F459" s="635"/>
      <c r="G459" s="21">
        <f t="shared" si="76"/>
        <v>0</v>
      </c>
      <c r="H459" s="635"/>
      <c r="I459" s="21">
        <f t="shared" si="77"/>
        <v>1</v>
      </c>
      <c r="J459" s="635"/>
      <c r="K459" s="21">
        <f t="shared" si="78"/>
        <v>1</v>
      </c>
      <c r="L459" s="635"/>
      <c r="M459" s="21">
        <f t="shared" si="79"/>
        <v>0</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0</v>
      </c>
      <c r="F460" s="635"/>
      <c r="G460" s="21">
        <f t="shared" si="76"/>
        <v>0</v>
      </c>
      <c r="H460" s="635"/>
      <c r="I460" s="21">
        <f t="shared" si="77"/>
        <v>1</v>
      </c>
      <c r="J460" s="635"/>
      <c r="K460" s="21">
        <f t="shared" si="78"/>
        <v>1</v>
      </c>
      <c r="L460" s="635"/>
      <c r="M460" s="21">
        <f t="shared" si="79"/>
        <v>0</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0</v>
      </c>
      <c r="F461" s="635"/>
      <c r="G461" s="21">
        <f t="shared" si="76"/>
        <v>0</v>
      </c>
      <c r="H461" s="635"/>
      <c r="I461" s="21">
        <f t="shared" si="77"/>
        <v>1</v>
      </c>
      <c r="J461" s="635"/>
      <c r="K461" s="21">
        <f t="shared" si="78"/>
        <v>1</v>
      </c>
      <c r="L461" s="635"/>
      <c r="M461" s="21">
        <f t="shared" si="79"/>
        <v>0</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0</v>
      </c>
      <c r="F462" s="635"/>
      <c r="G462" s="21">
        <f t="shared" si="76"/>
        <v>0</v>
      </c>
      <c r="H462" s="635"/>
      <c r="I462" s="21">
        <f t="shared" si="77"/>
        <v>1</v>
      </c>
      <c r="J462" s="635"/>
      <c r="K462" s="21">
        <f t="shared" si="78"/>
        <v>1</v>
      </c>
      <c r="L462" s="635"/>
      <c r="M462" s="21">
        <f t="shared" si="79"/>
        <v>0</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0</v>
      </c>
      <c r="F463" s="635"/>
      <c r="G463" s="21">
        <f t="shared" si="76"/>
        <v>0</v>
      </c>
      <c r="H463" s="635"/>
      <c r="I463" s="21">
        <f t="shared" si="77"/>
        <v>1</v>
      </c>
      <c r="J463" s="635"/>
      <c r="K463" s="21">
        <f t="shared" si="78"/>
        <v>1</v>
      </c>
      <c r="L463" s="635"/>
      <c r="M463" s="21">
        <f t="shared" si="79"/>
        <v>0</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0</v>
      </c>
      <c r="F464" s="635"/>
      <c r="G464" s="21">
        <f t="shared" si="76"/>
        <v>0</v>
      </c>
      <c r="H464" s="635"/>
      <c r="I464" s="21">
        <f t="shared" si="77"/>
        <v>1</v>
      </c>
      <c r="J464" s="635"/>
      <c r="K464" s="21">
        <f t="shared" si="78"/>
        <v>1</v>
      </c>
      <c r="L464" s="635"/>
      <c r="M464" s="21">
        <f t="shared" si="79"/>
        <v>0</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0</v>
      </c>
      <c r="F465" s="635"/>
      <c r="G465" s="21">
        <f t="shared" si="76"/>
        <v>0</v>
      </c>
      <c r="H465" s="635"/>
      <c r="I465" s="21">
        <f t="shared" si="77"/>
        <v>1</v>
      </c>
      <c r="J465" s="635"/>
      <c r="K465" s="21">
        <f t="shared" si="78"/>
        <v>1</v>
      </c>
      <c r="L465" s="635"/>
      <c r="M465" s="21">
        <f t="shared" si="79"/>
        <v>0</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0</v>
      </c>
      <c r="F466" s="635"/>
      <c r="G466" s="21">
        <f t="shared" si="76"/>
        <v>0</v>
      </c>
      <c r="H466" s="635"/>
      <c r="I466" s="21">
        <f t="shared" si="77"/>
        <v>1</v>
      </c>
      <c r="J466" s="635"/>
      <c r="K466" s="21">
        <f t="shared" si="78"/>
        <v>1</v>
      </c>
      <c r="L466" s="635"/>
      <c r="M466" s="21">
        <f t="shared" si="79"/>
        <v>0</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0</v>
      </c>
      <c r="F467" s="635"/>
      <c r="G467" s="21">
        <f t="shared" si="76"/>
        <v>0</v>
      </c>
      <c r="H467" s="635"/>
      <c r="I467" s="21">
        <f t="shared" si="77"/>
        <v>1</v>
      </c>
      <c r="J467" s="635"/>
      <c r="K467" s="21">
        <f t="shared" si="78"/>
        <v>1</v>
      </c>
      <c r="L467" s="635"/>
      <c r="M467" s="21">
        <f t="shared" si="79"/>
        <v>0</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0</v>
      </c>
      <c r="F468" s="635"/>
      <c r="G468" s="21">
        <f t="shared" si="76"/>
        <v>0</v>
      </c>
      <c r="H468" s="635"/>
      <c r="I468" s="21">
        <f t="shared" si="77"/>
        <v>1</v>
      </c>
      <c r="J468" s="635"/>
      <c r="K468" s="21">
        <f t="shared" si="78"/>
        <v>1</v>
      </c>
      <c r="L468" s="635"/>
      <c r="M468" s="21">
        <f t="shared" si="79"/>
        <v>0</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0</v>
      </c>
      <c r="F469" s="635"/>
      <c r="G469" s="21">
        <f t="shared" si="76"/>
        <v>0</v>
      </c>
      <c r="H469" s="635"/>
      <c r="I469" s="21">
        <f t="shared" si="77"/>
        <v>1</v>
      </c>
      <c r="J469" s="635"/>
      <c r="K469" s="21">
        <f t="shared" si="78"/>
        <v>1</v>
      </c>
      <c r="L469" s="635"/>
      <c r="M469" s="21">
        <f t="shared" si="79"/>
        <v>0</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0</v>
      </c>
      <c r="F470" s="635"/>
      <c r="G470" s="21">
        <f t="shared" si="76"/>
        <v>0</v>
      </c>
      <c r="H470" s="635"/>
      <c r="I470" s="21">
        <f t="shared" si="77"/>
        <v>1</v>
      </c>
      <c r="J470" s="635"/>
      <c r="K470" s="21">
        <f t="shared" si="78"/>
        <v>1</v>
      </c>
      <c r="L470" s="635"/>
      <c r="M470" s="21">
        <f t="shared" si="79"/>
        <v>0</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0</v>
      </c>
      <c r="F471" s="635"/>
      <c r="G471" s="21">
        <f t="shared" si="76"/>
        <v>0</v>
      </c>
      <c r="H471" s="635"/>
      <c r="I471" s="21">
        <f t="shared" si="77"/>
        <v>1</v>
      </c>
      <c r="J471" s="635"/>
      <c r="K471" s="21">
        <f t="shared" si="78"/>
        <v>1</v>
      </c>
      <c r="L471" s="635"/>
      <c r="M471" s="21">
        <f t="shared" si="79"/>
        <v>0</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0</v>
      </c>
      <c r="F472" s="635"/>
      <c r="G472" s="21">
        <f t="shared" si="76"/>
        <v>0</v>
      </c>
      <c r="H472" s="635"/>
      <c r="I472" s="21">
        <f t="shared" si="77"/>
        <v>1</v>
      </c>
      <c r="J472" s="635"/>
      <c r="K472" s="21">
        <f t="shared" si="78"/>
        <v>1</v>
      </c>
      <c r="L472" s="635"/>
      <c r="M472" s="21">
        <f t="shared" si="79"/>
        <v>0</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0</v>
      </c>
      <c r="F473" s="635"/>
      <c r="G473" s="21">
        <f t="shared" si="76"/>
        <v>0</v>
      </c>
      <c r="H473" s="635"/>
      <c r="I473" s="21">
        <f t="shared" si="77"/>
        <v>1</v>
      </c>
      <c r="J473" s="635"/>
      <c r="K473" s="21">
        <f t="shared" si="78"/>
        <v>1</v>
      </c>
      <c r="L473" s="635"/>
      <c r="M473" s="21">
        <f t="shared" si="79"/>
        <v>0</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0</v>
      </c>
      <c r="F474" s="635"/>
      <c r="G474" s="21">
        <f t="shared" ref="G474:G524" si="87">(SUMIF($7:$7,F474,$8:$8)-SUMIF($7:$7,$F$24,$8:$8)+100)/100</f>
        <v>0</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0</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0</v>
      </c>
      <c r="F475" s="635"/>
      <c r="G475" s="21">
        <f t="shared" si="87"/>
        <v>0</v>
      </c>
      <c r="H475" s="635"/>
      <c r="I475" s="21">
        <f t="shared" si="88"/>
        <v>1</v>
      </c>
      <c r="J475" s="635"/>
      <c r="K475" s="21">
        <f t="shared" si="89"/>
        <v>1</v>
      </c>
      <c r="L475" s="635"/>
      <c r="M475" s="21">
        <f t="shared" si="90"/>
        <v>0</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0</v>
      </c>
      <c r="F476" s="635"/>
      <c r="G476" s="21">
        <f t="shared" si="87"/>
        <v>0</v>
      </c>
      <c r="H476" s="635"/>
      <c r="I476" s="21">
        <f t="shared" si="88"/>
        <v>1</v>
      </c>
      <c r="J476" s="635"/>
      <c r="K476" s="21">
        <f t="shared" si="89"/>
        <v>1</v>
      </c>
      <c r="L476" s="635"/>
      <c r="M476" s="21">
        <f t="shared" si="90"/>
        <v>0</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0</v>
      </c>
      <c r="F477" s="635"/>
      <c r="G477" s="21">
        <f t="shared" si="87"/>
        <v>0</v>
      </c>
      <c r="H477" s="635"/>
      <c r="I477" s="21">
        <f t="shared" si="88"/>
        <v>1</v>
      </c>
      <c r="J477" s="635"/>
      <c r="K477" s="21">
        <f t="shared" si="89"/>
        <v>1</v>
      </c>
      <c r="L477" s="635"/>
      <c r="M477" s="21">
        <f t="shared" si="90"/>
        <v>0</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0</v>
      </c>
      <c r="F478" s="635"/>
      <c r="G478" s="21">
        <f t="shared" si="87"/>
        <v>0</v>
      </c>
      <c r="H478" s="635"/>
      <c r="I478" s="21">
        <f t="shared" si="88"/>
        <v>1</v>
      </c>
      <c r="J478" s="635"/>
      <c r="K478" s="21">
        <f t="shared" si="89"/>
        <v>1</v>
      </c>
      <c r="L478" s="635"/>
      <c r="M478" s="21">
        <f t="shared" si="90"/>
        <v>0</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0</v>
      </c>
      <c r="F479" s="635"/>
      <c r="G479" s="21">
        <f t="shared" si="87"/>
        <v>0</v>
      </c>
      <c r="H479" s="635"/>
      <c r="I479" s="21">
        <f t="shared" si="88"/>
        <v>1</v>
      </c>
      <c r="J479" s="635"/>
      <c r="K479" s="21">
        <f t="shared" si="89"/>
        <v>1</v>
      </c>
      <c r="L479" s="635"/>
      <c r="M479" s="21">
        <f t="shared" si="90"/>
        <v>0</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0</v>
      </c>
      <c r="F480" s="635"/>
      <c r="G480" s="21">
        <f t="shared" si="87"/>
        <v>0</v>
      </c>
      <c r="H480" s="635"/>
      <c r="I480" s="21">
        <f t="shared" si="88"/>
        <v>1</v>
      </c>
      <c r="J480" s="635"/>
      <c r="K480" s="21">
        <f t="shared" si="89"/>
        <v>1</v>
      </c>
      <c r="L480" s="635"/>
      <c r="M480" s="21">
        <f t="shared" si="90"/>
        <v>0</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0</v>
      </c>
      <c r="F481" s="635"/>
      <c r="G481" s="21">
        <f t="shared" si="87"/>
        <v>0</v>
      </c>
      <c r="H481" s="635"/>
      <c r="I481" s="21">
        <f t="shared" si="88"/>
        <v>1</v>
      </c>
      <c r="J481" s="635"/>
      <c r="K481" s="21">
        <f t="shared" si="89"/>
        <v>1</v>
      </c>
      <c r="L481" s="635"/>
      <c r="M481" s="21">
        <f t="shared" si="90"/>
        <v>0</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0</v>
      </c>
      <c r="F482" s="635"/>
      <c r="G482" s="21">
        <f t="shared" si="87"/>
        <v>0</v>
      </c>
      <c r="H482" s="635"/>
      <c r="I482" s="21">
        <f t="shared" si="88"/>
        <v>1</v>
      </c>
      <c r="J482" s="635"/>
      <c r="K482" s="21">
        <f t="shared" si="89"/>
        <v>1</v>
      </c>
      <c r="L482" s="635"/>
      <c r="M482" s="21">
        <f t="shared" si="90"/>
        <v>0</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0</v>
      </c>
      <c r="F483" s="635"/>
      <c r="G483" s="21">
        <f t="shared" si="87"/>
        <v>0</v>
      </c>
      <c r="H483" s="635"/>
      <c r="I483" s="21">
        <f t="shared" si="88"/>
        <v>1</v>
      </c>
      <c r="J483" s="635"/>
      <c r="K483" s="21">
        <f t="shared" si="89"/>
        <v>1</v>
      </c>
      <c r="L483" s="635"/>
      <c r="M483" s="21">
        <f t="shared" si="90"/>
        <v>0</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0</v>
      </c>
      <c r="F484" s="635"/>
      <c r="G484" s="21">
        <f t="shared" si="87"/>
        <v>0</v>
      </c>
      <c r="H484" s="635"/>
      <c r="I484" s="21">
        <f t="shared" si="88"/>
        <v>1</v>
      </c>
      <c r="J484" s="635"/>
      <c r="K484" s="21">
        <f t="shared" si="89"/>
        <v>1</v>
      </c>
      <c r="L484" s="635"/>
      <c r="M484" s="21">
        <f t="shared" si="90"/>
        <v>0</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0</v>
      </c>
      <c r="F485" s="635"/>
      <c r="G485" s="21">
        <f t="shared" si="87"/>
        <v>0</v>
      </c>
      <c r="H485" s="635"/>
      <c r="I485" s="21">
        <f t="shared" si="88"/>
        <v>1</v>
      </c>
      <c r="J485" s="635"/>
      <c r="K485" s="21">
        <f t="shared" si="89"/>
        <v>1</v>
      </c>
      <c r="L485" s="635"/>
      <c r="M485" s="21">
        <f t="shared" si="90"/>
        <v>0</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0</v>
      </c>
      <c r="F486" s="635"/>
      <c r="G486" s="21">
        <f t="shared" si="87"/>
        <v>0</v>
      </c>
      <c r="H486" s="635"/>
      <c r="I486" s="21">
        <f t="shared" si="88"/>
        <v>1</v>
      </c>
      <c r="J486" s="635"/>
      <c r="K486" s="21">
        <f t="shared" si="89"/>
        <v>1</v>
      </c>
      <c r="L486" s="635"/>
      <c r="M486" s="21">
        <f t="shared" si="90"/>
        <v>0</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0</v>
      </c>
      <c r="F487" s="635"/>
      <c r="G487" s="21">
        <f t="shared" si="87"/>
        <v>0</v>
      </c>
      <c r="H487" s="635"/>
      <c r="I487" s="21">
        <f t="shared" si="88"/>
        <v>1</v>
      </c>
      <c r="J487" s="635"/>
      <c r="K487" s="21">
        <f t="shared" si="89"/>
        <v>1</v>
      </c>
      <c r="L487" s="635"/>
      <c r="M487" s="21">
        <f t="shared" si="90"/>
        <v>0</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0</v>
      </c>
      <c r="F488" s="635"/>
      <c r="G488" s="21">
        <f t="shared" si="87"/>
        <v>0</v>
      </c>
      <c r="H488" s="635"/>
      <c r="I488" s="21">
        <f t="shared" si="88"/>
        <v>1</v>
      </c>
      <c r="J488" s="635"/>
      <c r="K488" s="21">
        <f t="shared" si="89"/>
        <v>1</v>
      </c>
      <c r="L488" s="635"/>
      <c r="M488" s="21">
        <f t="shared" si="90"/>
        <v>0</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0</v>
      </c>
      <c r="F489" s="635"/>
      <c r="G489" s="21">
        <f t="shared" si="87"/>
        <v>0</v>
      </c>
      <c r="H489" s="635"/>
      <c r="I489" s="21">
        <f t="shared" si="88"/>
        <v>1</v>
      </c>
      <c r="J489" s="635"/>
      <c r="K489" s="21">
        <f t="shared" si="89"/>
        <v>1</v>
      </c>
      <c r="L489" s="635"/>
      <c r="M489" s="21">
        <f t="shared" si="90"/>
        <v>0</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0</v>
      </c>
      <c r="F490" s="635"/>
      <c r="G490" s="21">
        <f t="shared" si="87"/>
        <v>0</v>
      </c>
      <c r="H490" s="635"/>
      <c r="I490" s="21">
        <f t="shared" si="88"/>
        <v>1</v>
      </c>
      <c r="J490" s="635"/>
      <c r="K490" s="21">
        <f t="shared" si="89"/>
        <v>1</v>
      </c>
      <c r="L490" s="635"/>
      <c r="M490" s="21">
        <f t="shared" si="90"/>
        <v>0</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0</v>
      </c>
      <c r="F491" s="635"/>
      <c r="G491" s="21">
        <f t="shared" si="87"/>
        <v>0</v>
      </c>
      <c r="H491" s="635"/>
      <c r="I491" s="21">
        <f t="shared" si="88"/>
        <v>1</v>
      </c>
      <c r="J491" s="635"/>
      <c r="K491" s="21">
        <f t="shared" si="89"/>
        <v>1</v>
      </c>
      <c r="L491" s="635"/>
      <c r="M491" s="21">
        <f t="shared" si="90"/>
        <v>0</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0</v>
      </c>
      <c r="F492" s="635"/>
      <c r="G492" s="21">
        <f t="shared" si="87"/>
        <v>0</v>
      </c>
      <c r="H492" s="635"/>
      <c r="I492" s="21">
        <f t="shared" si="88"/>
        <v>1</v>
      </c>
      <c r="J492" s="635"/>
      <c r="K492" s="21">
        <f t="shared" si="89"/>
        <v>1</v>
      </c>
      <c r="L492" s="635"/>
      <c r="M492" s="21">
        <f t="shared" si="90"/>
        <v>0</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0</v>
      </c>
      <c r="F493" s="635"/>
      <c r="G493" s="21">
        <f t="shared" si="87"/>
        <v>0</v>
      </c>
      <c r="H493" s="635"/>
      <c r="I493" s="21">
        <f t="shared" si="88"/>
        <v>1</v>
      </c>
      <c r="J493" s="635"/>
      <c r="K493" s="21">
        <f t="shared" si="89"/>
        <v>1</v>
      </c>
      <c r="L493" s="635"/>
      <c r="M493" s="21">
        <f t="shared" si="90"/>
        <v>0</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0</v>
      </c>
      <c r="F494" s="635"/>
      <c r="G494" s="21">
        <f t="shared" si="87"/>
        <v>0</v>
      </c>
      <c r="H494" s="635"/>
      <c r="I494" s="21">
        <f t="shared" si="88"/>
        <v>1</v>
      </c>
      <c r="J494" s="635"/>
      <c r="K494" s="21">
        <f t="shared" si="89"/>
        <v>1</v>
      </c>
      <c r="L494" s="635"/>
      <c r="M494" s="21">
        <f t="shared" si="90"/>
        <v>0</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0</v>
      </c>
      <c r="F495" s="635"/>
      <c r="G495" s="21">
        <f t="shared" si="87"/>
        <v>0</v>
      </c>
      <c r="H495" s="635"/>
      <c r="I495" s="21">
        <f t="shared" si="88"/>
        <v>1</v>
      </c>
      <c r="J495" s="635"/>
      <c r="K495" s="21">
        <f t="shared" si="89"/>
        <v>1</v>
      </c>
      <c r="L495" s="635"/>
      <c r="M495" s="21">
        <f t="shared" si="90"/>
        <v>0</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0</v>
      </c>
      <c r="F496" s="635"/>
      <c r="G496" s="21">
        <f t="shared" si="87"/>
        <v>0</v>
      </c>
      <c r="H496" s="635"/>
      <c r="I496" s="21">
        <f t="shared" si="88"/>
        <v>1</v>
      </c>
      <c r="J496" s="635"/>
      <c r="K496" s="21">
        <f t="shared" si="89"/>
        <v>1</v>
      </c>
      <c r="L496" s="635"/>
      <c r="M496" s="21">
        <f t="shared" si="90"/>
        <v>0</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0</v>
      </c>
      <c r="F497" s="635"/>
      <c r="G497" s="21">
        <f t="shared" si="87"/>
        <v>0</v>
      </c>
      <c r="H497" s="635"/>
      <c r="I497" s="21">
        <f t="shared" si="88"/>
        <v>1</v>
      </c>
      <c r="J497" s="635"/>
      <c r="K497" s="21">
        <f t="shared" si="89"/>
        <v>1</v>
      </c>
      <c r="L497" s="635"/>
      <c r="M497" s="21">
        <f t="shared" si="90"/>
        <v>0</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0</v>
      </c>
      <c r="F498" s="635"/>
      <c r="G498" s="21">
        <f t="shared" si="87"/>
        <v>0</v>
      </c>
      <c r="H498" s="635"/>
      <c r="I498" s="21">
        <f t="shared" si="88"/>
        <v>1</v>
      </c>
      <c r="J498" s="635"/>
      <c r="K498" s="21">
        <f t="shared" si="89"/>
        <v>1</v>
      </c>
      <c r="L498" s="635"/>
      <c r="M498" s="21">
        <f t="shared" si="90"/>
        <v>0</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0</v>
      </c>
      <c r="F499" s="635"/>
      <c r="G499" s="21">
        <f t="shared" si="87"/>
        <v>0</v>
      </c>
      <c r="H499" s="635"/>
      <c r="I499" s="21">
        <f t="shared" si="88"/>
        <v>1</v>
      </c>
      <c r="J499" s="635"/>
      <c r="K499" s="21">
        <f t="shared" si="89"/>
        <v>1</v>
      </c>
      <c r="L499" s="635"/>
      <c r="M499" s="21">
        <f t="shared" si="90"/>
        <v>0</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0</v>
      </c>
      <c r="F500" s="635"/>
      <c r="G500" s="21">
        <f t="shared" si="87"/>
        <v>0</v>
      </c>
      <c r="H500" s="635"/>
      <c r="I500" s="21">
        <f t="shared" si="88"/>
        <v>1</v>
      </c>
      <c r="J500" s="635"/>
      <c r="K500" s="21">
        <f t="shared" si="89"/>
        <v>1</v>
      </c>
      <c r="L500" s="635"/>
      <c r="M500" s="21">
        <f t="shared" si="90"/>
        <v>0</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0</v>
      </c>
      <c r="F501" s="635"/>
      <c r="G501" s="21">
        <f t="shared" si="87"/>
        <v>0</v>
      </c>
      <c r="H501" s="635"/>
      <c r="I501" s="21">
        <f t="shared" si="88"/>
        <v>1</v>
      </c>
      <c r="J501" s="635"/>
      <c r="K501" s="21">
        <f t="shared" si="89"/>
        <v>1</v>
      </c>
      <c r="L501" s="635"/>
      <c r="M501" s="21">
        <f t="shared" si="90"/>
        <v>0</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0</v>
      </c>
      <c r="F502" s="635"/>
      <c r="G502" s="21">
        <f t="shared" si="87"/>
        <v>0</v>
      </c>
      <c r="H502" s="635"/>
      <c r="I502" s="21">
        <f t="shared" si="88"/>
        <v>1</v>
      </c>
      <c r="J502" s="635"/>
      <c r="K502" s="21">
        <f t="shared" si="89"/>
        <v>1</v>
      </c>
      <c r="L502" s="635"/>
      <c r="M502" s="21">
        <f t="shared" si="90"/>
        <v>0</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0</v>
      </c>
      <c r="F503" s="635"/>
      <c r="G503" s="21">
        <f t="shared" si="87"/>
        <v>0</v>
      </c>
      <c r="H503" s="635"/>
      <c r="I503" s="21">
        <f t="shared" si="88"/>
        <v>1</v>
      </c>
      <c r="J503" s="635"/>
      <c r="K503" s="21">
        <f t="shared" si="89"/>
        <v>1</v>
      </c>
      <c r="L503" s="635"/>
      <c r="M503" s="21">
        <f t="shared" si="90"/>
        <v>0</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0</v>
      </c>
      <c r="F504" s="635"/>
      <c r="G504" s="21">
        <f t="shared" si="87"/>
        <v>0</v>
      </c>
      <c r="H504" s="635"/>
      <c r="I504" s="21">
        <f t="shared" si="88"/>
        <v>1</v>
      </c>
      <c r="J504" s="635"/>
      <c r="K504" s="21">
        <f t="shared" si="89"/>
        <v>1</v>
      </c>
      <c r="L504" s="635"/>
      <c r="M504" s="21">
        <f t="shared" si="90"/>
        <v>0</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0</v>
      </c>
      <c r="F505" s="635"/>
      <c r="G505" s="21">
        <f t="shared" si="87"/>
        <v>0</v>
      </c>
      <c r="H505" s="635"/>
      <c r="I505" s="21">
        <f t="shared" si="88"/>
        <v>1</v>
      </c>
      <c r="J505" s="635"/>
      <c r="K505" s="21">
        <f t="shared" si="89"/>
        <v>1</v>
      </c>
      <c r="L505" s="635"/>
      <c r="M505" s="21">
        <f t="shared" si="90"/>
        <v>0</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0</v>
      </c>
      <c r="F506" s="635"/>
      <c r="G506" s="21">
        <f t="shared" si="87"/>
        <v>0</v>
      </c>
      <c r="H506" s="635"/>
      <c r="I506" s="21">
        <f t="shared" si="88"/>
        <v>1</v>
      </c>
      <c r="J506" s="635"/>
      <c r="K506" s="21">
        <f t="shared" si="89"/>
        <v>1</v>
      </c>
      <c r="L506" s="635"/>
      <c r="M506" s="21">
        <f t="shared" si="90"/>
        <v>0</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0</v>
      </c>
      <c r="F507" s="635"/>
      <c r="G507" s="21">
        <f t="shared" si="87"/>
        <v>0</v>
      </c>
      <c r="H507" s="635"/>
      <c r="I507" s="21">
        <f t="shared" si="88"/>
        <v>1</v>
      </c>
      <c r="J507" s="635"/>
      <c r="K507" s="21">
        <f t="shared" si="89"/>
        <v>1</v>
      </c>
      <c r="L507" s="635"/>
      <c r="M507" s="21">
        <f t="shared" si="90"/>
        <v>0</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0</v>
      </c>
      <c r="F508" s="635"/>
      <c r="G508" s="21">
        <f t="shared" si="87"/>
        <v>0</v>
      </c>
      <c r="H508" s="635"/>
      <c r="I508" s="21">
        <f t="shared" si="88"/>
        <v>1</v>
      </c>
      <c r="J508" s="635"/>
      <c r="K508" s="21">
        <f t="shared" si="89"/>
        <v>1</v>
      </c>
      <c r="L508" s="635"/>
      <c r="M508" s="21">
        <f t="shared" si="90"/>
        <v>0</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0</v>
      </c>
      <c r="F509" s="635"/>
      <c r="G509" s="21">
        <f t="shared" si="87"/>
        <v>0</v>
      </c>
      <c r="H509" s="635"/>
      <c r="I509" s="21">
        <f t="shared" si="88"/>
        <v>1</v>
      </c>
      <c r="J509" s="635"/>
      <c r="K509" s="21">
        <f t="shared" si="89"/>
        <v>1</v>
      </c>
      <c r="L509" s="635"/>
      <c r="M509" s="21">
        <f t="shared" si="90"/>
        <v>0</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0</v>
      </c>
      <c r="F510" s="635"/>
      <c r="G510" s="21">
        <f t="shared" si="87"/>
        <v>0</v>
      </c>
      <c r="H510" s="635"/>
      <c r="I510" s="21">
        <f t="shared" si="88"/>
        <v>1</v>
      </c>
      <c r="J510" s="635"/>
      <c r="K510" s="21">
        <f t="shared" si="89"/>
        <v>1</v>
      </c>
      <c r="L510" s="635"/>
      <c r="M510" s="21">
        <f t="shared" si="90"/>
        <v>0</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0</v>
      </c>
      <c r="F511" s="635"/>
      <c r="G511" s="21">
        <f t="shared" si="87"/>
        <v>0</v>
      </c>
      <c r="H511" s="635"/>
      <c r="I511" s="21">
        <f t="shared" si="88"/>
        <v>1</v>
      </c>
      <c r="J511" s="635"/>
      <c r="K511" s="21">
        <f t="shared" si="89"/>
        <v>1</v>
      </c>
      <c r="L511" s="635"/>
      <c r="M511" s="21">
        <f t="shared" si="90"/>
        <v>0</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0</v>
      </c>
      <c r="F512" s="635"/>
      <c r="G512" s="21">
        <f t="shared" si="87"/>
        <v>0</v>
      </c>
      <c r="H512" s="635"/>
      <c r="I512" s="21">
        <f t="shared" si="88"/>
        <v>1</v>
      </c>
      <c r="J512" s="635"/>
      <c r="K512" s="21">
        <f t="shared" si="89"/>
        <v>1</v>
      </c>
      <c r="L512" s="635"/>
      <c r="M512" s="21">
        <f t="shared" si="90"/>
        <v>0</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0</v>
      </c>
      <c r="F513" s="635"/>
      <c r="G513" s="21">
        <f t="shared" si="87"/>
        <v>0</v>
      </c>
      <c r="H513" s="635"/>
      <c r="I513" s="21">
        <f t="shared" si="88"/>
        <v>1</v>
      </c>
      <c r="J513" s="635"/>
      <c r="K513" s="21">
        <f t="shared" si="89"/>
        <v>1</v>
      </c>
      <c r="L513" s="635"/>
      <c r="M513" s="21">
        <f t="shared" si="90"/>
        <v>0</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0</v>
      </c>
      <c r="F514" s="635"/>
      <c r="G514" s="21">
        <f t="shared" si="87"/>
        <v>0</v>
      </c>
      <c r="H514" s="635"/>
      <c r="I514" s="21">
        <f t="shared" si="88"/>
        <v>1</v>
      </c>
      <c r="J514" s="635"/>
      <c r="K514" s="21">
        <f t="shared" si="89"/>
        <v>1</v>
      </c>
      <c r="L514" s="635"/>
      <c r="M514" s="21">
        <f t="shared" si="90"/>
        <v>0</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0</v>
      </c>
      <c r="F515" s="635"/>
      <c r="G515" s="21">
        <f t="shared" si="87"/>
        <v>0</v>
      </c>
      <c r="H515" s="635"/>
      <c r="I515" s="21">
        <f t="shared" si="88"/>
        <v>1</v>
      </c>
      <c r="J515" s="635"/>
      <c r="K515" s="21">
        <f t="shared" si="89"/>
        <v>1</v>
      </c>
      <c r="L515" s="635"/>
      <c r="M515" s="21">
        <f t="shared" si="90"/>
        <v>0</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0</v>
      </c>
      <c r="F516" s="635"/>
      <c r="G516" s="21">
        <f t="shared" si="87"/>
        <v>0</v>
      </c>
      <c r="H516" s="635"/>
      <c r="I516" s="21">
        <f t="shared" si="88"/>
        <v>1</v>
      </c>
      <c r="J516" s="635"/>
      <c r="K516" s="21">
        <f t="shared" si="89"/>
        <v>1</v>
      </c>
      <c r="L516" s="635"/>
      <c r="M516" s="21">
        <f t="shared" si="90"/>
        <v>0</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0</v>
      </c>
      <c r="F517" s="635"/>
      <c r="G517" s="21">
        <f t="shared" si="87"/>
        <v>0</v>
      </c>
      <c r="H517" s="635"/>
      <c r="I517" s="21">
        <f t="shared" si="88"/>
        <v>1</v>
      </c>
      <c r="J517" s="635"/>
      <c r="K517" s="21">
        <f t="shared" si="89"/>
        <v>1</v>
      </c>
      <c r="L517" s="635"/>
      <c r="M517" s="21">
        <f t="shared" si="90"/>
        <v>0</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0</v>
      </c>
      <c r="F518" s="635"/>
      <c r="G518" s="21">
        <f t="shared" si="87"/>
        <v>0</v>
      </c>
      <c r="H518" s="635"/>
      <c r="I518" s="21">
        <f t="shared" si="88"/>
        <v>1</v>
      </c>
      <c r="J518" s="635"/>
      <c r="K518" s="21">
        <f t="shared" si="89"/>
        <v>1</v>
      </c>
      <c r="L518" s="635"/>
      <c r="M518" s="21">
        <f t="shared" si="90"/>
        <v>0</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0</v>
      </c>
      <c r="F519" s="635"/>
      <c r="G519" s="21">
        <f t="shared" si="87"/>
        <v>0</v>
      </c>
      <c r="H519" s="635"/>
      <c r="I519" s="21">
        <f t="shared" si="88"/>
        <v>1</v>
      </c>
      <c r="J519" s="635"/>
      <c r="K519" s="21">
        <f t="shared" si="89"/>
        <v>1</v>
      </c>
      <c r="L519" s="635"/>
      <c r="M519" s="21">
        <f t="shared" si="90"/>
        <v>0</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0</v>
      </c>
      <c r="F520" s="635"/>
      <c r="G520" s="21">
        <f t="shared" si="87"/>
        <v>0</v>
      </c>
      <c r="H520" s="635"/>
      <c r="I520" s="21">
        <f t="shared" si="88"/>
        <v>1</v>
      </c>
      <c r="J520" s="635"/>
      <c r="K520" s="21">
        <f t="shared" si="89"/>
        <v>1</v>
      </c>
      <c r="L520" s="635"/>
      <c r="M520" s="21">
        <f t="shared" si="90"/>
        <v>0</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0</v>
      </c>
      <c r="F521" s="635"/>
      <c r="G521" s="21">
        <f t="shared" si="87"/>
        <v>0</v>
      </c>
      <c r="H521" s="635"/>
      <c r="I521" s="21">
        <f t="shared" si="88"/>
        <v>1</v>
      </c>
      <c r="J521" s="635"/>
      <c r="K521" s="21">
        <f t="shared" si="89"/>
        <v>1</v>
      </c>
      <c r="L521" s="635"/>
      <c r="M521" s="21">
        <f t="shared" si="90"/>
        <v>0</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0</v>
      </c>
      <c r="F522" s="635"/>
      <c r="G522" s="21">
        <f t="shared" si="87"/>
        <v>0</v>
      </c>
      <c r="H522" s="635"/>
      <c r="I522" s="21">
        <f t="shared" si="88"/>
        <v>1</v>
      </c>
      <c r="J522" s="635"/>
      <c r="K522" s="21">
        <f t="shared" si="89"/>
        <v>1</v>
      </c>
      <c r="L522" s="635"/>
      <c r="M522" s="21">
        <f t="shared" si="90"/>
        <v>0</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0</v>
      </c>
      <c r="F523" s="635"/>
      <c r="G523" s="21">
        <f t="shared" si="87"/>
        <v>0</v>
      </c>
      <c r="H523" s="635"/>
      <c r="I523" s="21">
        <f t="shared" si="88"/>
        <v>1</v>
      </c>
      <c r="J523" s="635"/>
      <c r="K523" s="21">
        <f t="shared" si="89"/>
        <v>1</v>
      </c>
      <c r="L523" s="635"/>
      <c r="M523" s="21">
        <f t="shared" si="90"/>
        <v>0</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0</v>
      </c>
      <c r="F524" s="635"/>
      <c r="G524" s="21">
        <f t="shared" si="87"/>
        <v>0</v>
      </c>
      <c r="H524" s="635"/>
      <c r="I524" s="21">
        <f t="shared" si="88"/>
        <v>1</v>
      </c>
      <c r="J524" s="635"/>
      <c r="K524" s="21">
        <f t="shared" si="89"/>
        <v>1</v>
      </c>
      <c r="L524" s="635"/>
      <c r="M524" s="21">
        <f t="shared" si="90"/>
        <v>0</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A61640-1496-40C6-914F-B62C16BC2009}">
  <sheetPr>
    <tabColor rgb="FFFF0000"/>
  </sheetPr>
  <dimension ref="A1:AJ512"/>
  <sheetViews>
    <sheetView view="pageBreakPreview" zoomScale="70" zoomScaleNormal="100" zoomScaleSheetLayoutView="70" zoomScalePageLayoutView="80" workbookViewId="0">
      <selection activeCell="D17" sqref="D17"/>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3434</v>
      </c>
      <c r="D1" s="646"/>
      <c r="E1" s="646"/>
      <c r="F1" s="1621" t="s">
        <v>1263</v>
      </c>
      <c r="G1" s="1453" t="s">
        <v>3412</v>
      </c>
      <c r="H1" s="1621" t="str">
        <f>IF(G1="现房","——","估价对象范围")</f>
        <v>——</v>
      </c>
      <c r="I1" s="1622"/>
    </row>
    <row r="2" spans="1:12" ht="21.75" customHeight="1" thickBot="1">
      <c r="A2" s="3298" t="str">
        <f>项目基本情况!S2</f>
        <v>北京市朝阳区天溪园20号楼房地产</v>
      </c>
      <c r="B2" s="3299"/>
      <c r="C2" s="3299"/>
      <c r="D2" s="3299"/>
      <c r="E2" s="3299"/>
      <c r="F2" s="3299"/>
      <c r="G2" s="3299"/>
      <c r="H2" s="3299"/>
      <c r="I2" s="3300"/>
    </row>
    <row r="3" spans="1:12" ht="13.2">
      <c r="A3" s="3302" t="s">
        <v>1264</v>
      </c>
      <c r="B3" s="3303"/>
      <c r="C3" s="3303"/>
      <c r="D3" s="3303"/>
      <c r="E3" s="3303"/>
      <c r="F3" s="3303"/>
      <c r="G3" s="3303"/>
      <c r="H3" s="3303"/>
      <c r="I3" s="3303"/>
    </row>
    <row r="4" spans="1:12" ht="14.4">
      <c r="A4" s="1624" t="s">
        <v>1265</v>
      </c>
      <c r="B4" s="1625" t="s">
        <v>1266</v>
      </c>
      <c r="C4" s="1626" t="s">
        <v>3495</v>
      </c>
      <c r="D4" s="1626" t="s">
        <v>3438</v>
      </c>
      <c r="E4" s="3304" t="s">
        <v>1267</v>
      </c>
      <c r="F4" s="3305"/>
      <c r="G4" s="3305"/>
      <c r="H4" s="3305"/>
      <c r="I4" s="3306"/>
      <c r="K4" s="138" t="str">
        <f>IF(ISNUMBER(FIND("比较法",结果表2层!C4)),"比较法",IF(ISNUMBER(FIND("成本法",结果表2层!C4)),"成本法",IF(ISNUMBER(FIND("假设开发法",结果表2层!C4)),"假设开发法",IF(ISNUMBER(FIND("收益法",结果表2层!C4)),"收益法","基准地价系数修正法"))))</f>
        <v>比较法</v>
      </c>
      <c r="L4" s="138" t="str">
        <f>IF(ISNUMBER(FIND("比较法",结果表2层!D4)),"比较法",IF(ISNUMBER(FIND("成本法",结果表2层!D4)),"成本法",IF(ISNUMBER(FIND("假设开发法",结果表2层!D4)),"假设开发法",IF(ISNUMBER(FIND("收益法",结果表2层!D4)),"收益法","基准地价系数修正法"))))</f>
        <v>收益法</v>
      </c>
    </row>
    <row r="5" spans="1:12" ht="13.2">
      <c r="A5" s="3278" t="s">
        <v>1268</v>
      </c>
      <c r="B5" s="3265">
        <v>25</v>
      </c>
      <c r="C5" s="3281"/>
      <c r="D5" s="3301"/>
      <c r="E5" s="123" t="s">
        <v>1269</v>
      </c>
      <c r="F5" s="1627"/>
      <c r="G5" s="1627"/>
      <c r="H5" s="1627"/>
      <c r="I5" s="1281"/>
    </row>
    <row r="6" spans="1:12" ht="13.2">
      <c r="A6" s="3278"/>
      <c r="B6" s="3265"/>
      <c r="C6" s="3282"/>
      <c r="D6" s="3301"/>
      <c r="E6" s="123" t="s">
        <v>1270</v>
      </c>
      <c r="F6" s="1627"/>
      <c r="G6" s="1627"/>
      <c r="H6" s="1627"/>
      <c r="I6" s="1281"/>
    </row>
    <row r="7" spans="1:12" ht="13.2">
      <c r="A7" s="3278"/>
      <c r="B7" s="3265"/>
      <c r="C7" s="3283"/>
      <c r="D7" s="3301"/>
      <c r="E7" s="123" t="s">
        <v>1271</v>
      </c>
      <c r="F7" s="1627"/>
      <c r="G7" s="1627"/>
      <c r="H7" s="1627"/>
      <c r="I7" s="1281"/>
    </row>
    <row r="8" spans="1:12" ht="13.2">
      <c r="A8" s="3278" t="s">
        <v>1272</v>
      </c>
      <c r="B8" s="3265">
        <v>15</v>
      </c>
      <c r="C8" s="3281"/>
      <c r="D8" s="3301"/>
      <c r="E8" s="123" t="s">
        <v>1273</v>
      </c>
      <c r="F8" s="1627"/>
      <c r="G8" s="1627"/>
      <c r="H8" s="1627"/>
      <c r="I8" s="1281"/>
    </row>
    <row r="9" spans="1:12" ht="13.2">
      <c r="A9" s="3278"/>
      <c r="B9" s="3265"/>
      <c r="C9" s="3283"/>
      <c r="D9" s="3301"/>
      <c r="E9" s="123" t="s">
        <v>1274</v>
      </c>
      <c r="F9" s="1627"/>
      <c r="G9" s="1627"/>
      <c r="H9" s="1627"/>
      <c r="I9" s="1281"/>
    </row>
    <row r="10" spans="1:12" ht="13.2">
      <c r="A10" s="3278" t="s">
        <v>1275</v>
      </c>
      <c r="B10" s="3265">
        <v>15</v>
      </c>
      <c r="C10" s="3281"/>
      <c r="D10" s="3301"/>
      <c r="E10" s="123" t="s">
        <v>1276</v>
      </c>
      <c r="F10" s="1627"/>
      <c r="G10" s="1627"/>
      <c r="H10" s="1627"/>
      <c r="I10" s="1281"/>
    </row>
    <row r="11" spans="1:12" ht="13.2">
      <c r="A11" s="3278"/>
      <c r="B11" s="3265"/>
      <c r="C11" s="3283"/>
      <c r="D11" s="3301"/>
      <c r="E11" s="123" t="s">
        <v>1277</v>
      </c>
      <c r="F11" s="1627"/>
      <c r="G11" s="1627"/>
      <c r="H11" s="1627"/>
      <c r="I11" s="1281"/>
    </row>
    <row r="12" spans="1:12" ht="13.2">
      <c r="A12" s="3278" t="s">
        <v>1278</v>
      </c>
      <c r="B12" s="3265">
        <v>15</v>
      </c>
      <c r="C12" s="3281"/>
      <c r="D12" s="3301"/>
      <c r="E12" s="123" t="s">
        <v>1279</v>
      </c>
      <c r="F12" s="1627"/>
      <c r="G12" s="1627"/>
      <c r="H12" s="1627"/>
      <c r="I12" s="1281"/>
    </row>
    <row r="13" spans="1:12" ht="13.2">
      <c r="A13" s="3278"/>
      <c r="B13" s="3265"/>
      <c r="C13" s="3283"/>
      <c r="D13" s="3301"/>
      <c r="E13" s="123" t="s">
        <v>1280</v>
      </c>
      <c r="F13" s="1627"/>
      <c r="G13" s="1627"/>
      <c r="H13" s="1627"/>
      <c r="I13" s="1281"/>
    </row>
    <row r="14" spans="1:12" ht="13.2">
      <c r="A14" s="3278" t="s">
        <v>1281</v>
      </c>
      <c r="B14" s="3265">
        <v>30</v>
      </c>
      <c r="C14" s="3281">
        <v>4</v>
      </c>
      <c r="D14" s="3301">
        <v>6</v>
      </c>
      <c r="E14" s="123" t="s">
        <v>1282</v>
      </c>
      <c r="F14" s="1627"/>
      <c r="G14" s="1627"/>
      <c r="H14" s="1627"/>
      <c r="I14" s="1281"/>
    </row>
    <row r="15" spans="1:12" ht="13.2">
      <c r="A15" s="3278"/>
      <c r="B15" s="3265"/>
      <c r="C15" s="3282"/>
      <c r="D15" s="3301"/>
      <c r="E15" s="123" t="s">
        <v>1283</v>
      </c>
      <c r="F15" s="1627"/>
      <c r="G15" s="1627"/>
      <c r="H15" s="1627"/>
      <c r="I15" s="1281"/>
    </row>
    <row r="16" spans="1:12" ht="13.2">
      <c r="A16" s="3278"/>
      <c r="B16" s="3265"/>
      <c r="C16" s="3283"/>
      <c r="D16" s="3301"/>
      <c r="E16" s="123" t="s">
        <v>1284</v>
      </c>
      <c r="F16" s="1627"/>
      <c r="G16" s="1627"/>
      <c r="H16" s="1627"/>
      <c r="I16" s="1281"/>
    </row>
    <row r="17" spans="1:36" ht="14.4">
      <c r="A17" s="1628" t="s">
        <v>1285</v>
      </c>
      <c r="B17" s="54"/>
      <c r="C17" s="124">
        <f>SUM(C5:C16)</f>
        <v>4</v>
      </c>
      <c r="D17" s="124">
        <f>SUM(D5:D16)</f>
        <v>6</v>
      </c>
      <c r="E17" s="121"/>
      <c r="F17" s="121"/>
      <c r="G17" s="121"/>
      <c r="H17" s="121"/>
      <c r="I17" s="121"/>
      <c r="K17" s="294"/>
      <c r="L17" s="294" t="s">
        <v>1286</v>
      </c>
      <c r="M17" s="294" t="s">
        <v>1287</v>
      </c>
    </row>
    <row r="18" spans="1:36" ht="31.95" customHeight="1" thickBot="1">
      <c r="A18" s="1629" t="s">
        <v>1288</v>
      </c>
      <c r="B18" s="1542"/>
      <c r="C18" s="125">
        <f>ROUND(C17/SUM(C17:D17),2)</f>
        <v>0.4</v>
      </c>
      <c r="D18" s="125">
        <f>1-C18</f>
        <v>0.6</v>
      </c>
      <c r="E18" s="3288" t="s">
        <v>2127</v>
      </c>
      <c r="F18" s="3289"/>
      <c r="G18" s="3289"/>
      <c r="H18" s="3289"/>
      <c r="I18" s="3289"/>
      <c r="K18" s="294" t="s">
        <v>1289</v>
      </c>
      <c r="L18" s="294">
        <f>IF(C1="",'数据-汇总表'!E3,SUMIF(项目类型,C1,'数据-汇总表'!E17:E26)+SUMIF(项目类型,C1,'数据-汇总表'!I17:I26))</f>
        <v>0</v>
      </c>
      <c r="M18" s="294">
        <f>IF(C1="",'数据-汇总表'!E3,SUMIF(项目类型,C1,'数据-汇总表'!E17:E26))</f>
        <v>0</v>
      </c>
    </row>
    <row r="19" spans="1:36" ht="14.4">
      <c r="A19" s="1630" t="s">
        <v>1290</v>
      </c>
      <c r="B19" s="1631" t="s">
        <v>1291</v>
      </c>
      <c r="C19" s="126">
        <f ca="1">SUMIF(INDIRECT("'"&amp;C4&amp;"'"&amp;"!A:A"),结果表2层!B19,INDIRECT("'"&amp;C4&amp;"'"&amp;"!B:B"))</f>
        <v>0</v>
      </c>
      <c r="D19" s="127" t="e">
        <f ca="1">SUMIF(INDIRECT("'"&amp;D4&amp;"'"&amp;"!A:A"),结果表2层!B19,INDIRECT("'"&amp;D4&amp;"'"&amp;"!B:B"))</f>
        <v>#N/A</v>
      </c>
      <c r="E19" s="1630" t="s">
        <v>1292</v>
      </c>
      <c r="F19" s="1631" t="s">
        <v>1291</v>
      </c>
      <c r="G19" s="128" t="e">
        <f ca="1">ROUND(C19*$C$18+D19*$D$18,0)</f>
        <v>#N/A</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SUMIF(INDIRECT("'"&amp;C4&amp;"'"&amp;"!A:A"),结果表2层!B20,INDIRECT("'"&amp;C4&amp;"'"&amp;"!B:B"))</f>
        <v>41921</v>
      </c>
      <c r="D20" s="130">
        <f ca="1">SUMIF(INDIRECT("'"&amp;D4&amp;"'"&amp;"!A:A"),结果表2层!B20,INDIRECT("'"&amp;D4&amp;"'"&amp;"!B:B"))</f>
        <v>0</v>
      </c>
      <c r="E20" s="1633"/>
      <c r="F20" s="43" t="s">
        <v>1295</v>
      </c>
      <c r="G20" s="131">
        <f ca="1">ROUND(C20*$C$18+D20*$D$18,0)</f>
        <v>16768</v>
      </c>
      <c r="H20" s="760" t="s">
        <v>1296</v>
      </c>
      <c r="I20" s="121"/>
    </row>
    <row r="21" spans="1:36" ht="15" customHeight="1" thickBot="1">
      <c r="A21" s="449"/>
      <c r="B21" s="93" t="s">
        <v>1297</v>
      </c>
      <c r="C21" s="678" t="e">
        <f ca="1">ROUND(C19*10000/L19,0)</f>
        <v>#DIV/0!</v>
      </c>
      <c r="D21" s="679" t="e">
        <f ca="1">ROUND(D19*10000/L19,0)</f>
        <v>#N/A</v>
      </c>
      <c r="E21" s="449"/>
      <c r="F21" s="93" t="s">
        <v>1297</v>
      </c>
      <c r="G21" s="132" t="e">
        <f ca="1">ROUND(G19*10000/L19,0)</f>
        <v>#N/A</v>
      </c>
      <c r="H21" s="1634" t="s">
        <v>1296</v>
      </c>
      <c r="I21" s="121"/>
    </row>
    <row r="22" spans="1:36" ht="15" thickBot="1">
      <c r="A22" s="1564" t="s">
        <v>1298</v>
      </c>
      <c r="B22" s="1635"/>
      <c r="C22" s="1636"/>
      <c r="D22" s="680" t="e">
        <f ca="1">IF(C19&lt;D19,D19/C19-1,C19/D19-1)</f>
        <v>#N/A</v>
      </c>
      <c r="E22" s="121"/>
      <c r="F22" s="121"/>
      <c r="G22" s="121"/>
      <c r="H22" s="121"/>
      <c r="I22" s="121"/>
    </row>
    <row r="23" spans="1:36" ht="13.8" thickBot="1">
      <c r="A23" s="646"/>
      <c r="B23" s="646"/>
      <c r="C23" s="646"/>
      <c r="D23" s="646"/>
      <c r="E23" s="121"/>
      <c r="F23" s="121"/>
      <c r="G23" s="121"/>
      <c r="H23" s="121"/>
      <c r="I23" s="121"/>
    </row>
    <row r="24" spans="1:36" ht="14.4">
      <c r="A24" s="3272" t="s">
        <v>1299</v>
      </c>
      <c r="B24" s="1631" t="s">
        <v>1291</v>
      </c>
      <c r="C24" s="128">
        <f>IF(B30=0,0,D30)</f>
        <v>0</v>
      </c>
      <c r="D24" s="1637"/>
      <c r="E24" s="121"/>
      <c r="F24" s="121"/>
      <c r="G24" s="121"/>
      <c r="H24" s="121"/>
      <c r="I24" s="121"/>
    </row>
    <row r="25" spans="1:36" ht="14.4">
      <c r="A25" s="3273"/>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2128</v>
      </c>
      <c r="F30" s="121"/>
      <c r="G30" s="121"/>
      <c r="H30" s="121"/>
      <c r="I30" s="121"/>
    </row>
    <row r="31" spans="1:36" s="2132" customFormat="1" ht="26.4" customHeight="1" thickTop="1" thickBot="1">
      <c r="A31" s="2127"/>
      <c r="B31" s="2128"/>
      <c r="C31" s="2128"/>
      <c r="D31" s="2128"/>
      <c r="E31" s="2128"/>
      <c r="F31" s="2128"/>
      <c r="G31" s="2128"/>
      <c r="H31" s="2128"/>
      <c r="I31" s="2129" t="s">
        <v>2129</v>
      </c>
      <c r="J31" s="2462"/>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16768</v>
      </c>
      <c r="D32" s="1641" t="s">
        <v>3432</v>
      </c>
      <c r="E32" s="121"/>
      <c r="F32" s="121"/>
      <c r="G32" s="121"/>
      <c r="H32" s="121"/>
      <c r="I32" s="121"/>
    </row>
    <row r="33" spans="1:15" ht="14.4">
      <c r="A33" s="740" t="s">
        <v>1306</v>
      </c>
      <c r="B33" s="123"/>
      <c r="C33" s="1642" t="s">
        <v>3433</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2" t="s">
        <v>1312</v>
      </c>
      <c r="B36" s="1652" t="s">
        <v>1313</v>
      </c>
      <c r="C36" s="137"/>
      <c r="D36" s="1653"/>
      <c r="E36" s="1567"/>
      <c r="F36" s="1654"/>
      <c r="G36" s="121"/>
      <c r="H36" s="121"/>
      <c r="I36" s="121"/>
    </row>
    <row r="37" spans="1:15" ht="15" thickBot="1">
      <c r="A37" s="3293"/>
      <c r="B37" s="1555" t="s">
        <v>1314</v>
      </c>
      <c r="C37" s="139"/>
      <c r="D37" s="1071"/>
      <c r="E37" s="1071"/>
      <c r="F37" s="1654"/>
      <c r="G37" s="121"/>
      <c r="H37" s="121"/>
      <c r="I37" s="121"/>
    </row>
    <row r="38" spans="1:15" ht="15" thickBot="1">
      <c r="A38" s="3294"/>
      <c r="B38" s="1655" t="s">
        <v>1315</v>
      </c>
      <c r="C38" s="641"/>
      <c r="D38" s="1656" t="s">
        <v>1316</v>
      </c>
      <c r="E38" s="1071"/>
      <c r="F38" s="1654"/>
      <c r="G38" s="121"/>
      <c r="H38" s="121"/>
      <c r="I38" s="121"/>
    </row>
    <row r="39" spans="1:15" ht="14.4">
      <c r="A39" s="1633" t="s">
        <v>1317</v>
      </c>
      <c r="B39" s="1657" t="s">
        <v>1301</v>
      </c>
      <c r="C39" s="1658" t="s">
        <v>1302</v>
      </c>
      <c r="D39" s="1658" t="s">
        <v>1320</v>
      </c>
      <c r="E39" s="1659" t="s">
        <v>1303</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9" t="s">
        <v>1326</v>
      </c>
      <c r="B45" s="3270"/>
      <c r="C45" s="3271"/>
      <c r="D45" s="147">
        <f ca="1">ROUND(H101*F45,0)</f>
        <v>0</v>
      </c>
      <c r="E45" s="148" t="s">
        <v>1327</v>
      </c>
      <c r="F45" s="149">
        <v>1</v>
      </c>
      <c r="G45" s="150" t="s">
        <v>1328</v>
      </c>
      <c r="H45" s="121"/>
      <c r="I45" s="121"/>
      <c r="J45" s="3347" t="s">
        <v>1329</v>
      </c>
      <c r="K45" s="3347"/>
      <c r="L45" s="3347"/>
      <c r="M45" s="3347"/>
      <c r="N45" s="3347"/>
      <c r="O45" s="3347"/>
    </row>
    <row r="46" spans="1:15" ht="14.25" customHeight="1">
      <c r="A46" s="3266" t="s">
        <v>1330</v>
      </c>
      <c r="B46" s="3267"/>
      <c r="C46" s="3267"/>
      <c r="D46" s="3267"/>
      <c r="E46" s="3267"/>
      <c r="F46" s="3267"/>
      <c r="G46" s="3268"/>
      <c r="H46" s="1668"/>
      <c r="I46" s="151"/>
      <c r="J46" s="2309">
        <v>1</v>
      </c>
      <c r="K46" s="3328" t="s">
        <v>1331</v>
      </c>
      <c r="L46" s="3328"/>
      <c r="M46" s="3348"/>
      <c r="N46" s="3348"/>
      <c r="O46" s="3348"/>
    </row>
    <row r="47" spans="1:15" ht="12" customHeight="1">
      <c r="A47" s="152" t="s">
        <v>1332</v>
      </c>
      <c r="B47" s="153"/>
      <c r="C47" s="154"/>
      <c r="D47" s="1024" t="s">
        <v>1333</v>
      </c>
      <c r="E47" s="294" t="s">
        <v>1334</v>
      </c>
      <c r="F47" s="155" t="s">
        <v>1335</v>
      </c>
      <c r="G47" s="2332" t="s">
        <v>1336</v>
      </c>
      <c r="H47" s="2333"/>
      <c r="I47" s="151"/>
      <c r="J47" s="2309">
        <v>2</v>
      </c>
      <c r="K47" s="3328" t="s">
        <v>1337</v>
      </c>
      <c r="L47" s="3328"/>
      <c r="M47" s="3349">
        <f>'数据-取费表'!B2</f>
        <v>45831</v>
      </c>
      <c r="N47" s="3349"/>
      <c r="O47" s="3349"/>
    </row>
    <row r="48" spans="1:15" ht="26.4">
      <c r="A48" s="3297" t="s">
        <v>1338</v>
      </c>
      <c r="B48" s="3280"/>
      <c r="C48" s="3280"/>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328" t="s">
        <v>1340</v>
      </c>
      <c r="L48" s="3328"/>
      <c r="M48" s="3350">
        <f ca="1">H101</f>
        <v>0</v>
      </c>
      <c r="N48" s="3350"/>
      <c r="O48" s="3350"/>
    </row>
    <row r="49" spans="1:35" ht="25.5" customHeight="1">
      <c r="A49" s="2151" t="s">
        <v>1341</v>
      </c>
      <c r="B49" s="3264" t="s">
        <v>1342</v>
      </c>
      <c r="C49" s="3264"/>
      <c r="D49" s="1478">
        <v>0</v>
      </c>
      <c r="E49" s="316" t="s">
        <v>1343</v>
      </c>
      <c r="F49" s="2232" t="s">
        <v>28</v>
      </c>
      <c r="G49" s="3334"/>
      <c r="H49" s="2133" t="s">
        <v>2130</v>
      </c>
      <c r="I49" s="2134"/>
      <c r="J49" s="2309">
        <v>4</v>
      </c>
      <c r="K49" s="3328" t="str">
        <f>IF(项目基本情况!E8="房地产抵押价值","房地产抵押价值","抵押担保权已注销时的房地产抵押价值")</f>
        <v>房地产抵押价值</v>
      </c>
      <c r="L49" s="3328"/>
      <c r="M49" s="3350">
        <f ca="1">IF(项目基本情况!E8="房地产抵押价值",H107,H109)</f>
        <v>0</v>
      </c>
      <c r="N49" s="3350"/>
      <c r="O49" s="3350"/>
    </row>
    <row r="50" spans="1:35" ht="25.5" customHeight="1">
      <c r="A50" s="2337"/>
      <c r="B50" s="3264" t="s">
        <v>1344</v>
      </c>
      <c r="C50" s="3264"/>
      <c r="D50" s="2188"/>
      <c r="E50" s="323"/>
      <c r="F50" s="2232"/>
      <c r="G50" s="3335"/>
      <c r="H50" s="2135" t="s">
        <v>2131</v>
      </c>
      <c r="I50" s="2134"/>
      <c r="J50" s="3347" t="s">
        <v>1345</v>
      </c>
      <c r="K50" s="3347"/>
      <c r="L50" s="3347"/>
      <c r="M50" s="3347"/>
      <c r="N50" s="3347"/>
      <c r="O50" s="3347"/>
    </row>
    <row r="51" spans="1:35" ht="20.399999999999999" customHeight="1">
      <c r="A51" s="2338"/>
      <c r="B51" s="3264" t="s">
        <v>1346</v>
      </c>
      <c r="C51" s="3264"/>
      <c r="D51" s="1024"/>
      <c r="E51" s="319"/>
      <c r="F51" s="2232"/>
      <c r="G51" s="3336"/>
      <c r="H51" s="2135" t="s">
        <v>2132</v>
      </c>
      <c r="I51" s="2134"/>
      <c r="J51" s="2310" t="s">
        <v>1347</v>
      </c>
      <c r="K51" s="3328" t="s">
        <v>1348</v>
      </c>
      <c r="L51" s="3328"/>
      <c r="M51" s="2310" t="s">
        <v>1349</v>
      </c>
      <c r="N51" s="2310" t="s">
        <v>1350</v>
      </c>
      <c r="O51" s="2310" t="s">
        <v>1351</v>
      </c>
    </row>
    <row r="52" spans="1:35" ht="24" customHeight="1">
      <c r="A52" s="2152" t="s">
        <v>1352</v>
      </c>
      <c r="B52" s="3264" t="s">
        <v>1353</v>
      </c>
      <c r="C52" s="3264"/>
      <c r="D52" s="1024">
        <f ca="1">ROUND(D45*'数据-取费表'!B41/(1+'数据-取费表'!C42),0)</f>
        <v>0</v>
      </c>
      <c r="E52" s="1256" t="s">
        <v>1354</v>
      </c>
      <c r="F52" s="2339">
        <f>'数据-取费表'!B41</f>
        <v>5.6000000000000001E-2</v>
      </c>
      <c r="G52" s="2340"/>
      <c r="H52" s="2330"/>
      <c r="I52" s="1669"/>
      <c r="J52" s="2309">
        <v>1</v>
      </c>
      <c r="K52" s="3329" t="s">
        <v>1355</v>
      </c>
      <c r="L52" s="3329"/>
      <c r="M52" s="2311" t="b">
        <f>D48</f>
        <v>0</v>
      </c>
      <c r="N52" s="2309" t="str">
        <f>E48</f>
        <v>销售额×税（费）率</v>
      </c>
      <c r="O52" s="2312">
        <f>F48</f>
        <v>5.6000000000000001E-2</v>
      </c>
    </row>
    <row r="53" spans="1:35" ht="12" customHeight="1">
      <c r="A53" s="2152" t="s">
        <v>1356</v>
      </c>
      <c r="B53" s="3290" t="s">
        <v>2287</v>
      </c>
      <c r="C53" s="3291"/>
      <c r="D53" s="1024">
        <f ca="1">ROUND(D45*'数据-取费表'!B41/(1+'数据-取费表'!C42),0)</f>
        <v>0</v>
      </c>
      <c r="E53" s="1256" t="s">
        <v>1354</v>
      </c>
      <c r="F53" s="2339">
        <f>'数据-取费表'!B41</f>
        <v>5.6000000000000001E-2</v>
      </c>
      <c r="G53" s="2340"/>
      <c r="H53" s="2330"/>
      <c r="I53" s="1669"/>
      <c r="J53" s="2309">
        <v>2</v>
      </c>
      <c r="K53" s="3329" t="s">
        <v>1357</v>
      </c>
      <c r="L53" s="3329"/>
      <c r="M53" s="2311">
        <f t="shared" ref="M53:O54" ca="1" si="0">D55</f>
        <v>0</v>
      </c>
      <c r="N53" s="2309" t="str">
        <f t="shared" si="0"/>
        <v>销售额×税（费）率</v>
      </c>
      <c r="O53" s="2312" t="str">
        <f t="shared" si="0"/>
        <v>免征</v>
      </c>
    </row>
    <row r="54" spans="1:35" ht="12" customHeight="1">
      <c r="A54" s="2152" t="s">
        <v>1358</v>
      </c>
      <c r="B54" s="3290" t="s">
        <v>2288</v>
      </c>
      <c r="C54" s="3291"/>
      <c r="D54" s="1024">
        <f ca="1">C68</f>
        <v>0</v>
      </c>
      <c r="E54" s="319" t="s">
        <v>1359</v>
      </c>
      <c r="F54" s="2339">
        <f>'数据-取费表'!B41</f>
        <v>5.6000000000000001E-2</v>
      </c>
      <c r="G54" s="2340"/>
      <c r="H54" s="2341"/>
      <c r="I54" s="1669"/>
      <c r="J54" s="2309">
        <v>3</v>
      </c>
      <c r="K54" s="3329" t="s">
        <v>1360</v>
      </c>
      <c r="L54" s="3329"/>
      <c r="M54" s="2311">
        <f t="shared" ca="1" si="0"/>
        <v>0</v>
      </c>
      <c r="N54" s="2309" t="str">
        <f t="shared" si="0"/>
        <v>增值额×税（费）率</v>
      </c>
      <c r="O54" s="2313" t="str">
        <f t="shared" si="0"/>
        <v>免征</v>
      </c>
    </row>
    <row r="55" spans="1:35" ht="24" customHeight="1">
      <c r="A55" s="3279" t="s">
        <v>1361</v>
      </c>
      <c r="B55" s="3280"/>
      <c r="C55" s="3280"/>
      <c r="D55" s="12">
        <f ca="1">IF(H55="个人住宅",0,ROUND(D45*I55,0))</f>
        <v>0</v>
      </c>
      <c r="E55" s="1256" t="s">
        <v>1362</v>
      </c>
      <c r="F55" s="2339" t="str">
        <f>IF(H55="正常",I55,"免征")</f>
        <v>免征</v>
      </c>
      <c r="G55" s="2340"/>
      <c r="H55" s="2336"/>
      <c r="I55" s="157">
        <f>'数据-取费表'!B49</f>
        <v>5.0000000000000001E-4</v>
      </c>
      <c r="J55" s="2309">
        <f>IF(H59="非个人房产","",4)</f>
        <v>4</v>
      </c>
      <c r="K55" s="3329" t="str">
        <f>IF(H59="非个人房产","——","个人所得税")</f>
        <v>个人所得税</v>
      </c>
      <c r="L55" s="3329"/>
      <c r="M55" s="2314">
        <f ca="1">D59</f>
        <v>0</v>
      </c>
      <c r="N55" s="1883" t="str">
        <f>E59</f>
        <v>差额计税</v>
      </c>
      <c r="O55" s="2315">
        <f>F59</f>
        <v>0.01</v>
      </c>
    </row>
    <row r="56" spans="1:35" ht="25.2">
      <c r="A56" s="3279" t="s">
        <v>1363</v>
      </c>
      <c r="B56" s="3280"/>
      <c r="C56" s="3280"/>
      <c r="D56" s="12">
        <f ca="1">IF(H56="个人住宅",D57,D58)</f>
        <v>0</v>
      </c>
      <c r="E56" s="1256" t="s">
        <v>1364</v>
      </c>
      <c r="F56" s="2339" t="str">
        <f>IF(H56="正常",F58,"免征")</f>
        <v>免征</v>
      </c>
      <c r="G56" s="2342" t="s">
        <v>1365</v>
      </c>
      <c r="H56" s="2343"/>
      <c r="I56" s="1670"/>
      <c r="J56" s="2309" t="str">
        <f>IF(项目基本情况!K6="上海银行",IF(J55="",4,J55+1),"")</f>
        <v/>
      </c>
      <c r="K56" s="3352" t="str">
        <f>IF(项目基本情况!K6="上海银行","其他处置费用","")</f>
        <v/>
      </c>
      <c r="L56" s="3353"/>
      <c r="M56" s="2311" t="str">
        <f>IF(项目基本情况!K6="上海银行",M69,"")</f>
        <v/>
      </c>
      <c r="N56" s="3352" t="str">
        <f>IF(项目基本情况!K6="上海银行","包含处置中涉及的律师、诉讼、拍卖、评估等费用","")</f>
        <v/>
      </c>
      <c r="O56" s="3355"/>
    </row>
    <row r="57" spans="1:35" ht="13.2">
      <c r="A57" s="2152" t="s">
        <v>1341</v>
      </c>
      <c r="B57" s="3290" t="s">
        <v>1366</v>
      </c>
      <c r="C57" s="3291"/>
      <c r="D57" s="1478">
        <v>0</v>
      </c>
      <c r="E57" s="316" t="s">
        <v>1343</v>
      </c>
      <c r="F57" s="294"/>
      <c r="G57" s="2340"/>
      <c r="H57" s="2344"/>
      <c r="I57" s="1670"/>
      <c r="J57" s="3329">
        <f>IF(AND(J55="",J56=""),4,IF(项目基本情况!K6="上海银行",结果表2层!J56+1,结果表2层!J55+1))</f>
        <v>5</v>
      </c>
      <c r="K57" s="3329" t="s">
        <v>1367</v>
      </c>
      <c r="L57" s="2316" t="s">
        <v>1368</v>
      </c>
      <c r="M57" s="2317"/>
      <c r="N57" s="2318">
        <f ca="1">SUMIF(M52:M56,"&lt;9e307")</f>
        <v>0</v>
      </c>
      <c r="O57" s="2319"/>
      <c r="P57" s="2463" t="e">
        <f ca="1">N57/M49</f>
        <v>#DIV/0!</v>
      </c>
    </row>
    <row r="58" spans="1:35" ht="25.2">
      <c r="A58" s="2152" t="s">
        <v>1352</v>
      </c>
      <c r="B58" s="3290" t="s">
        <v>1369</v>
      </c>
      <c r="C58" s="3264"/>
      <c r="D58" s="12">
        <f ca="1">IF(H58="转让取得",C81,C97)</f>
        <v>0</v>
      </c>
      <c r="E58" s="1256" t="s">
        <v>1364</v>
      </c>
      <c r="F58" s="294" t="s">
        <v>28</v>
      </c>
      <c r="G58" s="2340"/>
      <c r="H58" s="2343"/>
      <c r="I58" s="1670"/>
      <c r="J58" s="3329"/>
      <c r="K58" s="3329"/>
      <c r="L58" s="2316" t="s">
        <v>1370</v>
      </c>
      <c r="M58" s="2320"/>
      <c r="N58" s="2321" t="str">
        <f ca="1">NUMBERSTRING(INT(N57*10000),2)&amp;"元整"</f>
        <v>零元整</v>
      </c>
      <c r="O58" s="2322"/>
    </row>
    <row r="59" spans="1:35" ht="24.6" thickBot="1">
      <c r="A59" s="3332" t="s">
        <v>1371</v>
      </c>
      <c r="B59" s="3333"/>
      <c r="C59" s="3333"/>
      <c r="D59" s="2345">
        <f ca="1">IF(H59="非个人房产","——",IF(H59="个人住宅（满五唯一有凭证）",0,IF(H59="个人其他（无凭证）",ROUND(D45*F59,0),ROUND(C67*F59,0))))</f>
        <v>0</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2133</v>
      </c>
      <c r="J59" s="3330">
        <f>J57+1</f>
        <v>6</v>
      </c>
      <c r="K59" s="3329" t="s">
        <v>1372</v>
      </c>
      <c r="L59" s="2309" t="s">
        <v>1368</v>
      </c>
      <c r="M59" s="2323"/>
      <c r="N59" s="2324">
        <f ca="1">M49-N57</f>
        <v>0</v>
      </c>
      <c r="O59" s="2325"/>
    </row>
    <row r="60" spans="1:35" ht="12" customHeight="1">
      <c r="A60" s="1671"/>
      <c r="B60" s="646"/>
      <c r="C60" s="646"/>
      <c r="D60" s="646"/>
      <c r="E60" s="1466"/>
      <c r="F60" s="1670"/>
      <c r="G60" s="1670"/>
      <c r="H60" s="151"/>
      <c r="I60" s="121"/>
      <c r="J60" s="3331"/>
      <c r="K60" s="3329"/>
      <c r="L60" s="2316" t="s">
        <v>1370</v>
      </c>
      <c r="M60" s="2320"/>
      <c r="N60" s="2321" t="str">
        <f ca="1">NUMBERSTRING(INT(N59*10000),2)&amp;"元整"</f>
        <v>零元整</v>
      </c>
      <c r="O60" s="2322"/>
    </row>
    <row r="61" spans="1:35" ht="13.8" thickBot="1">
      <c r="A61" s="3277" t="s">
        <v>1373</v>
      </c>
      <c r="B61" s="3277"/>
      <c r="C61" s="3277"/>
      <c r="D61" s="3277"/>
      <c r="E61" s="3277"/>
      <c r="F61" s="1670"/>
      <c r="G61" s="1670"/>
      <c r="H61" s="151"/>
      <c r="I61" s="121"/>
      <c r="J61" s="2309">
        <f>J59+1</f>
        <v>7</v>
      </c>
      <c r="K61" s="3329" t="s">
        <v>1374</v>
      </c>
      <c r="L61" s="3329"/>
      <c r="M61" s="2326"/>
      <c r="N61" s="2327">
        <f ca="1">ROUND(N59*10000/'数据-汇总表'!E3,0)</f>
        <v>0</v>
      </c>
      <c r="O61" s="2328"/>
    </row>
    <row r="62" spans="1:35" ht="13.2">
      <c r="A62" s="3295" t="s">
        <v>1375</v>
      </c>
      <c r="B62" s="3296"/>
      <c r="C62" s="1865"/>
      <c r="D62" s="1865" t="s">
        <v>1376</v>
      </c>
      <c r="E62" s="158" t="s">
        <v>1377</v>
      </c>
      <c r="F62" s="1670"/>
      <c r="G62" s="1670"/>
      <c r="H62" s="151"/>
      <c r="I62" s="121"/>
    </row>
    <row r="63" spans="1:35" ht="13.2">
      <c r="A63" s="165" t="s">
        <v>330</v>
      </c>
      <c r="B63" s="159" t="s">
        <v>1378</v>
      </c>
      <c r="C63" s="2349">
        <f ca="1">ROUND((C64+C65)/(1+'数据-取费表'!C42),0)</f>
        <v>0</v>
      </c>
      <c r="D63" s="159"/>
      <c r="E63" s="160"/>
      <c r="F63" s="1670"/>
      <c r="G63" s="1670"/>
      <c r="H63" s="151"/>
      <c r="I63" s="121"/>
      <c r="J63" s="3354" t="s">
        <v>1379</v>
      </c>
      <c r="K63" s="1245" t="s">
        <v>1380</v>
      </c>
      <c r="L63" s="1245">
        <f ca="1">IF(M49&gt;10000,M49*0.5%,IF(AND(M49&gt;1000,M49&lt;=10000),M49*1%,IF(AND(M49&gt;100,M49&lt;=1000),M49*3%,IF(AND(M49&gt;10,M49&lt;=100),M49*5%,M49*8%))))</f>
        <v>0</v>
      </c>
      <c r="M63" s="294">
        <f ca="1">ROUND(L63,1)</f>
        <v>0</v>
      </c>
      <c r="N63" s="2329"/>
      <c r="Z63" s="1623"/>
      <c r="AI63" s="1561"/>
    </row>
    <row r="64" spans="1:35" ht="14.25" customHeight="1">
      <c r="A64" s="161" t="s">
        <v>325</v>
      </c>
      <c r="B64" s="162" t="s">
        <v>1381</v>
      </c>
      <c r="C64" s="2350">
        <f ca="1">D45</f>
        <v>0</v>
      </c>
      <c r="D64" s="162" t="s">
        <v>26</v>
      </c>
      <c r="E64" s="164"/>
      <c r="F64" s="1670"/>
      <c r="G64" s="1670"/>
      <c r="H64" s="151"/>
      <c r="I64" s="121"/>
      <c r="J64" s="3354"/>
      <c r="K64" s="1245" t="s">
        <v>1382</v>
      </c>
      <c r="L64" s="1245"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30" t="s">
        <v>1383</v>
      </c>
      <c r="Z64" s="1623"/>
      <c r="AI64" s="1561"/>
    </row>
    <row r="65" spans="1:35" ht="14.25" customHeight="1">
      <c r="A65" s="161" t="s">
        <v>326</v>
      </c>
      <c r="B65" s="162" t="s">
        <v>1384</v>
      </c>
      <c r="C65" s="2351"/>
      <c r="D65" s="162"/>
      <c r="E65" s="164"/>
      <c r="F65" s="1670"/>
      <c r="G65" s="1670"/>
      <c r="H65" s="151"/>
      <c r="I65" s="121"/>
      <c r="J65" s="3354"/>
      <c r="K65" s="1245" t="s">
        <v>1385</v>
      </c>
      <c r="L65" s="1245" t="b">
        <f ca="1">IF(M49&gt;1000,M49*0.1%,IF(AND(M49&gt;500,M49&lt;=1000),M49*0.5%,IF(AND(M49&gt;50,M49&lt;=500),M49*1%,IF(AND(M49&gt;1,M49&lt;=50),M49*1.5%))))</f>
        <v>0</v>
      </c>
      <c r="M65" s="294">
        <f t="shared" ca="1" si="1"/>
        <v>0</v>
      </c>
      <c r="N65" s="2330" t="s">
        <v>1383</v>
      </c>
      <c r="Z65" s="1623"/>
      <c r="AI65" s="1561"/>
    </row>
    <row r="66" spans="1:35" ht="14.25" customHeight="1">
      <c r="A66" s="165" t="s">
        <v>327</v>
      </c>
      <c r="B66" s="166" t="s">
        <v>1386</v>
      </c>
      <c r="C66" s="2352"/>
      <c r="D66" s="166" t="s">
        <v>26</v>
      </c>
      <c r="E66" s="1251" t="s">
        <v>671</v>
      </c>
      <c r="F66" s="1670"/>
      <c r="G66" s="1670"/>
      <c r="H66" s="151"/>
      <c r="I66" s="121"/>
      <c r="J66" s="3354"/>
      <c r="K66" s="1245" t="s">
        <v>1387</v>
      </c>
      <c r="L66" s="1245">
        <f ca="1">M49*0.5%</f>
        <v>0</v>
      </c>
      <c r="M66" s="294">
        <f ca="1">IF(L66&gt;0.5,0.5,ROUND(L66,0))</f>
        <v>0</v>
      </c>
      <c r="N66" s="2330" t="s">
        <v>1388</v>
      </c>
      <c r="Z66" s="1623"/>
      <c r="AI66" s="1561"/>
    </row>
    <row r="67" spans="1:35" ht="14.25" customHeight="1">
      <c r="A67" s="165" t="s">
        <v>328</v>
      </c>
      <c r="B67" s="166" t="s">
        <v>1389</v>
      </c>
      <c r="C67" s="2353">
        <f ca="1">C63-C66</f>
        <v>0</v>
      </c>
      <c r="D67" s="162" t="s">
        <v>26</v>
      </c>
      <c r="E67" s="164"/>
      <c r="F67" s="1670"/>
      <c r="G67" s="1670"/>
      <c r="H67" s="151"/>
      <c r="I67" s="121"/>
      <c r="J67" s="3354"/>
      <c r="K67" s="1245" t="s">
        <v>1390</v>
      </c>
      <c r="L67" s="1245"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9"/>
      <c r="Z67" s="1623"/>
      <c r="AI67" s="1561"/>
    </row>
    <row r="68" spans="1:35" ht="14.25" customHeight="1" thickBot="1">
      <c r="A68" s="168" t="s">
        <v>329</v>
      </c>
      <c r="B68" s="169" t="s">
        <v>1391</v>
      </c>
      <c r="C68" s="2354">
        <f ca="1">IF(C67&lt;=0,0,ROUND(C67*D68,0))</f>
        <v>0</v>
      </c>
      <c r="D68" s="2355">
        <f>'数据-取费表'!B41</f>
        <v>5.6000000000000001E-2</v>
      </c>
      <c r="E68" s="170"/>
      <c r="F68" s="1670"/>
      <c r="G68" s="1670"/>
      <c r="H68" s="151"/>
      <c r="I68" s="121"/>
      <c r="J68" s="3354"/>
      <c r="K68" s="1245" t="s">
        <v>1392</v>
      </c>
      <c r="L68" s="1245">
        <f ca="1">IF(M49&gt;10000,M49*0.5%,IF(AND(M49&gt;5000,M49&lt;=10000),M49*1%,IF(AND(M49&gt;1000,M49&lt;=5000),M49*2%,IF(AND(M49&gt;200,M49&lt;=1000),M49*3%,M49*5%))))</f>
        <v>0</v>
      </c>
      <c r="M68" s="294">
        <f ca="1">ROUND(L68,1)</f>
        <v>0</v>
      </c>
      <c r="N68" s="2329"/>
      <c r="Z68" s="1623"/>
      <c r="AI68" s="1561"/>
    </row>
    <row r="69" spans="1:35" ht="16.5" customHeight="1">
      <c r="A69" s="1672"/>
      <c r="B69" s="1673"/>
      <c r="C69" s="1674"/>
      <c r="D69" s="1675"/>
      <c r="E69" s="1676"/>
      <c r="F69" s="1466"/>
      <c r="G69" s="1466"/>
      <c r="H69" s="1467"/>
      <c r="I69" s="646"/>
      <c r="J69" s="3354"/>
      <c r="K69" s="1245" t="s">
        <v>1393</v>
      </c>
      <c r="L69" s="1245"/>
      <c r="M69" s="294">
        <f ca="1">ROUND(SUM(M63:M68),0)</f>
        <v>0</v>
      </c>
      <c r="N69" s="2331" t="e">
        <f ca="1">M69/M49</f>
        <v>#DIV/0!</v>
      </c>
      <c r="Z69" s="1623"/>
      <c r="AI69" s="1561"/>
    </row>
    <row r="70" spans="1:35" s="642" customFormat="1" ht="14.4" thickBot="1">
      <c r="A70" s="3316" t="s">
        <v>1394</v>
      </c>
      <c r="B70" s="3317"/>
      <c r="C70" s="3317"/>
      <c r="D70" s="3317"/>
      <c r="E70" s="3317"/>
      <c r="F70" s="3317"/>
      <c r="G70" s="3317"/>
      <c r="H70" s="331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5" t="s">
        <v>1375</v>
      </c>
      <c r="B71" s="329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0</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90" t="s">
        <v>1402</v>
      </c>
      <c r="F76" s="3264"/>
      <c r="G76" s="3264"/>
      <c r="H76" s="331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0</v>
      </c>
      <c r="D78" s="2362">
        <f>'数据-取费表'!B43</f>
        <v>6.000000000000001E-3</v>
      </c>
      <c r="E78" s="3274" t="s">
        <v>1406</v>
      </c>
      <c r="F78" s="3275"/>
      <c r="G78" s="3275"/>
      <c r="H78" s="328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328</v>
      </c>
      <c r="B79" s="166" t="s">
        <v>1407</v>
      </c>
      <c r="C79" s="2353">
        <f ca="1">C72-C73</f>
        <v>0</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6" t="s">
        <v>1410</v>
      </c>
      <c r="B83" s="3317"/>
      <c r="C83" s="3317"/>
      <c r="D83" s="3317"/>
      <c r="E83" s="3317"/>
      <c r="F83" s="3317"/>
      <c r="G83" s="3317"/>
      <c r="H83" s="331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5" t="s">
        <v>1375</v>
      </c>
      <c r="B84" s="329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0</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0</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7"/>
      <c r="G88" s="186" t="s">
        <v>1414</v>
      </c>
      <c r="H88" s="1684"/>
      <c r="I88" s="1681"/>
      <c r="J88" s="2307"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7"/>
      <c r="G90" s="3356" t="s">
        <v>2125</v>
      </c>
      <c r="H90" s="3357"/>
      <c r="I90" s="1681"/>
      <c r="J90" s="2307"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74" t="s">
        <v>1419</v>
      </c>
      <c r="F91" s="3275"/>
      <c r="G91" s="327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74" t="s">
        <v>1422</v>
      </c>
      <c r="F92" s="3275"/>
      <c r="G92" s="3275"/>
      <c r="H92" s="3284"/>
      <c r="I92" s="1681"/>
      <c r="J92" s="2308"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0</v>
      </c>
      <c r="D93" s="2362">
        <f>'数据-取费表'!B43</f>
        <v>6.000000000000001E-3</v>
      </c>
      <c r="E93" s="3274" t="s">
        <v>1406</v>
      </c>
      <c r="F93" s="3275"/>
      <c r="G93" s="3275"/>
      <c r="H93" s="328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85" t="s">
        <v>1426</v>
      </c>
      <c r="F94" s="3286"/>
      <c r="G94" s="3286"/>
      <c r="H94" s="328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328</v>
      </c>
      <c r="B95" s="166" t="s">
        <v>1407</v>
      </c>
      <c r="C95" s="2353">
        <f ca="1">ROUND(C85-C86,0)</f>
        <v>0</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8" t="s">
        <v>1428</v>
      </c>
      <c r="B100" s="3259"/>
      <c r="C100" s="3259"/>
      <c r="D100" s="3276"/>
      <c r="E100" s="3259" t="s">
        <v>1429</v>
      </c>
      <c r="F100" s="3259"/>
      <c r="G100" s="3259"/>
      <c r="H100" s="3276"/>
      <c r="I100" s="121"/>
    </row>
    <row r="101" spans="1:35" ht="18.75" customHeight="1">
      <c r="A101" s="3337" t="s">
        <v>1430</v>
      </c>
      <c r="B101" s="3338"/>
      <c r="C101" s="2370" t="str">
        <f>C4</f>
        <v>比较法-商业2层</v>
      </c>
      <c r="D101" s="2371" t="str">
        <f>D4</f>
        <v>收益法 (元) 2层</v>
      </c>
      <c r="E101" s="3351" t="s">
        <v>1431</v>
      </c>
      <c r="F101" s="3308"/>
      <c r="G101" s="1687" t="s">
        <v>1432</v>
      </c>
      <c r="H101" s="2380">
        <f ca="1">H118</f>
        <v>0</v>
      </c>
      <c r="I101" s="121"/>
    </row>
    <row r="102" spans="1:35" ht="18.75" customHeight="1">
      <c r="A102" s="3310" t="s">
        <v>1433</v>
      </c>
      <c r="B102" s="2369" t="s">
        <v>1432</v>
      </c>
      <c r="C102" s="2370">
        <f ca="1">IF(D32="楼面单价",ROUND(C19,0),C19)</f>
        <v>0</v>
      </c>
      <c r="D102" s="2371" t="e">
        <f ca="1">IF(D32="楼面单价",ROUND(D19,0),D19)</f>
        <v>#N/A</v>
      </c>
      <c r="E102" s="3351"/>
      <c r="F102" s="3308"/>
      <c r="G102" s="1687" t="s">
        <v>1434</v>
      </c>
      <c r="H102" s="2340">
        <f ca="1">I118</f>
        <v>16768</v>
      </c>
      <c r="I102" s="121"/>
    </row>
    <row r="103" spans="1:35" ht="42.75" customHeight="1">
      <c r="A103" s="3310"/>
      <c r="B103" s="2369" t="s">
        <v>1434</v>
      </c>
      <c r="C103" s="2372">
        <f ca="1">C20</f>
        <v>41921</v>
      </c>
      <c r="D103" s="2373">
        <f ca="1">D20</f>
        <v>0</v>
      </c>
      <c r="E103" s="3345" t="s">
        <v>1435</v>
      </c>
      <c r="F103" s="3346"/>
      <c r="G103" s="1688" t="s">
        <v>1436</v>
      </c>
      <c r="H103" s="2380">
        <f>IF(D36="正常操作",H104+H105+H106,H105+H106)</f>
        <v>0</v>
      </c>
      <c r="I103" s="121"/>
    </row>
    <row r="104" spans="1:35" ht="18.75" customHeight="1">
      <c r="A104" s="3310" t="s">
        <v>1437</v>
      </c>
      <c r="B104" s="2374" t="s">
        <v>1432</v>
      </c>
      <c r="C104" s="2375">
        <f ca="1">H118</f>
        <v>0</v>
      </c>
      <c r="D104" s="2376"/>
      <c r="E104" s="1555" t="s">
        <v>1438</v>
      </c>
      <c r="F104" s="1548"/>
      <c r="G104" s="1688" t="s">
        <v>1436</v>
      </c>
      <c r="H104" s="2381">
        <f>IF(D36="同一抵押权人同一抵押物续贷",C36&amp;"（续贷，未扣减，详见特别提示）",C36)</f>
        <v>0</v>
      </c>
      <c r="I104" s="121"/>
    </row>
    <row r="105" spans="1:35" ht="18.75" customHeight="1" thickBot="1">
      <c r="A105" s="3311"/>
      <c r="B105" s="2377" t="s">
        <v>1434</v>
      </c>
      <c r="C105" s="2378">
        <f ca="1">I118</f>
        <v>16768</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7" t="str">
        <f>IF(项目基本情况!E8="已注销","——","3.房地产抵押价值")</f>
        <v>3.房地产抵押价值</v>
      </c>
      <c r="F107" s="3308"/>
      <c r="G107" s="1687" t="s">
        <v>1432</v>
      </c>
      <c r="H107" s="2380">
        <f ca="1">IF(E107="——","——",H101-H103)</f>
        <v>0</v>
      </c>
      <c r="I107" s="121"/>
    </row>
    <row r="108" spans="1:35" ht="18.75" customHeight="1">
      <c r="A108" s="121"/>
      <c r="B108" s="121"/>
      <c r="C108" s="121"/>
      <c r="D108" s="121"/>
      <c r="E108" s="3307"/>
      <c r="F108" s="3308"/>
      <c r="G108" s="1687" t="s">
        <v>1434</v>
      </c>
      <c r="H108" s="2340">
        <f ca="1">IF(H107=H101,H102,ROUND(H107*10000/'数据-汇总表'!E3,0))</f>
        <v>16768</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308"/>
      <c r="G109" s="1687" t="s">
        <v>1432</v>
      </c>
      <c r="H109" s="2383" t="str">
        <f>IF(E109="——","——",H101-H105-H106)</f>
        <v>——</v>
      </c>
      <c r="I109" s="121"/>
    </row>
    <row r="110" spans="1:35" ht="18.75" customHeight="1">
      <c r="A110" s="121"/>
      <c r="B110" s="121"/>
      <c r="C110" s="121"/>
      <c r="D110" s="121"/>
      <c r="E110" s="3307"/>
      <c r="F110" s="3308"/>
      <c r="G110" s="1687" t="s">
        <v>1434</v>
      </c>
      <c r="H110" s="2340" t="str">
        <f>IF(H109="——","——",ROUND(H109*10000/'数据-汇总表'!E3,0))</f>
        <v>——</v>
      </c>
      <c r="I110" s="121"/>
    </row>
    <row r="111" spans="1:35" ht="18.75" customHeight="1">
      <c r="A111" s="121"/>
      <c r="B111" s="121"/>
      <c r="C111" s="121"/>
      <c r="D111" s="121"/>
      <c r="E111" s="3339" t="str">
        <f>IF(项目基本情况!E9="抵押净值",IF(OR(项目基本情况!E8="已注销",项目基本情况!E8="房地产抵押价值"),"4.抵押净值","5.抵押净值"),"——")</f>
        <v>——</v>
      </c>
      <c r="F111" s="3309"/>
      <c r="G111" s="1687" t="s">
        <v>1432</v>
      </c>
      <c r="H111" s="2380" t="str">
        <f>IF(E111="——","——",N59)</f>
        <v>——</v>
      </c>
      <c r="I111" s="121"/>
    </row>
    <row r="112" spans="1:35" ht="18.75" customHeight="1" thickBot="1">
      <c r="A112" s="121"/>
      <c r="B112" s="121"/>
      <c r="C112" s="121"/>
      <c r="D112" s="121"/>
      <c r="E112" s="3340"/>
      <c r="F112" s="3341"/>
      <c r="G112" s="1690" t="s">
        <v>1434</v>
      </c>
      <c r="H112" s="2384" t="str">
        <f>IF(E111="——","——",N61)</f>
        <v>——</v>
      </c>
      <c r="I112" s="121"/>
    </row>
    <row r="113" spans="1:27" ht="18.75" customHeight="1">
      <c r="A113" s="121"/>
      <c r="B113" s="121"/>
      <c r="C113" s="121"/>
      <c r="D113" s="121"/>
      <c r="E113" s="3312" t="s">
        <v>1440</v>
      </c>
      <c r="F113" s="3312"/>
      <c r="G113" s="3312"/>
      <c r="H113" s="3312"/>
      <c r="I113" s="121"/>
    </row>
    <row r="114" spans="1:27" ht="3.75" customHeight="1">
      <c r="A114" s="646"/>
      <c r="B114" s="646"/>
      <c r="C114" s="646"/>
      <c r="D114" s="646"/>
      <c r="E114" s="1671"/>
      <c r="F114" s="1671"/>
      <c r="G114" s="1671"/>
      <c r="H114" s="1671"/>
      <c r="I114" s="646"/>
    </row>
    <row r="115" spans="1:27" ht="18.75" customHeight="1">
      <c r="A115" s="3322" t="s">
        <v>1442</v>
      </c>
      <c r="B115" s="3323"/>
      <c r="C115" s="3323"/>
      <c r="D115" s="3323"/>
      <c r="E115" s="3323"/>
      <c r="F115" s="3323"/>
      <c r="G115" s="3323"/>
      <c r="H115" s="3323"/>
      <c r="I115" s="3324"/>
    </row>
    <row r="116" spans="1:27" ht="27" customHeight="1">
      <c r="A116" s="3278" t="s">
        <v>1443</v>
      </c>
      <c r="B116" s="3313" t="s">
        <v>1444</v>
      </c>
      <c r="C116" s="3313" t="s">
        <v>1445</v>
      </c>
      <c r="D116" s="3326" t="s">
        <v>1446</v>
      </c>
      <c r="E116" s="3327"/>
      <c r="F116" s="3321" t="s">
        <v>1447</v>
      </c>
      <c r="G116" s="3321"/>
      <c r="H116" s="3278" t="s">
        <v>1448</v>
      </c>
      <c r="I116" s="3278"/>
    </row>
    <row r="117" spans="1:27" ht="18.75" customHeight="1">
      <c r="A117" s="3278"/>
      <c r="B117" s="3314"/>
      <c r="C117" s="3314"/>
      <c r="D117" s="2149" t="s">
        <v>1449</v>
      </c>
      <c r="E117" s="2149" t="s">
        <v>1450</v>
      </c>
      <c r="F117" s="2149" t="s">
        <v>1449</v>
      </c>
      <c r="G117" s="2149" t="s">
        <v>1451</v>
      </c>
      <c r="H117" s="2149" t="s">
        <v>1449</v>
      </c>
      <c r="I117" s="2149" t="s">
        <v>1451</v>
      </c>
    </row>
    <row r="118" spans="1:27" ht="24.75" customHeight="1">
      <c r="A118" s="2385" t="str">
        <f>项目基本情况!S2</f>
        <v>北京市朝阳区天溪园20号楼房地产</v>
      </c>
      <c r="B118" s="2149">
        <f>M18</f>
        <v>0</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0</v>
      </c>
      <c r="I118" s="2149">
        <f ca="1">ROUND(IF(D32="楼面单价",C32,H118*10000/B118),0)</f>
        <v>16768</v>
      </c>
    </row>
    <row r="119" spans="1:27" ht="18.75" customHeight="1">
      <c r="A119" s="3278" t="s">
        <v>1452</v>
      </c>
      <c r="B119" s="3278"/>
      <c r="C119" s="3278"/>
      <c r="D119" s="3318" t="str">
        <f>NUMBERSTRING(INT(D118*10000),2)&amp;"元整"</f>
        <v>零元整</v>
      </c>
      <c r="E119" s="3320"/>
      <c r="F119" s="3318" t="str">
        <f>NUMBERSTRING(INT(F118*10000),2)&amp;"元整"</f>
        <v>零元整</v>
      </c>
      <c r="G119" s="3320"/>
      <c r="H119" s="3318" t="str">
        <f ca="1">NUMBERSTRING(INT(H118*10000),2)&amp;"元整"</f>
        <v>零元整</v>
      </c>
      <c r="I119" s="3320"/>
    </row>
    <row r="120" spans="1:27" ht="18.75" customHeight="1">
      <c r="A120" s="3342" t="str">
        <f>IF(项目基本情况!B9="房地产市场价值","",MID(E103,3,LEN(E103)-2))</f>
        <v>估价师知悉的法定优先受偿款</v>
      </c>
      <c r="B120" s="3343"/>
      <c r="C120" s="3344"/>
      <c r="D120" s="3342">
        <f>H103</f>
        <v>0</v>
      </c>
      <c r="E120" s="3343"/>
      <c r="F120" s="3343"/>
      <c r="G120" s="3343"/>
      <c r="H120" s="3343"/>
      <c r="I120" s="334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8" t="s">
        <v>1452</v>
      </c>
      <c r="B121" s="3319"/>
      <c r="C121" s="3320"/>
      <c r="D121" s="3318" t="str">
        <f>IF(D120=0,"零元整",NUMBERSTRING(INT(D120*10000),2)&amp;"元整")</f>
        <v>零元整</v>
      </c>
      <c r="E121" s="3319"/>
      <c r="F121" s="3319"/>
      <c r="G121" s="3319"/>
      <c r="H121" s="3319"/>
      <c r="I121" s="3320"/>
      <c r="AA121" s="684"/>
    </row>
    <row r="122" spans="1:27" ht="18.75" customHeight="1">
      <c r="A122" s="3309" t="str">
        <f>IF(项目基本情况!B9="房地产市场价值","",MID(E107,3,LEN(E107)-2))</f>
        <v>房地产抵押价值</v>
      </c>
      <c r="B122" s="3309"/>
      <c r="C122" s="3309"/>
      <c r="D122" s="3342">
        <f ca="1">H107</f>
        <v>0</v>
      </c>
      <c r="E122" s="3343"/>
      <c r="F122" s="3343"/>
      <c r="G122" s="3343"/>
      <c r="H122" s="3343"/>
      <c r="I122" s="3344"/>
      <c r="AA122" s="684"/>
    </row>
    <row r="123" spans="1:27" ht="18.75" customHeight="1">
      <c r="A123" s="3278" t="s">
        <v>1452</v>
      </c>
      <c r="B123" s="3278"/>
      <c r="C123" s="3278"/>
      <c r="D123" s="3318" t="str">
        <f ca="1">NUMBERSTRING(INT(D122*10000),2)&amp;"元整"</f>
        <v>零元整</v>
      </c>
      <c r="E123" s="3319"/>
      <c r="F123" s="3319"/>
      <c r="G123" s="3319"/>
      <c r="H123" s="3319"/>
      <c r="I123" s="3320"/>
      <c r="AA123" s="684"/>
    </row>
    <row r="124" spans="1:27" ht="18.75" customHeight="1">
      <c r="A124" s="3309" t="str">
        <f>IF(项目基本情况!B9="房地产市场价值","",MID(E109,3,LEN(E109)-2))</f>
        <v/>
      </c>
      <c r="B124" s="3309"/>
      <c r="C124" s="3309"/>
      <c r="D124" s="3342" t="str">
        <f>H109</f>
        <v>——</v>
      </c>
      <c r="E124" s="3343"/>
      <c r="F124" s="3343"/>
      <c r="G124" s="3343"/>
      <c r="H124" s="3343"/>
      <c r="I124" s="3344"/>
      <c r="AA124" s="684"/>
    </row>
    <row r="125" spans="1:27" ht="18.75" customHeight="1">
      <c r="A125" s="3278" t="s">
        <v>1452</v>
      </c>
      <c r="B125" s="3278"/>
      <c r="C125" s="3278"/>
      <c r="D125" s="3318" t="e">
        <f>NUMBERSTRING(INT(D124*10000),2)&amp;"元整"</f>
        <v>#VALUE!</v>
      </c>
      <c r="E125" s="3319"/>
      <c r="F125" s="3319"/>
      <c r="G125" s="3319"/>
      <c r="H125" s="3319"/>
      <c r="I125" s="3320"/>
      <c r="AA125" s="684"/>
    </row>
    <row r="126" spans="1:27" ht="18.75" customHeight="1">
      <c r="A126" s="3309" t="str">
        <f>IF(项目基本情况!B9="房地产市场价值","",MID(E111,3,LEN(E111)-2))</f>
        <v/>
      </c>
      <c r="B126" s="3309"/>
      <c r="C126" s="3309"/>
      <c r="D126" s="3342" t="str">
        <f>H111</f>
        <v>——</v>
      </c>
      <c r="E126" s="3343"/>
      <c r="F126" s="3343"/>
      <c r="G126" s="3343"/>
      <c r="H126" s="3343"/>
      <c r="I126" s="3344"/>
      <c r="AA126" s="684"/>
    </row>
    <row r="127" spans="1:27" ht="18.75" customHeight="1">
      <c r="A127" s="3278" t="s">
        <v>1452</v>
      </c>
      <c r="B127" s="3278"/>
      <c r="C127" s="3278"/>
      <c r="D127" s="3318" t="e">
        <f>NUMBERSTRING(INT(D126*10000),2)&amp;"元整"</f>
        <v>#VALUE!</v>
      </c>
      <c r="E127" s="3319"/>
      <c r="F127" s="3319"/>
      <c r="G127" s="3319"/>
      <c r="H127" s="3319"/>
      <c r="I127" s="3320"/>
      <c r="AA127" s="684"/>
    </row>
    <row r="128" spans="1:27" ht="21.75" customHeight="1">
      <c r="A128" s="3325" t="s">
        <v>1453</v>
      </c>
      <c r="B128" s="3325"/>
      <c r="C128" s="3325"/>
      <c r="D128" s="3325"/>
      <c r="E128" s="3325"/>
      <c r="F128" s="3325"/>
      <c r="G128" s="3325"/>
      <c r="H128" s="3325"/>
      <c r="I128" s="332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34"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6" stopIfTrue="1" operator="equal">
      <formula>25</formula>
    </cfRule>
  </conditionalFormatting>
  <conditionalFormatting sqref="C8:D13">
    <cfRule type="cellIs" dxfId="135" priority="5" stopIfTrue="1" operator="equal">
      <formula>15</formula>
    </cfRule>
  </conditionalFormatting>
  <conditionalFormatting sqref="C14:D16">
    <cfRule type="cellIs" dxfId="134" priority="4"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D92" xr:uid="{C093FFB6-8B5F-4B65-BCFE-829A08B7CFB8}">
      <formula1>"0,5%,10%"</formula1>
    </dataValidation>
    <dataValidation type="list" allowBlank="1" showInputMessage="1" showErrorMessage="1" sqref="H59" xr:uid="{F9EE6B67-8064-47CD-85D6-98AF4ADC4154}">
      <formula1>"非个人房产,个人住宅（满五唯一有凭证）,个人其他（有凭证）,个人其他（无凭证）"</formula1>
    </dataValidation>
    <dataValidation type="list" allowBlank="1" showInputMessage="1" showErrorMessage="1" sqref="E103" xr:uid="{D5516CB4-FD34-45F6-85BA-1E89DAC5CA46}">
      <formula1>"2.估价师知悉的法定优先受偿款,2.估价师知悉的除抵押担保权以外的法定优先受偿款"</formula1>
    </dataValidation>
    <dataValidation type="list" allowBlank="1" showInputMessage="1" showErrorMessage="1" sqref="G77" xr:uid="{689D49D8-DCFE-43DF-BA5B-9073B145F082}">
      <formula1>"个人住宅,2016年5月1日前购买,2016年5月1日后购买"</formula1>
    </dataValidation>
    <dataValidation type="list" allowBlank="1" showInputMessage="1" showErrorMessage="1" sqref="C1" xr:uid="{5A70680A-199E-4548-904D-E4F7D3DB8BE2}">
      <formula1>项目类型</formula1>
    </dataValidation>
    <dataValidation type="list" allowBlank="1" showInputMessage="1" showErrorMessage="1" sqref="I1" xr:uid="{C055169F-1B80-45FC-BA3D-08FC584709F0}">
      <formula1>"项目局部,项目全部,——"</formula1>
    </dataValidation>
    <dataValidation type="list" showInputMessage="1" showErrorMessage="1" sqref="G1" xr:uid="{ADFA9B2A-6945-454F-9656-0F1036880195}">
      <formula1>"现房,在建,土地,-"</formula1>
    </dataValidation>
    <dataValidation type="list" allowBlank="1" showInputMessage="1" showErrorMessage="1" sqref="C129" xr:uid="{2D749718-706A-4067-8B53-CCD4395F16E6}">
      <formula1>"无,有"</formula1>
    </dataValidation>
    <dataValidation type="list" allowBlank="1" showInputMessage="1" showErrorMessage="1" sqref="F116:G116" xr:uid="{720CAB29-59E7-4C19-8372-C03617051CD1}">
      <formula1>"建筑物价值,在建建筑物价值,建筑物/在建建筑物价值"</formula1>
    </dataValidation>
    <dataValidation type="list" allowBlank="1" showInputMessage="1" showErrorMessage="1" sqref="D116:E116" xr:uid="{193D873D-EABC-48C2-9B68-90971D4B4243}">
      <formula1>"出让国有建设用地使用权价值,划拨国有建设用地使用权价值"</formula1>
    </dataValidation>
    <dataValidation type="list" allowBlank="1" showInputMessage="1" showErrorMessage="1" sqref="C116:C117" xr:uid="{9AE8AF5A-A601-4673-81B3-3414C161BC0E}">
      <formula1>"土地面积,分摊土地面积,（分摊）土地面积"</formula1>
    </dataValidation>
    <dataValidation type="list" allowBlank="1" showInputMessage="1" showErrorMessage="1" sqref="B116:B117" xr:uid="{2640E59F-331C-48D3-A676-8047A947A7F2}">
      <formula1>"建筑面积,规划建筑面积,（规划）建筑面积"</formula1>
    </dataValidation>
    <dataValidation type="list" allowBlank="1" showInputMessage="1" showErrorMessage="1" sqref="D36" xr:uid="{C7AAEDD7-A9B5-4300-B3CD-F93CD0D4BE38}">
      <formula1>"同一抵押权人同一抵押物续贷,注销后放款,正常操作"</formula1>
    </dataValidation>
    <dataValidation type="list" allowBlank="1" showInputMessage="1" showErrorMessage="1" sqref="F75" xr:uid="{FD9AEA6F-756F-4886-8622-061A54F04638}">
      <formula1>"买卖合同,购房发票"</formula1>
    </dataValidation>
    <dataValidation type="list" allowBlank="1" showInputMessage="1" showErrorMessage="1" sqref="H88" xr:uid="{B333A2CC-9F97-4A45-B2D8-1BCA6DE809AC}">
      <formula1>"仅含出让金,出让金+开发费"</formula1>
    </dataValidation>
    <dataValidation type="list" allowBlank="1" showInputMessage="1" showErrorMessage="1" sqref="H91" xr:uid="{692FFD16-2203-4FB1-B441-9A80DE75807E}">
      <formula1>"企业提供（在右侧录入）,——"</formula1>
    </dataValidation>
    <dataValidation type="list" allowBlank="1" showInputMessage="1" showErrorMessage="1" sqref="C33" xr:uid="{AA7EC4D4-B088-4446-BF3F-D079B5B07C96}">
      <formula1>"成本比率,收益比率,自定义"</formula1>
    </dataValidation>
    <dataValidation type="list" allowBlank="1" showInputMessage="1" showErrorMessage="1" sqref="F45" xr:uid="{9BE948A0-68E8-41D0-A1CA-0FAA6D5D94CB}">
      <formula1>"100%,70%,56%"</formula1>
    </dataValidation>
    <dataValidation type="list" allowBlank="1" showInputMessage="1" showErrorMessage="1" sqref="D32" xr:uid="{54A9428C-205E-42BB-9920-B9058A56811E}">
      <formula1>"总价,楼面单价"</formula1>
    </dataValidation>
    <dataValidation type="list" allowBlank="1" showInputMessage="1" showErrorMessage="1" sqref="H58" xr:uid="{67459DEC-5A1F-4CE4-98C8-1C652BF67FF9}">
      <formula1>"转让取得,自行开发建设"</formula1>
    </dataValidation>
    <dataValidation type="list" allowBlank="1" showInputMessage="1" showErrorMessage="1" sqref="H48" xr:uid="{C7881968-4798-45F8-A4EC-5733139C7307}">
      <formula1>"情况1,情况2,情况3,情况4"</formula1>
    </dataValidation>
    <dataValidation type="list" allowBlank="1" showInputMessage="1" showErrorMessage="1" sqref="H55:H56" xr:uid="{C1C95605-B50E-442D-96CE-08A6E0310D3E}">
      <formula1>"个人住宅,正常"</formula1>
    </dataValidation>
    <dataValidation type="list" allowBlank="1" showInputMessage="1" showErrorMessage="1" sqref="C4:D4 D33" xr:uid="{0906210C-B4FA-40B3-A1F4-0F621914598D}">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AE8E92-281D-4280-8619-C2271E04B438}">
  <sheetPr>
    <tabColor rgb="FF92D050"/>
    <pageSetUpPr fitToPage="1"/>
  </sheetPr>
  <dimension ref="A1:AC131"/>
  <sheetViews>
    <sheetView view="pageBreakPreview" topLeftCell="A67" zoomScale="60" zoomScaleNormal="70" workbookViewId="0">
      <selection activeCell="C86" sqref="C86"/>
    </sheetView>
  </sheetViews>
  <sheetFormatPr defaultColWidth="9" defaultRowHeight="13.8"/>
  <cols>
    <col min="1" max="1" width="10.44140625" style="347" customWidth="1"/>
    <col min="2" max="2" width="15.77734375" style="347" customWidth="1"/>
    <col min="3" max="3" width="17.88671875" style="347" customWidth="1"/>
    <col min="4" max="4" width="12.21875" style="347" customWidth="1"/>
    <col min="5" max="5" width="17.44140625" style="347" customWidth="1"/>
    <col min="6" max="6" width="12.21875" style="347" customWidth="1"/>
    <col min="7" max="7" width="17.77734375" style="347" customWidth="1"/>
    <col min="8" max="8" width="12.21875" style="347" customWidth="1"/>
    <col min="9" max="9" width="18.10937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t="s">
        <v>3434</v>
      </c>
      <c r="E1" s="3123" t="s">
        <v>3422</v>
      </c>
      <c r="F1" s="1735" t="s">
        <v>3423</v>
      </c>
      <c r="G1" s="1152" t="s">
        <v>1663</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685</v>
      </c>
      <c r="B2" s="1085">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686</v>
      </c>
      <c r="B3" s="536">
        <f>IF(C2="——",C49,ROUND(B2*10000/D3,0))</f>
        <v>41921</v>
      </c>
      <c r="C3" s="344" t="s">
        <v>1665</v>
      </c>
      <c r="D3" s="343">
        <f>IF(D1="",'数据-汇总表'!E3,SUMIF('数据-汇总表'!$C19:$C33,D1,'数据-汇总表'!$E19:$E33))</f>
        <v>0</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1666</v>
      </c>
      <c r="B4" s="346"/>
      <c r="C4" s="3384" t="s">
        <v>1667</v>
      </c>
      <c r="D4" s="3385"/>
      <c r="E4" s="3386" t="s">
        <v>1668</v>
      </c>
      <c r="F4" s="3387"/>
      <c r="G4" s="3384" t="s">
        <v>1669</v>
      </c>
      <c r="H4" s="3385"/>
      <c r="I4" s="3384" t="s">
        <v>1670</v>
      </c>
      <c r="J4" s="3385"/>
      <c r="K4" s="537" t="s">
        <v>1671</v>
      </c>
      <c r="L4" s="2485"/>
      <c r="M4" s="2486"/>
      <c r="N4" s="2486"/>
      <c r="O4" s="2486"/>
      <c r="P4" s="3388" t="s">
        <v>1672</v>
      </c>
      <c r="Q4" s="3389"/>
      <c r="R4" s="3394" t="s">
        <v>1668</v>
      </c>
      <c r="S4" s="3395"/>
      <c r="T4" s="3394" t="s">
        <v>1669</v>
      </c>
      <c r="U4" s="3395"/>
      <c r="V4" s="3367" t="s">
        <v>1670</v>
      </c>
      <c r="W4" s="3367"/>
      <c r="X4" s="1265"/>
      <c r="Y4" s="3394" t="s">
        <v>1672</v>
      </c>
      <c r="Z4" s="3395"/>
      <c r="AA4" s="3381" t="s">
        <v>1668</v>
      </c>
      <c r="AB4" s="3367" t="s">
        <v>1669</v>
      </c>
      <c r="AC4" s="3381" t="s">
        <v>1670</v>
      </c>
    </row>
    <row r="5" spans="1:29">
      <c r="A5" s="348"/>
      <c r="B5" s="349"/>
      <c r="C5" s="3402" t="s">
        <v>1673</v>
      </c>
      <c r="D5" s="3403"/>
      <c r="E5" s="3409" t="s">
        <v>1674</v>
      </c>
      <c r="F5" s="3410"/>
      <c r="G5" s="3402" t="s">
        <v>1675</v>
      </c>
      <c r="H5" s="3403"/>
      <c r="I5" s="3402" t="s">
        <v>1676</v>
      </c>
      <c r="J5" s="3403"/>
      <c r="K5" s="537"/>
      <c r="L5" s="2485"/>
      <c r="M5" s="2486"/>
      <c r="N5" s="2486"/>
      <c r="O5" s="2486"/>
      <c r="P5" s="3390"/>
      <c r="Q5" s="3391"/>
      <c r="R5" s="3396"/>
      <c r="S5" s="3397"/>
      <c r="T5" s="3396"/>
      <c r="U5" s="3397"/>
      <c r="V5" s="3367"/>
      <c r="W5" s="3367"/>
      <c r="X5" s="1265"/>
      <c r="Y5" s="3396"/>
      <c r="Z5" s="3397"/>
      <c r="AA5" s="3382"/>
      <c r="AB5" s="3367"/>
      <c r="AC5" s="3382"/>
    </row>
    <row r="6" spans="1:29" ht="15" thickBot="1">
      <c r="A6" s="350"/>
      <c r="B6" s="351"/>
      <c r="C6" s="3400" t="s">
        <v>1677</v>
      </c>
      <c r="D6" s="3401"/>
      <c r="E6" s="3407" t="s">
        <v>1677</v>
      </c>
      <c r="F6" s="3408"/>
      <c r="G6" s="3400" t="s">
        <v>1677</v>
      </c>
      <c r="H6" s="3401"/>
      <c r="I6" s="3400" t="s">
        <v>1677</v>
      </c>
      <c r="J6" s="3401"/>
      <c r="K6" s="537" t="s">
        <v>1678</v>
      </c>
      <c r="L6" s="2485"/>
      <c r="M6" s="2486"/>
      <c r="N6" s="2486"/>
      <c r="O6" s="2486"/>
      <c r="P6" s="3392"/>
      <c r="Q6" s="3393"/>
      <c r="R6" s="3396"/>
      <c r="S6" s="3397"/>
      <c r="T6" s="3398"/>
      <c r="U6" s="3399"/>
      <c r="V6" s="3367"/>
      <c r="W6" s="3367"/>
      <c r="X6" s="1265"/>
      <c r="Y6" s="3398"/>
      <c r="Z6" s="3399"/>
      <c r="AA6" s="3383"/>
      <c r="AB6" s="3367"/>
      <c r="AC6" s="3383"/>
    </row>
    <row r="7" spans="1:29" s="102" customFormat="1" ht="15" thickBot="1">
      <c r="A7" s="352" t="s">
        <v>1679</v>
      </c>
      <c r="B7" s="353"/>
      <c r="C7" s="354">
        <f>'数据-取费表'!B2</f>
        <v>45831</v>
      </c>
      <c r="D7" s="355">
        <v>100</v>
      </c>
      <c r="E7" s="356">
        <f>C7</f>
        <v>45831</v>
      </c>
      <c r="F7" s="357">
        <f>SUMIF(58:58,YEAR(E7)&amp;"-"&amp;MONTH(E7),59:59)</f>
        <v>100</v>
      </c>
      <c r="G7" s="356">
        <f>C7</f>
        <v>45831</v>
      </c>
      <c r="H7" s="355">
        <f>SUMIF(58:58,YEAR(G7)&amp;"-"&amp;MONTH(G7),59:59)</f>
        <v>100</v>
      </c>
      <c r="I7" s="356">
        <f>C7</f>
        <v>45831</v>
      </c>
      <c r="J7" s="355">
        <f>SUMIF(58:58,YEAR(I7)&amp;"-"&amp;MONTH(I7),59:59)</f>
        <v>100</v>
      </c>
      <c r="K7" s="38"/>
      <c r="L7" s="2487"/>
      <c r="M7" s="2439"/>
      <c r="N7" s="2439"/>
      <c r="O7" s="2439"/>
      <c r="P7" s="3404" t="s">
        <v>1680</v>
      </c>
      <c r="Q7" s="3406"/>
      <c r="R7" s="664" t="s">
        <v>14</v>
      </c>
      <c r="S7" s="665">
        <f t="shared" ref="S7:S15" si="0">F7</f>
        <v>100</v>
      </c>
      <c r="T7" s="664" t="s">
        <v>14</v>
      </c>
      <c r="U7" s="665">
        <f t="shared" ref="U7:U15" si="1">H7</f>
        <v>100</v>
      </c>
      <c r="V7" s="664" t="s">
        <v>14</v>
      </c>
      <c r="W7" s="665">
        <f t="shared" ref="W7:W15" si="2">J7</f>
        <v>100</v>
      </c>
      <c r="X7" s="666"/>
      <c r="Y7" s="3404" t="s">
        <v>1680</v>
      </c>
      <c r="Z7" s="3405"/>
      <c r="AA7" s="50">
        <f>D7/F7</f>
        <v>1</v>
      </c>
      <c r="AB7" s="50">
        <f>D7/H7</f>
        <v>1</v>
      </c>
      <c r="AC7" s="50">
        <f>D7/J7</f>
        <v>1</v>
      </c>
    </row>
    <row r="8" spans="1:29" s="102" customFormat="1" ht="15" thickBot="1">
      <c r="A8" s="352" t="s">
        <v>1681</v>
      </c>
      <c r="B8" s="353"/>
      <c r="C8" s="358" t="s">
        <v>3424</v>
      </c>
      <c r="D8" s="355">
        <v>100</v>
      </c>
      <c r="E8" s="358" t="s">
        <v>3425</v>
      </c>
      <c r="F8" s="357">
        <f>SUMIF(61:61,E8,62:62)-SUMIF(61:61,C8,62:62)+100</f>
        <v>105</v>
      </c>
      <c r="G8" s="358" t="s">
        <v>3425</v>
      </c>
      <c r="H8" s="355">
        <f>SUMIF(61:61,G8,62:62)-SUMIF(61:61,C8,62:62)+100</f>
        <v>105</v>
      </c>
      <c r="I8" s="358" t="s">
        <v>3425</v>
      </c>
      <c r="J8" s="355">
        <f>SUMIF(61:61,I8,62:62)-SUMIF(61:61,C8,62:62)+100</f>
        <v>105</v>
      </c>
      <c r="K8" s="38"/>
      <c r="L8" s="2487"/>
      <c r="M8" s="2439"/>
      <c r="N8" s="2439"/>
      <c r="O8" s="2439"/>
      <c r="P8" s="3404" t="s">
        <v>1683</v>
      </c>
      <c r="Q8" s="3405"/>
      <c r="R8" s="664" t="s">
        <v>14</v>
      </c>
      <c r="S8" s="665">
        <f t="shared" si="0"/>
        <v>105</v>
      </c>
      <c r="T8" s="664" t="s">
        <v>14</v>
      </c>
      <c r="U8" s="665">
        <f t="shared" si="1"/>
        <v>105</v>
      </c>
      <c r="V8" s="664" t="s">
        <v>14</v>
      </c>
      <c r="W8" s="665">
        <f t="shared" si="2"/>
        <v>105</v>
      </c>
      <c r="X8" s="666"/>
      <c r="Y8" s="3404" t="s">
        <v>1683</v>
      </c>
      <c r="Z8" s="3405"/>
      <c r="AA8" s="50">
        <f t="shared" ref="AA8:AA46" si="3">D8/F8</f>
        <v>0.95238095238095233</v>
      </c>
      <c r="AB8" s="50">
        <f t="shared" ref="AB8:AB46" si="4">D8/H8</f>
        <v>0.95238095238095233</v>
      </c>
      <c r="AC8" s="50">
        <f t="shared" ref="AC8:AC46" si="5">D8/J8</f>
        <v>0.95238095238095233</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0"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0"/>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380"/>
      <c r="Q11" s="530" t="str">
        <f t="shared" si="6"/>
        <v>容积率</v>
      </c>
      <c r="R11" s="664" t="s">
        <v>14</v>
      </c>
      <c r="S11" s="665">
        <f t="shared" si="0"/>
        <v>100</v>
      </c>
      <c r="T11" s="664" t="s">
        <v>14</v>
      </c>
      <c r="U11" s="665">
        <f t="shared" si="1"/>
        <v>100</v>
      </c>
      <c r="V11" s="664" t="s">
        <v>14</v>
      </c>
      <c r="W11" s="665">
        <f t="shared" si="2"/>
        <v>100</v>
      </c>
      <c r="X11" s="666"/>
      <c r="Y11" s="3265"/>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0"/>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0"/>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0"/>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55.2">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71" t="s">
        <v>1691</v>
      </c>
      <c r="Q15" s="1263" t="str">
        <f t="shared" si="6"/>
        <v>商业繁华度</v>
      </c>
      <c r="R15" s="667" t="s">
        <v>14</v>
      </c>
      <c r="S15" s="668">
        <f t="shared" si="0"/>
        <v>100</v>
      </c>
      <c r="T15" s="667" t="s">
        <v>14</v>
      </c>
      <c r="U15" s="668">
        <f t="shared" si="1"/>
        <v>100</v>
      </c>
      <c r="V15" s="667" t="s">
        <v>14</v>
      </c>
      <c r="W15" s="668">
        <f t="shared" si="2"/>
        <v>100</v>
      </c>
      <c r="X15" s="1265"/>
      <c r="Y15" s="337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72"/>
      <c r="Q16" s="1263"/>
      <c r="R16" s="667"/>
      <c r="S16" s="668"/>
      <c r="T16" s="667"/>
      <c r="U16" s="668"/>
      <c r="V16" s="667"/>
      <c r="W16" s="668"/>
      <c r="X16" s="1265"/>
      <c r="Y16" s="3374"/>
      <c r="Z16" s="1264"/>
      <c r="AA16" s="1264">
        <v>1</v>
      </c>
      <c r="AB16" s="1264">
        <v>1</v>
      </c>
      <c r="AC16" s="1264">
        <v>1</v>
      </c>
    </row>
    <row r="17" spans="1:29" ht="69">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72"/>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72"/>
      <c r="Q18" s="1263"/>
      <c r="R18" s="667"/>
      <c r="S18" s="668"/>
      <c r="T18" s="667"/>
      <c r="U18" s="668"/>
      <c r="V18" s="667"/>
      <c r="W18" s="668"/>
      <c r="X18" s="1265"/>
      <c r="Y18" s="337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72"/>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72"/>
      <c r="Q20" s="1263"/>
      <c r="R20" s="667"/>
      <c r="S20" s="668"/>
      <c r="T20" s="667"/>
      <c r="U20" s="668"/>
      <c r="V20" s="667"/>
      <c r="W20" s="668"/>
      <c r="X20" s="1265"/>
      <c r="Y20" s="337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72"/>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72"/>
      <c r="Q22" s="1263"/>
      <c r="R22" s="667"/>
      <c r="S22" s="668"/>
      <c r="T22" s="667"/>
      <c r="U22" s="668"/>
      <c r="V22" s="667"/>
      <c r="W22" s="668"/>
      <c r="X22" s="1265"/>
      <c r="Y22" s="3374"/>
      <c r="Z22" s="1264"/>
      <c r="AA22" s="1264">
        <v>1</v>
      </c>
      <c r="AB22" s="1264">
        <v>1</v>
      </c>
      <c r="AC22" s="1264">
        <v>1</v>
      </c>
    </row>
    <row r="23" spans="1:29" ht="41.4">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72"/>
      <c r="Q23" s="1263" t="str">
        <f>B23</f>
        <v>自然及人文环境</v>
      </c>
      <c r="R23" s="667" t="s">
        <v>14</v>
      </c>
      <c r="S23" s="668">
        <f>F23</f>
        <v>100</v>
      </c>
      <c r="T23" s="667" t="s">
        <v>14</v>
      </c>
      <c r="U23" s="668">
        <f>H23</f>
        <v>100</v>
      </c>
      <c r="V23" s="667" t="s">
        <v>14</v>
      </c>
      <c r="W23" s="668">
        <f>J23</f>
        <v>100</v>
      </c>
      <c r="X23" s="1265"/>
      <c r="Y23" s="337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72"/>
      <c r="Q24" s="1263"/>
      <c r="R24" s="667"/>
      <c r="S24" s="668"/>
      <c r="T24" s="667"/>
      <c r="U24" s="668"/>
      <c r="V24" s="667"/>
      <c r="W24" s="668"/>
      <c r="X24" s="1265"/>
      <c r="Y24" s="337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72"/>
      <c r="Q25" s="1263" t="str">
        <f t="shared" ref="Q25:Q46" si="11">B25</f>
        <v>临街状况</v>
      </c>
      <c r="R25" s="667" t="s">
        <v>14</v>
      </c>
      <c r="S25" s="668">
        <f>F25</f>
        <v>100</v>
      </c>
      <c r="T25" s="667" t="s">
        <v>14</v>
      </c>
      <c r="U25" s="668">
        <f>H25</f>
        <v>100</v>
      </c>
      <c r="V25" s="667" t="s">
        <v>14</v>
      </c>
      <c r="W25" s="668">
        <f>J25</f>
        <v>100</v>
      </c>
      <c r="X25" s="1265"/>
      <c r="Y25" s="337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72"/>
      <c r="Q26" s="1263" t="str">
        <f t="shared" si="11"/>
        <v>平面位置/可视性</v>
      </c>
      <c r="R26" s="667" t="s">
        <v>14</v>
      </c>
      <c r="S26" s="668">
        <f>F26</f>
        <v>100</v>
      </c>
      <c r="T26" s="667" t="s">
        <v>14</v>
      </c>
      <c r="U26" s="668">
        <f>H26</f>
        <v>100</v>
      </c>
      <c r="V26" s="667" t="s">
        <v>14</v>
      </c>
      <c r="W26" s="668">
        <f>J26</f>
        <v>100</v>
      </c>
      <c r="X26" s="1265"/>
      <c r="Y26" s="337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72"/>
      <c r="Q27" s="530" t="str">
        <f t="shared" si="11"/>
        <v>人流量</v>
      </c>
      <c r="R27" s="664" t="s">
        <v>14</v>
      </c>
      <c r="S27" s="665">
        <f>F27</f>
        <v>100</v>
      </c>
      <c r="T27" s="664" t="s">
        <v>14</v>
      </c>
      <c r="U27" s="665">
        <f>H27</f>
        <v>100</v>
      </c>
      <c r="V27" s="664" t="s">
        <v>14</v>
      </c>
      <c r="W27" s="665">
        <f>J27</f>
        <v>100</v>
      </c>
      <c r="X27" s="666"/>
      <c r="Y27" s="337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7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4"/>
      <c r="Z28" s="1264" t="str">
        <f t="shared" ref="Z28:Z46" si="15">Q28</f>
        <v>楼层</v>
      </c>
      <c r="AA28" s="1264">
        <f t="shared" si="3"/>
        <v>1</v>
      </c>
      <c r="AB28" s="1264">
        <f t="shared" si="4"/>
        <v>1</v>
      </c>
      <c r="AC28" s="1264">
        <f t="shared" si="5"/>
        <v>1</v>
      </c>
    </row>
    <row r="29" spans="1:29" ht="15">
      <c r="A29" s="367"/>
      <c r="B29" s="3174" t="s">
        <v>3490</v>
      </c>
      <c r="C29" s="373" t="s">
        <v>3492</v>
      </c>
      <c r="D29" s="374">
        <v>100</v>
      </c>
      <c r="E29" s="373" t="s">
        <v>3491</v>
      </c>
      <c r="F29" s="400">
        <f>SUMIF(94:94,E29,95:95)-SUMIF(94:94,C29,95:95)+100</f>
        <v>125</v>
      </c>
      <c r="G29" s="373" t="s">
        <v>3491</v>
      </c>
      <c r="H29" s="374">
        <f>SUMIF(94:94,G29,95:95)-SUMIF(94:94,C29,95:95)+100</f>
        <v>125</v>
      </c>
      <c r="I29" s="373" t="s">
        <v>3491</v>
      </c>
      <c r="J29" s="374">
        <f>SUMIF(94:94,I29,95:95)-SUMIF(94:94,C29,95:95)+100</f>
        <v>125</v>
      </c>
      <c r="K29" s="539"/>
      <c r="L29" s="2491"/>
      <c r="M29" s="2486"/>
      <c r="N29" s="2486"/>
      <c r="O29" s="2486"/>
      <c r="P29" s="3372"/>
      <c r="Q29" s="1263" t="str">
        <f t="shared" si="11"/>
        <v>楼层</v>
      </c>
      <c r="R29" s="667" t="s">
        <v>14</v>
      </c>
      <c r="S29" s="668">
        <f t="shared" si="12"/>
        <v>125</v>
      </c>
      <c r="T29" s="667" t="s">
        <v>14</v>
      </c>
      <c r="U29" s="668">
        <f t="shared" si="13"/>
        <v>125</v>
      </c>
      <c r="V29" s="667" t="s">
        <v>14</v>
      </c>
      <c r="W29" s="668">
        <f t="shared" si="14"/>
        <v>125</v>
      </c>
      <c r="X29" s="1265"/>
      <c r="Y29" s="3374"/>
      <c r="Z29" s="1264" t="str">
        <f t="shared" si="15"/>
        <v>楼层</v>
      </c>
      <c r="AA29" s="1264">
        <f t="shared" si="3"/>
        <v>0.8</v>
      </c>
      <c r="AB29" s="1264">
        <f t="shared" si="4"/>
        <v>0.8</v>
      </c>
      <c r="AC29" s="1264">
        <f t="shared" si="5"/>
        <v>0.8</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72"/>
      <c r="Q30" s="1263">
        <f t="shared" si="11"/>
        <v>111</v>
      </c>
      <c r="R30" s="667" t="s">
        <v>14</v>
      </c>
      <c r="S30" s="668">
        <f t="shared" si="12"/>
        <v>100</v>
      </c>
      <c r="T30" s="667" t="s">
        <v>14</v>
      </c>
      <c r="U30" s="668">
        <f t="shared" si="13"/>
        <v>100</v>
      </c>
      <c r="V30" s="667" t="s">
        <v>14</v>
      </c>
      <c r="W30" s="668">
        <f t="shared" si="14"/>
        <v>100</v>
      </c>
      <c r="X30" s="1265"/>
      <c r="Y30" s="337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72"/>
      <c r="Q31" s="1263">
        <f t="shared" si="11"/>
        <v>111</v>
      </c>
      <c r="R31" s="667" t="s">
        <v>14</v>
      </c>
      <c r="S31" s="668">
        <f t="shared" si="12"/>
        <v>100</v>
      </c>
      <c r="T31" s="667" t="s">
        <v>14</v>
      </c>
      <c r="U31" s="668">
        <f t="shared" si="13"/>
        <v>100</v>
      </c>
      <c r="V31" s="667" t="s">
        <v>14</v>
      </c>
      <c r="W31" s="668">
        <f t="shared" si="14"/>
        <v>100</v>
      </c>
      <c r="X31" s="1265"/>
      <c r="Y31" s="337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75" t="s">
        <v>1696</v>
      </c>
      <c r="Q32" s="1263" t="str">
        <f t="shared" si="11"/>
        <v>商业类型</v>
      </c>
      <c r="R32" s="667" t="s">
        <v>14</v>
      </c>
      <c r="S32" s="668">
        <f t="shared" si="12"/>
        <v>100</v>
      </c>
      <c r="T32" s="667" t="s">
        <v>14</v>
      </c>
      <c r="U32" s="668">
        <f t="shared" si="13"/>
        <v>100</v>
      </c>
      <c r="V32" s="667" t="s">
        <v>14</v>
      </c>
      <c r="W32" s="668">
        <f t="shared" si="14"/>
        <v>100</v>
      </c>
      <c r="X32" s="1265"/>
      <c r="Y32" s="3378" t="s">
        <v>1696</v>
      </c>
      <c r="Z32" s="1264" t="str">
        <f t="shared" si="15"/>
        <v>商业类型</v>
      </c>
      <c r="AA32" s="1264">
        <f t="shared" si="3"/>
        <v>1</v>
      </c>
      <c r="AB32" s="1264">
        <f t="shared" si="4"/>
        <v>1</v>
      </c>
      <c r="AC32" s="1264">
        <f t="shared" si="5"/>
        <v>1</v>
      </c>
    </row>
    <row r="33" spans="1:29" s="408" customFormat="1" ht="15">
      <c r="A33" s="406"/>
      <c r="B33" s="364" t="s">
        <v>1697</v>
      </c>
      <c r="C33" s="407">
        <f>'数据-汇总表'!E19</f>
        <v>165.09</v>
      </c>
      <c r="D33" s="119">
        <v>100</v>
      </c>
      <c r="E33" s="369">
        <v>142.36000000000001</v>
      </c>
      <c r="F33" s="364">
        <f>LOOKUP(E33,103:103,104:104)-LOOKUP(C33,103:103,104:104)+100</f>
        <v>101</v>
      </c>
      <c r="G33" s="368">
        <v>197.34</v>
      </c>
      <c r="H33" s="119">
        <f>LOOKUP(G33,103:103,104:104)-LOOKUP(C33,103:103,104:104)+100</f>
        <v>100</v>
      </c>
      <c r="I33" s="368">
        <v>230.28</v>
      </c>
      <c r="J33" s="119">
        <f>LOOKUP(I33,103:103,104:104)-LOOKUP(C33,103:103,104:104)+100</f>
        <v>99</v>
      </c>
      <c r="K33" s="539"/>
      <c r="L33" s="2490"/>
      <c r="M33" s="2492"/>
      <c r="N33" s="2492"/>
      <c r="O33" s="2492"/>
      <c r="P33" s="3376"/>
      <c r="Q33" s="531" t="str">
        <f t="shared" si="11"/>
        <v>项目建筑规模</v>
      </c>
      <c r="R33" s="669" t="s">
        <v>14</v>
      </c>
      <c r="S33" s="670">
        <f t="shared" si="12"/>
        <v>101</v>
      </c>
      <c r="T33" s="669" t="s">
        <v>14</v>
      </c>
      <c r="U33" s="670">
        <f t="shared" si="13"/>
        <v>100</v>
      </c>
      <c r="V33" s="669" t="s">
        <v>14</v>
      </c>
      <c r="W33" s="670">
        <f t="shared" si="14"/>
        <v>99</v>
      </c>
      <c r="X33" s="671"/>
      <c r="Y33" s="3378"/>
      <c r="Z33" s="672" t="str">
        <f t="shared" si="15"/>
        <v>项目建筑规模</v>
      </c>
      <c r="AA33" s="1264">
        <f t="shared" si="3"/>
        <v>0.99009900990099009</v>
      </c>
      <c r="AB33" s="1264">
        <f t="shared" si="4"/>
        <v>1</v>
      </c>
      <c r="AC33" s="1264">
        <f t="shared" si="5"/>
        <v>1.0101010101010102</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76"/>
      <c r="Q34" s="1263" t="str">
        <f t="shared" si="11"/>
        <v>建筑结构</v>
      </c>
      <c r="R34" s="667" t="s">
        <v>14</v>
      </c>
      <c r="S34" s="668">
        <f t="shared" si="12"/>
        <v>100</v>
      </c>
      <c r="T34" s="667" t="s">
        <v>14</v>
      </c>
      <c r="U34" s="668">
        <f t="shared" si="13"/>
        <v>100</v>
      </c>
      <c r="V34" s="667" t="s">
        <v>14</v>
      </c>
      <c r="W34" s="668">
        <f t="shared" si="14"/>
        <v>100</v>
      </c>
      <c r="X34" s="1265"/>
      <c r="Y34" s="337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76"/>
      <c r="Q35" s="1263" t="str">
        <f t="shared" si="11"/>
        <v>公共部分装修</v>
      </c>
      <c r="R35" s="667" t="s">
        <v>14</v>
      </c>
      <c r="S35" s="668">
        <f t="shared" si="12"/>
        <v>100</v>
      </c>
      <c r="T35" s="667" t="s">
        <v>14</v>
      </c>
      <c r="U35" s="668">
        <f t="shared" si="13"/>
        <v>100</v>
      </c>
      <c r="V35" s="667" t="s">
        <v>14</v>
      </c>
      <c r="W35" s="668">
        <f t="shared" si="14"/>
        <v>100</v>
      </c>
      <c r="X35" s="1265"/>
      <c r="Y35" s="3378"/>
      <c r="Z35" s="1264" t="str">
        <f t="shared" si="15"/>
        <v>公共部分装修</v>
      </c>
      <c r="AA35" s="1264">
        <f t="shared" si="3"/>
        <v>1</v>
      </c>
      <c r="AB35" s="1264">
        <f t="shared" si="4"/>
        <v>1</v>
      </c>
      <c r="AC35" s="1264">
        <f t="shared" si="5"/>
        <v>1</v>
      </c>
    </row>
    <row r="36" spans="1:29" ht="15">
      <c r="A36" s="409"/>
      <c r="B36" s="364" t="s">
        <v>1786</v>
      </c>
      <c r="C36" s="411">
        <f>'数据-取费表'!N6</f>
        <v>0.7</v>
      </c>
      <c r="D36" s="374">
        <v>100</v>
      </c>
      <c r="E36" s="411">
        <f>C36</f>
        <v>0.7</v>
      </c>
      <c r="F36" s="400">
        <f>LOOKUP(E36,110:110,111:111)-LOOKUP(C36,110:110,111:111)+100</f>
        <v>100</v>
      </c>
      <c r="G36" s="411">
        <f>C36</f>
        <v>0.7</v>
      </c>
      <c r="H36" s="400">
        <f>LOOKUP(G36,110:110,111:111)-LOOKUP(C36,110:110,111:111)+100</f>
        <v>100</v>
      </c>
      <c r="I36" s="411">
        <f>C36</f>
        <v>0.7</v>
      </c>
      <c r="J36" s="374">
        <f>LOOKUP(I36,110:110,111:111)-LOOKUP(C36,110:110,111:111)+100</f>
        <v>100</v>
      </c>
      <c r="K36" s="538"/>
      <c r="L36" s="2491"/>
      <c r="M36" s="2486"/>
      <c r="N36" s="2486"/>
      <c r="O36" s="2486"/>
      <c r="P36" s="3376"/>
      <c r="Q36" s="1263" t="str">
        <f t="shared" si="11"/>
        <v>成新度</v>
      </c>
      <c r="R36" s="667" t="s">
        <v>14</v>
      </c>
      <c r="S36" s="668">
        <f t="shared" si="12"/>
        <v>100</v>
      </c>
      <c r="T36" s="667" t="s">
        <v>14</v>
      </c>
      <c r="U36" s="668">
        <f t="shared" si="13"/>
        <v>100</v>
      </c>
      <c r="V36" s="667" t="s">
        <v>14</v>
      </c>
      <c r="W36" s="668">
        <f t="shared" si="14"/>
        <v>100</v>
      </c>
      <c r="X36" s="1265"/>
      <c r="Y36" s="3378"/>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76"/>
      <c r="Q37" s="530" t="str">
        <f t="shared" si="11"/>
        <v>市政基础设施</v>
      </c>
      <c r="R37" s="664" t="s">
        <v>14</v>
      </c>
      <c r="S37" s="665">
        <f t="shared" si="12"/>
        <v>100</v>
      </c>
      <c r="T37" s="664" t="s">
        <v>14</v>
      </c>
      <c r="U37" s="665">
        <f t="shared" si="13"/>
        <v>100</v>
      </c>
      <c r="V37" s="664" t="s">
        <v>14</v>
      </c>
      <c r="W37" s="665">
        <f t="shared" si="14"/>
        <v>100</v>
      </c>
      <c r="X37" s="666"/>
      <c r="Y37" s="337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76" t="s">
        <v>1696</v>
      </c>
      <c r="Q38" s="1263" t="str">
        <f t="shared" si="11"/>
        <v>业态</v>
      </c>
      <c r="R38" s="667" t="s">
        <v>14</v>
      </c>
      <c r="S38" s="668">
        <f t="shared" si="12"/>
        <v>100</v>
      </c>
      <c r="T38" s="667" t="s">
        <v>14</v>
      </c>
      <c r="U38" s="668">
        <f t="shared" si="13"/>
        <v>100</v>
      </c>
      <c r="V38" s="667" t="s">
        <v>14</v>
      </c>
      <c r="W38" s="668">
        <f t="shared" si="14"/>
        <v>100</v>
      </c>
      <c r="X38" s="1265"/>
      <c r="Y38" s="337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76"/>
      <c r="Q39" s="1263" t="str">
        <f t="shared" si="11"/>
        <v>层高</v>
      </c>
      <c r="R39" s="667" t="s">
        <v>14</v>
      </c>
      <c r="S39" s="668">
        <f t="shared" si="12"/>
        <v>100</v>
      </c>
      <c r="T39" s="667" t="s">
        <v>14</v>
      </c>
      <c r="U39" s="668">
        <f t="shared" si="13"/>
        <v>100</v>
      </c>
      <c r="V39" s="667" t="s">
        <v>14</v>
      </c>
      <c r="W39" s="668">
        <f t="shared" si="14"/>
        <v>100</v>
      </c>
      <c r="X39" s="1265"/>
      <c r="Y39" s="337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76"/>
      <c r="Q40" s="1263" t="str">
        <f t="shared" si="11"/>
        <v>单套建筑面积</v>
      </c>
      <c r="R40" s="667" t="s">
        <v>14</v>
      </c>
      <c r="S40" s="668">
        <f t="shared" si="12"/>
        <v>100</v>
      </c>
      <c r="T40" s="667" t="s">
        <v>14</v>
      </c>
      <c r="U40" s="668">
        <f t="shared" si="13"/>
        <v>100</v>
      </c>
      <c r="V40" s="667" t="s">
        <v>14</v>
      </c>
      <c r="W40" s="668">
        <f t="shared" si="14"/>
        <v>100</v>
      </c>
      <c r="X40" s="1265"/>
      <c r="Y40" s="337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76"/>
      <c r="Q41" s="531" t="str">
        <f t="shared" si="11"/>
        <v>进深比</v>
      </c>
      <c r="R41" s="669" t="s">
        <v>14</v>
      </c>
      <c r="S41" s="670">
        <f t="shared" si="12"/>
        <v>100</v>
      </c>
      <c r="T41" s="669" t="s">
        <v>14</v>
      </c>
      <c r="U41" s="670">
        <f t="shared" si="13"/>
        <v>100</v>
      </c>
      <c r="V41" s="669" t="s">
        <v>14</v>
      </c>
      <c r="W41" s="670">
        <f t="shared" si="14"/>
        <v>100</v>
      </c>
      <c r="X41" s="671"/>
      <c r="Y41" s="337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76"/>
      <c r="Q42" s="1263" t="str">
        <f t="shared" si="11"/>
        <v>内部装修</v>
      </c>
      <c r="R42" s="667" t="s">
        <v>14</v>
      </c>
      <c r="S42" s="668">
        <f t="shared" si="12"/>
        <v>100</v>
      </c>
      <c r="T42" s="667" t="s">
        <v>14</v>
      </c>
      <c r="U42" s="668">
        <f t="shared" si="13"/>
        <v>100</v>
      </c>
      <c r="V42" s="667" t="s">
        <v>14</v>
      </c>
      <c r="W42" s="668">
        <f t="shared" si="14"/>
        <v>100</v>
      </c>
      <c r="X42" s="1265"/>
      <c r="Y42" s="337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76"/>
      <c r="Q43" s="1263" t="str">
        <f t="shared" si="11"/>
        <v>内部装修维护情况</v>
      </c>
      <c r="R43" s="667" t="s">
        <v>14</v>
      </c>
      <c r="S43" s="668">
        <f t="shared" si="12"/>
        <v>100</v>
      </c>
      <c r="T43" s="667" t="s">
        <v>14</v>
      </c>
      <c r="U43" s="668">
        <f t="shared" si="13"/>
        <v>100</v>
      </c>
      <c r="V43" s="667" t="s">
        <v>14</v>
      </c>
      <c r="W43" s="668">
        <f t="shared" si="14"/>
        <v>100</v>
      </c>
      <c r="X43" s="1265"/>
      <c r="Y43" s="337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76"/>
      <c r="Q44" s="530">
        <f t="shared" si="11"/>
        <v>111</v>
      </c>
      <c r="R44" s="664" t="s">
        <v>14</v>
      </c>
      <c r="S44" s="665">
        <f t="shared" si="12"/>
        <v>100</v>
      </c>
      <c r="T44" s="664" t="s">
        <v>14</v>
      </c>
      <c r="U44" s="665">
        <f t="shared" si="13"/>
        <v>100</v>
      </c>
      <c r="V44" s="664" t="s">
        <v>14</v>
      </c>
      <c r="W44" s="665">
        <f t="shared" si="14"/>
        <v>100</v>
      </c>
      <c r="X44" s="666"/>
      <c r="Y44" s="337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76"/>
      <c r="Q45" s="1263">
        <f t="shared" si="11"/>
        <v>111</v>
      </c>
      <c r="R45" s="667" t="s">
        <v>14</v>
      </c>
      <c r="S45" s="668">
        <f t="shared" si="12"/>
        <v>100</v>
      </c>
      <c r="T45" s="667" t="s">
        <v>14</v>
      </c>
      <c r="U45" s="668">
        <f t="shared" si="13"/>
        <v>100</v>
      </c>
      <c r="V45" s="667" t="s">
        <v>14</v>
      </c>
      <c r="W45" s="668">
        <f t="shared" si="14"/>
        <v>100</v>
      </c>
      <c r="X45" s="1265"/>
      <c r="Y45" s="337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77"/>
      <c r="Q46" s="1263">
        <f t="shared" si="11"/>
        <v>111</v>
      </c>
      <c r="R46" s="667" t="s">
        <v>14</v>
      </c>
      <c r="S46" s="668">
        <f t="shared" si="12"/>
        <v>100</v>
      </c>
      <c r="T46" s="667" t="s">
        <v>14</v>
      </c>
      <c r="U46" s="668">
        <f t="shared" si="13"/>
        <v>100</v>
      </c>
      <c r="V46" s="667" t="s">
        <v>14</v>
      </c>
      <c r="W46" s="668">
        <f t="shared" si="14"/>
        <v>100</v>
      </c>
      <c r="X46" s="1265"/>
      <c r="Y46" s="3379"/>
      <c r="Z46" s="1264">
        <f t="shared" si="15"/>
        <v>111</v>
      </c>
      <c r="AA46" s="1264">
        <f t="shared" si="3"/>
        <v>1</v>
      </c>
      <c r="AB46" s="1264">
        <f t="shared" si="4"/>
        <v>1</v>
      </c>
      <c r="AC46" s="1264">
        <f t="shared" si="5"/>
        <v>1</v>
      </c>
    </row>
    <row r="47" spans="1:29" ht="14.4">
      <c r="A47" s="416" t="s">
        <v>1708</v>
      </c>
      <c r="B47" s="417"/>
      <c r="C47" s="1081" t="s">
        <v>0</v>
      </c>
      <c r="D47" s="418"/>
      <c r="E47" s="419">
        <v>55001</v>
      </c>
      <c r="F47" s="420"/>
      <c r="G47" s="421">
        <v>55032</v>
      </c>
      <c r="H47" s="422"/>
      <c r="I47" s="419">
        <v>55020</v>
      </c>
      <c r="J47" s="422"/>
      <c r="K47" s="674"/>
      <c r="L47" s="2493"/>
      <c r="M47" s="2486"/>
      <c r="N47" s="2486"/>
      <c r="O47" s="2486"/>
      <c r="P47" s="3366" t="str">
        <f>A47</f>
        <v>成交单价（元/平方米）</v>
      </c>
      <c r="Q47" s="3366"/>
      <c r="R47" s="3367">
        <f>E47</f>
        <v>55001</v>
      </c>
      <c r="S47" s="3367"/>
      <c r="T47" s="3367">
        <f>G47</f>
        <v>55032</v>
      </c>
      <c r="U47" s="3367"/>
      <c r="V47" s="3367">
        <f>I47</f>
        <v>55020</v>
      </c>
      <c r="W47" s="3367"/>
      <c r="X47" s="385"/>
      <c r="Y47" s="673"/>
      <c r="Z47" s="385"/>
      <c r="AA47" s="385"/>
      <c r="AB47" s="385"/>
      <c r="AC47" s="385"/>
    </row>
    <row r="48" spans="1:29" ht="15" thickBot="1">
      <c r="A48" s="423" t="s">
        <v>1709</v>
      </c>
      <c r="B48" s="424"/>
      <c r="C48" s="1082">
        <f>R49</f>
        <v>41921</v>
      </c>
      <c r="D48" s="2140" t="s">
        <v>2134</v>
      </c>
      <c r="E48" s="1083">
        <f>R48</f>
        <v>41491</v>
      </c>
      <c r="F48" s="2141"/>
      <c r="G48" s="1082">
        <f>T48</f>
        <v>41929</v>
      </c>
      <c r="H48" s="2141"/>
      <c r="I48" s="1083">
        <f>V48</f>
        <v>42343</v>
      </c>
      <c r="J48" s="2141"/>
      <c r="K48" s="2143">
        <f>F48+H48+J48</f>
        <v>0</v>
      </c>
      <c r="L48" s="2493"/>
      <c r="M48" s="2486"/>
      <c r="N48" s="2486"/>
      <c r="O48" s="2486"/>
      <c r="P48" s="3366" t="str">
        <f>A48</f>
        <v>比较价值（元/平方米）</v>
      </c>
      <c r="Q48" s="3366"/>
      <c r="R48" s="3367">
        <f>IF(F1="售价",ROUND(PRODUCT(R47,AA7:AA46),0),ROUND(PRODUCT(R47,AA7:AA46),1))</f>
        <v>41491</v>
      </c>
      <c r="S48" s="3367"/>
      <c r="T48" s="3367">
        <f>IF(F1="售价",ROUND(PRODUCT(T47,AB7:AB46),0),ROUND(PRODUCT(T47,AB7:AB46),1))</f>
        <v>41929</v>
      </c>
      <c r="U48" s="3367"/>
      <c r="V48" s="3367">
        <f>IF(F1="售价",ROUND(PRODUCT(V47,AC7:AC46),0),ROUND(PRODUCT(V47,AC7:AC46),1))</f>
        <v>42343</v>
      </c>
      <c r="W48" s="3367"/>
      <c r="X48" s="385"/>
      <c r="Y48" s="385"/>
      <c r="Z48" s="385"/>
      <c r="AA48" s="385"/>
      <c r="AB48" s="385"/>
      <c r="AC48" s="385"/>
    </row>
    <row r="49" spans="1:29" ht="15" thickBot="1">
      <c r="A49" s="427" t="s">
        <v>1710</v>
      </c>
      <c r="B49" s="428"/>
      <c r="C49" s="351">
        <f>R49</f>
        <v>41921</v>
      </c>
      <c r="D49" s="351"/>
      <c r="E49" s="351"/>
      <c r="F49" s="351"/>
      <c r="G49" s="351"/>
      <c r="H49" s="351"/>
      <c r="I49" s="351"/>
      <c r="J49" s="351"/>
      <c r="K49" s="675"/>
      <c r="L49" s="2493"/>
      <c r="M49" s="2486"/>
      <c r="N49" s="2486"/>
      <c r="O49" s="2486"/>
      <c r="P49" s="3368" t="str">
        <f>A49</f>
        <v>估价对象XX用房的比较价值（楼面单价，元/平方米）</v>
      </c>
      <c r="Q49" s="3369"/>
      <c r="R49" s="3370">
        <f>IF(F1="售价",ROUND(IF(D48="简单平均",AVERAGE(R48:V48),R48*F48+T48*H48+V48*J48),0),ROUND(IF(D48="简单平均",AVERAGE(R48:V48),R48*F48+T48*H48+V48*J48),1))</f>
        <v>41921</v>
      </c>
      <c r="S49" s="3370"/>
      <c r="T49" s="3370"/>
      <c r="U49" s="3370"/>
      <c r="V49" s="3370"/>
      <c r="W49" s="3370"/>
      <c r="X49" s="385"/>
      <c r="Y49" s="385"/>
      <c r="Z49" s="385"/>
      <c r="AA49" s="385"/>
      <c r="AB49" s="385"/>
      <c r="AC49" s="385"/>
    </row>
    <row r="50" spans="1:29">
      <c r="A50" s="2486"/>
      <c r="B50" s="2486"/>
      <c r="C50" s="3513"/>
      <c r="D50" s="2486"/>
      <c r="E50" s="2486"/>
      <c r="F50" s="2486"/>
      <c r="G50" s="3514"/>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1711</v>
      </c>
      <c r="D52" s="433"/>
      <c r="E52" s="434">
        <f>IF(E47&lt;E48,E48/E47-1,E47/E48-1)</f>
        <v>0.32561278349521583</v>
      </c>
      <c r="F52" s="435" t="str">
        <f>IF(OR(E52&gt;=0.3,E52&lt;=-0.3),"超过30%","")</f>
        <v>超过30%</v>
      </c>
      <c r="G52" s="434">
        <f>IF(G47&lt;G48,G48/G47-1,G47/G48-1)</f>
        <v>0.31250447184526231</v>
      </c>
      <c r="H52" s="435" t="str">
        <f>IF(OR(G52&gt;=0.3,G52&lt;=-0.3),"超过30%","")</f>
        <v>超过30%</v>
      </c>
      <c r="I52" s="434">
        <f>IF(I47&lt;I48,I48/I47-1,I47/I48-1)</f>
        <v>0.29938832864936349</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1712</v>
      </c>
      <c r="D53" s="436"/>
      <c r="E53" s="434">
        <f>IF(E48&lt;G48,G48/E48-1,E48/G48-1)</f>
        <v>1.0556506230266827E-2</v>
      </c>
      <c r="F53" s="435" t="str">
        <f>IF(OR(E53&gt;=0.2,E53&lt;=-0.2),"超过20%","")</f>
        <v/>
      </c>
      <c r="G53" s="434">
        <f>IF(G48&lt;I48,I48/G48-1,G48/I48-1)</f>
        <v>9.8738343390016858E-3</v>
      </c>
      <c r="H53" s="435" t="str">
        <f>IF(OR(G53&gt;=0.2,G53&lt;=-0.2),"超过20%","")</f>
        <v/>
      </c>
      <c r="I53" s="434">
        <f>IF(I48&lt;E48,E48/I48-1,I48/E48-1)</f>
        <v>2.0534573762984731E-2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1713</v>
      </c>
      <c r="D54" s="436"/>
      <c r="E54" s="434">
        <f>IF(E47&lt;G47,G47/E47-1,E47/G47-1)</f>
        <v>5.6362611588878231E-4</v>
      </c>
      <c r="F54" s="435" t="str">
        <f>IF(OR(E54&gt;=0.3,E54&lt;=-0.3),"超过30%","")</f>
        <v/>
      </c>
      <c r="G54" s="434">
        <f>IF(G47&lt;I47,I47/G47-1,G47/I47-1)</f>
        <v>2.1810250817888566E-4</v>
      </c>
      <c r="H54" s="435" t="str">
        <f>IF(OR(G54&gt;=0.3,G54&lt;=-0.3),"超过30%","")</f>
        <v/>
      </c>
      <c r="I54" s="434">
        <f>IF(I47&lt;E47,E47/I47-1,I47/E47-1)</f>
        <v>3.4544826457705291E-4</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1714</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1718</v>
      </c>
      <c r="D61" s="3163" t="s">
        <v>3426</v>
      </c>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v>105</v>
      </c>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0（含）-3</v>
      </c>
      <c r="D67" s="478" t="str">
        <f t="shared" ref="D67:L67" si="17">D68&amp;"（含）"&amp;"-"&amp;E68</f>
        <v>3（含）-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v>0</v>
      </c>
      <c r="D68" s="480">
        <v>3</v>
      </c>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 thickTop="1">
      <c r="A94" s="367"/>
      <c r="B94" s="469" t="str">
        <f>B29</f>
        <v>楼层</v>
      </c>
      <c r="C94" s="485" t="s">
        <v>3494</v>
      </c>
      <c r="D94" s="485" t="s">
        <v>3493</v>
      </c>
      <c r="E94" s="485" t="s">
        <v>3508</v>
      </c>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v>100</v>
      </c>
      <c r="D95" s="467">
        <v>125</v>
      </c>
      <c r="E95" s="467">
        <v>150</v>
      </c>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50(含)-100</v>
      </c>
      <c r="D102" s="509" t="str">
        <f t="shared" ref="D102:L102" si="23">D103&amp;"(含)"&amp;"-"&amp;E103</f>
        <v>100(含)-150</v>
      </c>
      <c r="E102" s="509" t="str">
        <f t="shared" si="23"/>
        <v>150(含)-200</v>
      </c>
      <c r="F102" s="509" t="str">
        <f t="shared" si="23"/>
        <v>200(含)-250</v>
      </c>
      <c r="G102" s="509" t="str">
        <f t="shared" si="23"/>
        <v>250(含)-300</v>
      </c>
      <c r="H102" s="509" t="str">
        <f t="shared" si="23"/>
        <v>300(含)-350</v>
      </c>
      <c r="I102" s="509" t="str">
        <f t="shared" si="23"/>
        <v>350(含)-400</v>
      </c>
      <c r="J102" s="509" t="str">
        <f t="shared" si="23"/>
        <v>400(含)-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50</v>
      </c>
      <c r="D103" s="6">
        <v>100</v>
      </c>
      <c r="E103" s="6">
        <v>150</v>
      </c>
      <c r="F103" s="6">
        <v>200</v>
      </c>
      <c r="G103" s="6">
        <v>250</v>
      </c>
      <c r="H103" s="6">
        <v>300</v>
      </c>
      <c r="I103" s="6">
        <v>350</v>
      </c>
      <c r="J103" s="524">
        <v>400</v>
      </c>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v>100</v>
      </c>
      <c r="D104" s="467">
        <f>C104-1</f>
        <v>99</v>
      </c>
      <c r="E104" s="467">
        <f t="shared" ref="E104:J104" si="24">D104-1</f>
        <v>98</v>
      </c>
      <c r="F104" s="467">
        <f t="shared" si="24"/>
        <v>97</v>
      </c>
      <c r="G104" s="467">
        <f t="shared" si="24"/>
        <v>96</v>
      </c>
      <c r="H104" s="467">
        <f t="shared" si="24"/>
        <v>95</v>
      </c>
      <c r="I104" s="467">
        <f t="shared" si="24"/>
        <v>94</v>
      </c>
      <c r="J104" s="467">
        <f t="shared" si="24"/>
        <v>93</v>
      </c>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5">C106-$K34</f>
        <v>100</v>
      </c>
      <c r="E106" s="475">
        <f t="shared" si="25"/>
        <v>100</v>
      </c>
      <c r="F106" s="475">
        <f t="shared" si="25"/>
        <v>100</v>
      </c>
      <c r="G106" s="475">
        <f t="shared" si="25"/>
        <v>100</v>
      </c>
      <c r="H106" s="475">
        <f t="shared" si="25"/>
        <v>100</v>
      </c>
      <c r="I106" s="475">
        <f t="shared" si="25"/>
        <v>100</v>
      </c>
      <c r="J106" s="475">
        <f t="shared" si="25"/>
        <v>100</v>
      </c>
      <c r="K106" s="475">
        <f t="shared" si="25"/>
        <v>100</v>
      </c>
      <c r="L106" s="475">
        <f t="shared" si="25"/>
        <v>100</v>
      </c>
      <c r="M106" s="476">
        <f t="shared" si="25"/>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6">C108-$K35</f>
        <v>100</v>
      </c>
      <c r="E108" s="475">
        <f t="shared" si="26"/>
        <v>100</v>
      </c>
      <c r="F108" s="475">
        <f t="shared" si="26"/>
        <v>100</v>
      </c>
      <c r="G108" s="475">
        <f t="shared" si="26"/>
        <v>100</v>
      </c>
      <c r="H108" s="475">
        <f t="shared" si="26"/>
        <v>100</v>
      </c>
      <c r="I108" s="475">
        <f t="shared" si="26"/>
        <v>100</v>
      </c>
      <c r="J108" s="475">
        <f t="shared" si="26"/>
        <v>100</v>
      </c>
      <c r="K108" s="475">
        <f t="shared" si="26"/>
        <v>100</v>
      </c>
      <c r="L108" s="475">
        <f t="shared" si="26"/>
        <v>100</v>
      </c>
      <c r="M108" s="476">
        <f t="shared" si="26"/>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7">D111+$K36</f>
        <v>100</v>
      </c>
      <c r="F111" s="475">
        <f t="shared" si="27"/>
        <v>100</v>
      </c>
      <c r="G111" s="475">
        <f t="shared" si="27"/>
        <v>100</v>
      </c>
      <c r="H111" s="475">
        <f t="shared" si="27"/>
        <v>100</v>
      </c>
      <c r="I111" s="475">
        <f t="shared" si="27"/>
        <v>100</v>
      </c>
      <c r="J111" s="475">
        <f t="shared" si="27"/>
        <v>100</v>
      </c>
      <c r="K111" s="475">
        <f t="shared" si="27"/>
        <v>100</v>
      </c>
      <c r="L111" s="475">
        <f t="shared" si="27"/>
        <v>100</v>
      </c>
      <c r="M111" s="475">
        <f t="shared" si="27"/>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8">D113-$K37</f>
        <v>100</v>
      </c>
      <c r="F113" s="475">
        <f t="shared" si="28"/>
        <v>100</v>
      </c>
      <c r="G113" s="475">
        <f t="shared" si="28"/>
        <v>100</v>
      </c>
      <c r="H113" s="475">
        <f t="shared" si="28"/>
        <v>100</v>
      </c>
      <c r="I113" s="475">
        <f t="shared" si="28"/>
        <v>100</v>
      </c>
      <c r="J113" s="475">
        <f t="shared" si="28"/>
        <v>100</v>
      </c>
      <c r="K113" s="475">
        <f t="shared" si="28"/>
        <v>100</v>
      </c>
      <c r="L113" s="475">
        <f t="shared" si="28"/>
        <v>100</v>
      </c>
      <c r="M113" s="475">
        <f t="shared" si="28"/>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9">C115-$K38</f>
        <v>100</v>
      </c>
      <c r="E115" s="475">
        <f t="shared" si="29"/>
        <v>100</v>
      </c>
      <c r="F115" s="475">
        <f t="shared" si="29"/>
        <v>100</v>
      </c>
      <c r="G115" s="475">
        <f t="shared" si="29"/>
        <v>100</v>
      </c>
      <c r="H115" s="475">
        <f t="shared" si="29"/>
        <v>100</v>
      </c>
      <c r="I115" s="475">
        <f t="shared" si="29"/>
        <v>100</v>
      </c>
      <c r="J115" s="475">
        <f t="shared" si="29"/>
        <v>100</v>
      </c>
      <c r="K115" s="475">
        <f t="shared" si="29"/>
        <v>100</v>
      </c>
      <c r="L115" s="475">
        <f t="shared" si="29"/>
        <v>100</v>
      </c>
      <c r="M115" s="476">
        <f t="shared" si="29"/>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30">D121-$K41</f>
        <v>100</v>
      </c>
      <c r="F121" s="475">
        <f t="shared" si="30"/>
        <v>100</v>
      </c>
      <c r="G121" s="475">
        <f t="shared" si="30"/>
        <v>100</v>
      </c>
      <c r="H121" s="475">
        <f t="shared" si="30"/>
        <v>100</v>
      </c>
      <c r="I121" s="475">
        <f t="shared" si="30"/>
        <v>100</v>
      </c>
      <c r="J121" s="475">
        <f t="shared" si="30"/>
        <v>100</v>
      </c>
      <c r="K121" s="475">
        <f t="shared" si="30"/>
        <v>100</v>
      </c>
      <c r="L121" s="475">
        <f t="shared" si="30"/>
        <v>100</v>
      </c>
      <c r="M121" s="476">
        <f t="shared" si="30"/>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1">C123-$K42</f>
        <v>100</v>
      </c>
      <c r="E123" s="475">
        <f t="shared" si="31"/>
        <v>100</v>
      </c>
      <c r="F123" s="475">
        <f t="shared" si="31"/>
        <v>100</v>
      </c>
      <c r="G123" s="475">
        <f t="shared" si="31"/>
        <v>100</v>
      </c>
      <c r="H123" s="475">
        <f t="shared" si="31"/>
        <v>100</v>
      </c>
      <c r="I123" s="475">
        <f t="shared" si="31"/>
        <v>100</v>
      </c>
      <c r="J123" s="475">
        <f t="shared" si="31"/>
        <v>100</v>
      </c>
      <c r="K123" s="475">
        <f t="shared" si="31"/>
        <v>100</v>
      </c>
      <c r="L123" s="475">
        <f t="shared" si="31"/>
        <v>100</v>
      </c>
      <c r="M123" s="476">
        <f t="shared" si="31"/>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32" priority="14" stopIfTrue="1">
      <formula>$F$52="超过30%"</formula>
    </cfRule>
  </conditionalFormatting>
  <conditionalFormatting sqref="E53">
    <cfRule type="expression" dxfId="131" priority="13" stopIfTrue="1">
      <formula>$F$53="超过20%"</formula>
    </cfRule>
  </conditionalFormatting>
  <conditionalFormatting sqref="E54">
    <cfRule type="expression" dxfId="130" priority="12"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cfRule type="containsText" dxfId="127" priority="15" stopIfTrue="1" operator="containsText" text="超过">
      <formula>NOT(ISERROR(SEARCH("超过",F52)))</formula>
    </cfRule>
  </conditionalFormatting>
  <conditionalFormatting sqref="G52">
    <cfRule type="expression" dxfId="126" priority="10" stopIfTrue="1">
      <formula>$H$52="超过30%"</formula>
    </cfRule>
  </conditionalFormatting>
  <conditionalFormatting sqref="G53">
    <cfRule type="expression" dxfId="125" priority="9" stopIfTrue="1">
      <formula>$H$53="超过20%"</formula>
    </cfRule>
  </conditionalFormatting>
  <conditionalFormatting sqref="G54">
    <cfRule type="expression" dxfId="124" priority="11"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conditionalFormatting sqref="J52:J54">
    <cfRule type="containsText" dxfId="118" priority="8" stopIfTrue="1" operator="containsText" text="超过">
      <formula>NOT(ISERROR(SEARCH("超过",J52)))</formula>
    </cfRule>
  </conditionalFormatting>
  <dataValidations count="25">
    <dataValidation type="list" allowBlank="1" showInputMessage="1" showErrorMessage="1" sqref="E1" xr:uid="{8E40C8E6-1796-4848-B6DB-9230E6AE2E7C}">
      <formula1>"项目模式,单套模式"</formula1>
    </dataValidation>
    <dataValidation type="list" allowBlank="1" showInputMessage="1" showErrorMessage="1" sqref="D48" xr:uid="{4EC36DCB-2063-4380-BEB3-7ABE3E8FD6E7}">
      <formula1>"简单平均,加权平均"</formula1>
    </dataValidation>
    <dataValidation type="list" allowBlank="1" showInputMessage="1" showErrorMessage="1" sqref="F2" xr:uid="{C3D1D95D-BA5F-4715-BD3B-F0A9CF6CDF74}">
      <formula1>估价方法</formula1>
    </dataValidation>
    <dataValidation type="list" allowBlank="1" showInputMessage="1" showErrorMessage="1" sqref="C2" xr:uid="{D1CD68CC-17AD-43C5-BB47-C3EA99EEE63F}">
      <formula1>"需扣减承租人权益,——"</formula1>
    </dataValidation>
    <dataValidation type="list" allowBlank="1" showInputMessage="1" showErrorMessage="1" sqref="F1" xr:uid="{7E8D89FE-126F-4CBE-A00C-06927AB51E58}">
      <formula1>"售价,租金"</formula1>
    </dataValidation>
    <dataValidation type="list" allowBlank="1" showInputMessage="1" showErrorMessage="1" sqref="C22 E22 G22 I22" xr:uid="{C7A1946F-E65E-485C-87FD-E359DA996EE1}">
      <formula1>基础设施水平</formula1>
    </dataValidation>
    <dataValidation type="list" allowBlank="1" showInputMessage="1" showErrorMessage="1" sqref="C16 E16 G16 I16" xr:uid="{F59AEF72-A498-4178-8669-83E84DA44878}">
      <formula1>商业繁华度</formula1>
    </dataValidation>
    <dataValidation type="list" allowBlank="1" showInputMessage="1" showErrorMessage="1" sqref="C8 E8 G8 I8" xr:uid="{F5985D94-8FE5-4B72-9073-7B7CA790BA09}">
      <formula1>商业交易情况</formula1>
    </dataValidation>
    <dataValidation type="list" allowBlank="1" showInputMessage="1" showErrorMessage="1" sqref="C39 E39 G39 I39" xr:uid="{08756194-2399-46C2-81A1-ED455CA79C8B}">
      <formula1>商业层高</formula1>
    </dataValidation>
    <dataValidation type="list" allowBlank="1" showInputMessage="1" showErrorMessage="1" sqref="C38 E38 G38 I38" xr:uid="{DA994444-7C1E-43EB-8442-B3B6EB6BEF7A}">
      <formula1>商业业态</formula1>
    </dataValidation>
    <dataValidation type="list" allowBlank="1" showInputMessage="1" showErrorMessage="1" sqref="E9 G9 I9" xr:uid="{9FA198C2-7C8D-4F83-AAA0-1E0F0EE61B27}">
      <formula1>商业用途</formula1>
    </dataValidation>
    <dataValidation type="list" allowBlank="1" showInputMessage="1" showErrorMessage="1" sqref="C42 E42 G42 I42" xr:uid="{00EABD9F-5D4B-4742-9EEB-302E4C49BB03}">
      <formula1>商业内部装修</formula1>
    </dataValidation>
    <dataValidation type="list" allowBlank="1" showInputMessage="1" showErrorMessage="1" sqref="C41 E41 G41 I41" xr:uid="{D0A1DCA9-6E03-42B1-ABFB-093CD964BBB6}">
      <formula1>商业进深比</formula1>
    </dataValidation>
    <dataValidation type="list" allowBlank="1" showInputMessage="1" showErrorMessage="1" sqref="C37 E37 G37 I37" xr:uid="{E6A83777-A59E-4A98-8686-F916FC50C8DC}">
      <formula1>商业基础设施水平</formula1>
    </dataValidation>
    <dataValidation type="list" allowBlank="1" showInputMessage="1" showErrorMessage="1" sqref="C35 E35 G35 I35" xr:uid="{95AF07C6-F828-49FF-97F7-9D4E9724BD8D}">
      <formula1>商业公共部分装修</formula1>
    </dataValidation>
    <dataValidation type="list" allowBlank="1" showInputMessage="1" showErrorMessage="1" sqref="C34 E34 G34 I34" xr:uid="{4AF370E7-E5AC-4585-A924-5992D0CEB0CE}">
      <formula1>商业建筑结构</formula1>
    </dataValidation>
    <dataValidation type="list" allowBlank="1" showInputMessage="1" showErrorMessage="1" sqref="C32 E32 G32 I32" xr:uid="{58F222E0-5ED9-421E-A283-E58518910B86}">
      <formula1>商业类型</formula1>
    </dataValidation>
    <dataValidation type="list" allowBlank="1" showInputMessage="1" showErrorMessage="1" sqref="C28 E28 G28 I28" xr:uid="{00F4472C-1C09-406E-8A53-EE35EE9EF0EE}">
      <formula1>商业楼层</formula1>
    </dataValidation>
    <dataValidation type="list" allowBlank="1" showInputMessage="1" showErrorMessage="1" sqref="C27 E27 G27 I27" xr:uid="{132DFF1B-52DC-47FB-B4FF-B854297A73C4}">
      <formula1>商业人流量</formula1>
    </dataValidation>
    <dataValidation type="list" allowBlank="1" showInputMessage="1" showErrorMessage="1" sqref="C25 E25 G25 I25" xr:uid="{23B6D174-5485-4886-8141-4BEB2597D6D1}">
      <formula1>商业临街状况</formula1>
    </dataValidation>
    <dataValidation type="list" allowBlank="1" showInputMessage="1" showErrorMessage="1" sqref="E24 G24 I24 C24" xr:uid="{8013E5E7-75B1-47F7-B938-8504D26A2324}">
      <formula1>环境</formula1>
    </dataValidation>
    <dataValidation type="list" allowBlank="1" showInputMessage="1" showErrorMessage="1" sqref="E18 G18 I18 C18" xr:uid="{1DF17C37-FBD2-4F81-BE29-DD270806DCFF}">
      <formula1>交通便捷度</formula1>
    </dataValidation>
    <dataValidation type="list" allowBlank="1" showInputMessage="1" showErrorMessage="1" sqref="E20 I20 G20 C20" xr:uid="{4590443D-7617-4E42-A1AA-70EF0A4F0CDE}">
      <formula1>公共配套设施</formula1>
    </dataValidation>
    <dataValidation type="list" allowBlank="1" showInputMessage="1" showErrorMessage="1" sqref="C43 E43 G43 I43" xr:uid="{CAD1971F-0784-4103-BB0D-51DA1C9ECA01}">
      <formula1>内部装修维护情况</formula1>
    </dataValidation>
    <dataValidation type="list" allowBlank="1" showInputMessage="1" showErrorMessage="1" sqref="D1" xr:uid="{8EAF8499-AE17-44D8-847C-0985FC68AF5D}">
      <formula1>项目类型</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AB20EF-2B26-48BA-A494-E340BF841A97}">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3434</v>
      </c>
      <c r="D1" s="1271" t="s">
        <v>43</v>
      </c>
      <c r="E1" s="1272" t="s">
        <v>678</v>
      </c>
      <c r="F1" s="999" t="e">
        <f ca="1">J53</f>
        <v>#N/A</v>
      </c>
      <c r="G1" s="1286" t="e">
        <f>MATCH(C1,'数据-取费表'!A6:A16,0)+5</f>
        <v>#N/A</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3122" t="e">
        <f ca="1">ROUND(D2/10000,4)</f>
        <v>#N/A</v>
      </c>
      <c r="C2" s="1289" t="s">
        <v>805</v>
      </c>
      <c r="D2" s="1375" t="e">
        <f ca="1">C40+J29+L46</f>
        <v>#N/A</v>
      </c>
      <c r="E2" s="1295" t="s">
        <v>880</v>
      </c>
      <c r="F2" s="1296"/>
      <c r="G2" s="2477"/>
      <c r="H2" s="2467"/>
      <c r="I2" s="2467"/>
      <c r="J2" s="2467"/>
      <c r="K2" s="2468"/>
      <c r="L2" s="2467"/>
      <c r="M2" s="2467"/>
    </row>
    <row r="3" spans="1:37" ht="18" customHeight="1" thickBot="1">
      <c r="A3" s="1297" t="s">
        <v>806</v>
      </c>
      <c r="B3" s="1298">
        <f ca="1">IF(ISERROR(D2/F43),0,ROUND(D2/F43,0))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t="e">
        <f ca="1">C6+C10+C12</f>
        <v>#N/A</v>
      </c>
      <c r="D5" s="1273" t="s">
        <v>693</v>
      </c>
      <c r="E5" s="1008"/>
      <c r="F5" s="1009"/>
      <c r="G5" s="1292"/>
      <c r="H5" s="291">
        <v>1</v>
      </c>
      <c r="I5" s="292" t="s">
        <v>692</v>
      </c>
      <c r="J5" s="1007" t="e">
        <f ca="1">J6+J10+J12</f>
        <v>#N/A</v>
      </c>
      <c r="K5" s="1273" t="s">
        <v>693</v>
      </c>
      <c r="L5" s="1008"/>
      <c r="M5" s="1009"/>
    </row>
    <row r="6" spans="1:37" ht="18" customHeight="1">
      <c r="A6" s="1006" t="s">
        <v>398</v>
      </c>
      <c r="B6" s="3363" t="s">
        <v>694</v>
      </c>
      <c r="C6" s="1011" t="e">
        <f ca="1">ROUND(F6*F8*F7*(1-F9),0)</f>
        <v>#N/A</v>
      </c>
      <c r="D6" s="147" t="s">
        <v>2102</v>
      </c>
      <c r="E6" s="294" t="s">
        <v>696</v>
      </c>
      <c r="F6" s="295" t="e">
        <f ca="1">INDIRECT("'数据-取费表'!u"&amp;$G$1)</f>
        <v>#N/A</v>
      </c>
      <c r="G6" s="1292"/>
      <c r="H6" s="1006" t="s">
        <v>398</v>
      </c>
      <c r="I6" s="3363" t="s">
        <v>694</v>
      </c>
      <c r="J6" s="293" t="e">
        <f ca="1">ROUND(M6*M8*M7*(1-M9),0)</f>
        <v>#N/A</v>
      </c>
      <c r="K6" s="1284" t="s">
        <v>2103</v>
      </c>
      <c r="L6" s="294" t="s">
        <v>696</v>
      </c>
      <c r="M6" s="295" t="e">
        <f ca="1">INDIRECT("'数据-取费表'!z"&amp;$G$1)</f>
        <v>#N/A</v>
      </c>
    </row>
    <row r="7" spans="1:37" ht="18" customHeight="1">
      <c r="A7" s="1010"/>
      <c r="B7" s="3364"/>
      <c r="C7" s="1012"/>
      <c r="D7" s="299"/>
      <c r="E7" s="1013" t="s">
        <v>697</v>
      </c>
      <c r="F7" s="295" t="e">
        <f ca="1">IF(INDIRECT("'数据-取费表'!ah"&amp;$G$1)="",INDIRECT("'数据-取费表'!k"&amp;$G$1),INDIRECT("'数据-取费表'!ah"&amp;$G$1))</f>
        <v>#N/A</v>
      </c>
      <c r="G7" s="1292"/>
      <c r="H7" s="296"/>
      <c r="I7" s="3364"/>
      <c r="J7" s="298"/>
      <c r="K7" s="299"/>
      <c r="L7" s="294" t="s">
        <v>697</v>
      </c>
      <c r="M7" s="295" t="e">
        <f ca="1">F7</f>
        <v>#N/A</v>
      </c>
    </row>
    <row r="8" spans="1:37" ht="18" customHeight="1">
      <c r="A8" s="296"/>
      <c r="B8" s="3364"/>
      <c r="C8" s="298"/>
      <c r="D8" s="299"/>
      <c r="E8" s="294" t="s">
        <v>698</v>
      </c>
      <c r="F8" s="295" t="e">
        <f ca="1">INDIRECT("'数据-取费表'!ai"&amp;$G$1)</f>
        <v>#N/A</v>
      </c>
      <c r="G8" s="1292"/>
      <c r="H8" s="296"/>
      <c r="I8" s="3364"/>
      <c r="J8" s="298"/>
      <c r="K8" s="299"/>
      <c r="L8" s="294" t="s">
        <v>698</v>
      </c>
      <c r="M8" s="295" t="e">
        <f ca="1">INDIRECT("'数据-取费表'!ai"&amp;$G$1)</f>
        <v>#N/A</v>
      </c>
    </row>
    <row r="9" spans="1:37" ht="18" customHeight="1">
      <c r="A9" s="296"/>
      <c r="B9" s="3365"/>
      <c r="C9" s="298"/>
      <c r="D9" s="299"/>
      <c r="E9" s="294" t="s">
        <v>699</v>
      </c>
      <c r="F9" s="304" t="e">
        <f ca="1">INDIRECT("'数据-取费表'!w"&amp;$G$1)</f>
        <v>#N/A</v>
      </c>
      <c r="G9" s="1292"/>
      <c r="H9" s="296"/>
      <c r="I9" s="3365"/>
      <c r="J9" s="298"/>
      <c r="K9" s="299"/>
      <c r="L9" s="305" t="s">
        <v>699</v>
      </c>
      <c r="M9" s="306" t="e">
        <f ca="1">INDIRECT("'数据-取费表'!ab"&amp;$G$1)</f>
        <v>#N/A</v>
      </c>
    </row>
    <row r="10" spans="1:37" ht="18" customHeight="1">
      <c r="A10" s="1006" t="s">
        <v>402</v>
      </c>
      <c r="B10" s="1274" t="s">
        <v>700</v>
      </c>
      <c r="C10" s="308" t="e">
        <f ca="1">ROUND(IF(F10="押一",C6/12*F11,IF(F10="押二",C6/12*2*F11,IF(F10="押三",C6/12*3*F11,C11*F11))),0)</f>
        <v>#N/A</v>
      </c>
      <c r="D10" s="150" t="s">
        <v>2112</v>
      </c>
      <c r="E10" s="305" t="s">
        <v>701</v>
      </c>
      <c r="F10" s="1053" t="s">
        <v>3427</v>
      </c>
      <c r="G10" s="1292"/>
      <c r="H10" s="1006" t="s">
        <v>402</v>
      </c>
      <c r="I10" s="1274" t="s">
        <v>700</v>
      </c>
      <c r="J10" s="293">
        <f ca="1">ROUND(IF(M10="押一",J6/12*M11,IF(M10="押二",J6/12*2*M11,IF(M10="押三",J6/12*3*M11,J11*M11))),0)</f>
        <v>0</v>
      </c>
      <c r="K10" s="1285" t="s">
        <v>2114</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#N/A</v>
      </c>
      <c r="D13" s="1018" t="s">
        <v>705</v>
      </c>
      <c r="E13" s="1018" t="s">
        <v>706</v>
      </c>
      <c r="F13" s="1019" t="e">
        <f ca="1">INDIRECT("'数据-取费表'!y"&amp;$G$1)</f>
        <v>#N/A</v>
      </c>
      <c r="G13" s="1292"/>
      <c r="H13" s="1016">
        <v>2</v>
      </c>
      <c r="I13" s="1017" t="s">
        <v>704</v>
      </c>
      <c r="J13" s="1005" t="e">
        <f ca="1">ROUND(J14*J15,0)</f>
        <v>#N/A</v>
      </c>
      <c r="K13" s="1024" t="s">
        <v>705</v>
      </c>
      <c r="L13" s="1299"/>
      <c r="M13" s="1300"/>
    </row>
    <row r="14" spans="1:37" ht="18" customHeight="1">
      <c r="A14" s="928" t="s">
        <v>397</v>
      </c>
      <c r="B14" s="294" t="s">
        <v>707</v>
      </c>
      <c r="C14" s="310" t="e">
        <f ca="1">ROUND(INDIRECT("'数据-取费表'!l"&amp;$G$1)*F43+'数据-取费表'!L14*INDIRECT("'数据-取费表'!S"&amp;$G$1),0)</f>
        <v>#N/A</v>
      </c>
      <c r="D14" s="1257" t="s">
        <v>708</v>
      </c>
      <c r="E14" s="1255"/>
      <c r="F14" s="311"/>
      <c r="G14" s="1292"/>
      <c r="H14" s="928" t="s">
        <v>398</v>
      </c>
      <c r="I14" s="294" t="s">
        <v>709</v>
      </c>
      <c r="J14" s="21" t="e">
        <f ca="1">C29</f>
        <v>#N/A</v>
      </c>
      <c r="K14" s="12"/>
      <c r="L14" s="759"/>
      <c r="M14" s="760"/>
    </row>
    <row r="15" spans="1:37" s="1304" customFormat="1" ht="18" customHeight="1" thickBot="1">
      <c r="A15" s="928" t="s">
        <v>399</v>
      </c>
      <c r="B15" s="294" t="s">
        <v>710</v>
      </c>
      <c r="C15" s="21" t="e">
        <f ca="1">ROUND(C14*F15,0)</f>
        <v>#N/A</v>
      </c>
      <c r="D15" s="312" t="s">
        <v>711</v>
      </c>
      <c r="E15" s="312" t="s">
        <v>712</v>
      </c>
      <c r="F15" s="313">
        <f>'数据-取费表'!B33</f>
        <v>0.05</v>
      </c>
      <c r="G15" s="1303"/>
      <c r="H15" s="1026" t="s">
        <v>402</v>
      </c>
      <c r="I15" s="1027" t="s">
        <v>706</v>
      </c>
      <c r="J15" s="1036" t="e">
        <f ca="1">INDIRECT("'数据-取费表'!ad"&amp;$G$1)</f>
        <v>#N/A</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t="e">
        <f ca="1">ROUND(INDIRECT("'数据-取费表'!l"&amp;$G$1)*F43*F16,0)</f>
        <v>#N/A</v>
      </c>
      <c r="D16" s="294" t="s">
        <v>711</v>
      </c>
      <c r="E16" s="294" t="s">
        <v>712</v>
      </c>
      <c r="F16" s="314" t="e">
        <f ca="1">IF(INDIRECT("'数据-取费表'!c"&amp;$G$1)="住宅",'数据-取费表'!B34,0)</f>
        <v>#N/A</v>
      </c>
      <c r="G16" s="1292"/>
      <c r="H16" s="1016" t="s">
        <v>393</v>
      </c>
      <c r="I16" s="1017" t="s">
        <v>714</v>
      </c>
      <c r="J16" s="302" t="e">
        <f ca="1">ROUND(J17+J22+J23+J24,0)</f>
        <v>#N/A</v>
      </c>
      <c r="K16" s="1024" t="s">
        <v>715</v>
      </c>
      <c r="L16" s="1025"/>
      <c r="M16" s="1009"/>
    </row>
    <row r="17" spans="1:37" s="1304" customFormat="1" ht="18" customHeight="1">
      <c r="A17" s="928" t="s">
        <v>681</v>
      </c>
      <c r="B17" s="294" t="s">
        <v>716</v>
      </c>
      <c r="C17" s="21" t="e">
        <f ca="1">ROUND(F17*(F43+INDIRECT("'数据-取费表'!S"&amp;$G$1)),0)</f>
        <v>#N/A</v>
      </c>
      <c r="D17" s="294" t="s">
        <v>717</v>
      </c>
      <c r="E17" s="294" t="s">
        <v>718</v>
      </c>
      <c r="F17" s="23">
        <f>'数据-取费表'!B35</f>
        <v>200</v>
      </c>
      <c r="G17" s="1303"/>
      <c r="H17" s="928" t="s">
        <v>398</v>
      </c>
      <c r="I17" s="294" t="s">
        <v>719</v>
      </c>
      <c r="J17" s="2139" t="e">
        <f ca="1">ROUND(IF(AND(项目基本情况!B11="自然人",项目基本情况!B10="北京市"),J6*M17/(1+'数据-取费表'!C42),J18+J19+J20),0)</f>
        <v>#N/A</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t="e">
        <f ca="1">ROUND(C14*F18,0)</f>
        <v>#N/A</v>
      </c>
      <c r="D18" s="294" t="s">
        <v>711</v>
      </c>
      <c r="E18" s="294" t="s">
        <v>712</v>
      </c>
      <c r="F18" s="314">
        <f>'数据-取费表'!B36</f>
        <v>0.02</v>
      </c>
      <c r="G18" s="1303"/>
      <c r="H18" s="928" t="s">
        <v>397</v>
      </c>
      <c r="I18" s="294" t="s">
        <v>723</v>
      </c>
      <c r="J18" s="21" t="e">
        <f ca="1">ROUND(J6*M18/(1+'数据-取费表'!C42),0)</f>
        <v>#N/A</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t="e">
        <f ca="1">SUM(C14:C18)</f>
        <v>#N/A</v>
      </c>
      <c r="D19" s="123" t="s">
        <v>726</v>
      </c>
      <c r="E19" s="1269"/>
      <c r="F19" s="23"/>
      <c r="G19" s="1292"/>
      <c r="H19" s="928" t="s">
        <v>399</v>
      </c>
      <c r="I19" s="294" t="s">
        <v>727</v>
      </c>
      <c r="J19" s="21" t="e">
        <f ca="1">IF(K19="按租金收入计税",ROUND(J6*M19/(1+'数据-取费表'!C42),0),ROUND(C29*M19*0.7,0))</f>
        <v>#N/A</v>
      </c>
      <c r="K19" s="1278" t="s">
        <v>3331</v>
      </c>
      <c r="L19" s="294" t="s">
        <v>712</v>
      </c>
      <c r="M19" s="314">
        <f>IF(K19="按租金收入计税",'数据-取费表'!B51,'数据-取费表'!B50)</f>
        <v>0.12</v>
      </c>
    </row>
    <row r="20" spans="1:37" s="1304" customFormat="1" ht="18" customHeight="1">
      <c r="A20" s="928" t="s">
        <v>402</v>
      </c>
      <c r="B20" s="294" t="s">
        <v>728</v>
      </c>
      <c r="C20" s="21" t="e">
        <f ca="1">ROUND(C19*F20,0)</f>
        <v>#N/A</v>
      </c>
      <c r="D20" s="315" t="s">
        <v>729</v>
      </c>
      <c r="E20" s="294" t="s">
        <v>712</v>
      </c>
      <c r="F20" s="314">
        <f>'数据-取费表'!B37</f>
        <v>0.02</v>
      </c>
      <c r="G20" s="1303"/>
      <c r="H20" s="928" t="s">
        <v>680</v>
      </c>
      <c r="I20" s="147" t="s">
        <v>730</v>
      </c>
      <c r="J20" s="22" t="e">
        <f ca="1">ROUND(M20*M21,0)</f>
        <v>#N/A</v>
      </c>
      <c r="K20" s="316" t="s">
        <v>731</v>
      </c>
      <c r="L20" s="294" t="s">
        <v>732</v>
      </c>
      <c r="M20" s="317">
        <f>'数据-取费表'!B52</f>
        <v>3</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t="e">
        <f ca="1">INDIRECT("'数据-取费表'!r"&amp;$G$1)</f>
        <v>#N/A</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#N/A</v>
      </c>
      <c r="K22" s="1256" t="s">
        <v>739</v>
      </c>
      <c r="L22" s="294" t="s">
        <v>712</v>
      </c>
      <c r="M22" s="320" t="e">
        <f ca="1">INDIRECT("'数据-取费表'!Ak"&amp;$G$1)</f>
        <v>#N/A</v>
      </c>
    </row>
    <row r="23" spans="1:37" s="1304" customFormat="1" ht="18" customHeight="1">
      <c r="A23" s="928" t="s">
        <v>397</v>
      </c>
      <c r="B23" s="294" t="s">
        <v>740</v>
      </c>
      <c r="C23" s="21" t="e">
        <f ca="1">IF('数据-取费表'!B22&lt;=1,ROUND(C19*F24*F23/2,0)+ROUND(C20*F24*F23/2,0),ROUND(C19*(POWER((1+F24),F23/2)-1),0)+ROUND(C20*(POWER((1+F24),F23/2)-1),0))</f>
        <v>#N/A</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t="e">
        <f ca="1">ROUND(J13*M23,0)</f>
        <v>#N/A</v>
      </c>
      <c r="K23" s="1256" t="s">
        <v>743</v>
      </c>
      <c r="L23" s="294" t="s">
        <v>712</v>
      </c>
      <c r="M23" s="321" t="e">
        <f ca="1">INDIRECT("'数据-取费表'!Al"&amp;$G$1)</f>
        <v>#N/A</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399</v>
      </c>
      <c r="B24" s="294" t="s">
        <v>746</v>
      </c>
      <c r="C24" s="21">
        <f ca="1">ROUND(IF('数据-取费表'!B22&lt;=1,F21*F24*F23/2,F21*(POWER((1+F24),F23/2)-1)),4)</f>
        <v>2.9999999999999997E-4</v>
      </c>
      <c r="D24" s="138" t="str">
        <f>IF(F23&lt;=1,"销售费用×利率×(建设周期÷2)","销售费用×((1+利率)^(建设周期÷2)-1)")</f>
        <v>销售费用×利率×(建设周期÷2)</v>
      </c>
      <c r="E24" s="294" t="s">
        <v>747</v>
      </c>
      <c r="F24" s="322">
        <f ca="1">'数据-取费表'!B40</f>
        <v>0.03</v>
      </c>
      <c r="G24" s="1303"/>
      <c r="H24" s="1026" t="s">
        <v>683</v>
      </c>
      <c r="I24" s="1027" t="s">
        <v>728</v>
      </c>
      <c r="J24" s="1028" t="e">
        <f ca="1">ROUND(J5*M24,0)</f>
        <v>#N/A</v>
      </c>
      <c r="K24" s="1029" t="s">
        <v>748</v>
      </c>
      <c r="L24" s="1027" t="s">
        <v>712</v>
      </c>
      <c r="M24" s="1023" t="e">
        <f ca="1">INDIRECT("'数据-取费表'!Am"&amp;$G$1)</f>
        <v>#N/A</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#N/A</v>
      </c>
      <c r="K25" s="1032" t="s">
        <v>753</v>
      </c>
      <c r="L25" s="1033"/>
      <c r="M25" s="1034"/>
    </row>
    <row r="26" spans="1:37" ht="18" customHeight="1">
      <c r="A26" s="928" t="s">
        <v>397</v>
      </c>
      <c r="B26" s="294" t="s">
        <v>754</v>
      </c>
      <c r="C26" s="21" t="e">
        <f ca="1">ROUND((C19+C20)*F26,0)</f>
        <v>#N/A</v>
      </c>
      <c r="D26" s="315" t="s">
        <v>755</v>
      </c>
      <c r="E26" s="305" t="s">
        <v>756</v>
      </c>
      <c r="F26" s="304" t="e">
        <f ca="1">INDIRECT("'数据-取费表'!q"&amp;$G$1)</f>
        <v>#N/A</v>
      </c>
      <c r="G26" s="1292"/>
      <c r="H26" s="291" t="s">
        <v>395</v>
      </c>
      <c r="I26" s="292" t="s">
        <v>757</v>
      </c>
      <c r="J26" s="293" t="e">
        <f ca="1">IF(J5&lt;&gt;0,ROUND(J25*(1-((1+M28)/(1+M26))^M27)/(M26-M28),0),0)</f>
        <v>#N/A</v>
      </c>
      <c r="K26" s="316" t="s">
        <v>758</v>
      </c>
      <c r="L26" s="294" t="s">
        <v>759</v>
      </c>
      <c r="M26" s="304" t="e">
        <f ca="1">INDIRECT("'数据-取费表'!I"&amp;$G$1)</f>
        <v>#N/A</v>
      </c>
    </row>
    <row r="27" spans="1:37" ht="18" customHeight="1">
      <c r="A27" s="928" t="s">
        <v>399</v>
      </c>
      <c r="B27" s="294" t="s">
        <v>760</v>
      </c>
      <c r="C27" s="21" t="e">
        <f ca="1">ROUND(F21*F26,4)</f>
        <v>#N/A</v>
      </c>
      <c r="D27" s="315" t="s">
        <v>761</v>
      </c>
      <c r="E27" s="312"/>
      <c r="F27" s="313"/>
      <c r="G27" s="1292"/>
      <c r="H27" s="296"/>
      <c r="I27" s="297"/>
      <c r="J27" s="298"/>
      <c r="K27" s="323" t="s">
        <v>762</v>
      </c>
      <c r="L27" s="294" t="s">
        <v>763</v>
      </c>
      <c r="M27" s="324" t="e">
        <f ca="1">INDIRECT("'数据-取费表'!ag"&amp;$G$1)</f>
        <v>#N/A</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t="e">
        <f ca="1">INDIRECT("'数据-取费表'!aa"&amp;$G$1)</f>
        <v>#N/A</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#N/A</v>
      </c>
      <c r="D29" s="1029"/>
      <c r="E29" s="1027"/>
      <c r="F29" s="1030"/>
      <c r="G29" s="1303"/>
      <c r="H29" s="325" t="s">
        <v>396</v>
      </c>
      <c r="I29" s="326" t="s">
        <v>768</v>
      </c>
      <c r="J29" s="327" t="e">
        <f ca="1">ROUND(J26/(1+F40)^F41,0)</f>
        <v>#N/A</v>
      </c>
      <c r="K29" s="328" t="s">
        <v>769</v>
      </c>
      <c r="L29" s="329"/>
      <c r="M29" s="330" t="e">
        <f ca="1">INDIRECT("'数据-取费表'!k"&amp;$G$1)</f>
        <v>#N/A</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#N/A</v>
      </c>
      <c r="D30" s="1024" t="s">
        <v>715</v>
      </c>
      <c r="E30" s="1025"/>
      <c r="F30" s="1009"/>
      <c r="G30" s="1292"/>
      <c r="H30" s="2469"/>
      <c r="I30" s="1305"/>
      <c r="J30" s="1306"/>
      <c r="K30" s="121"/>
      <c r="L30" s="2470"/>
      <c r="M30" s="2471"/>
    </row>
    <row r="31" spans="1:37" ht="18" customHeight="1">
      <c r="A31" s="928" t="s">
        <v>398</v>
      </c>
      <c r="B31" s="294" t="s">
        <v>719</v>
      </c>
      <c r="C31" s="2139" t="e">
        <f ca="1">ROUND(IF(AND(项目基本情况!B11="自然人",项目基本情况!B10="北京市"),C6*F31/(1+'数据-取费表'!C42),C32+C33+C34),0)</f>
        <v>#N/A</v>
      </c>
      <c r="D31" s="1257" t="s">
        <v>720</v>
      </c>
      <c r="E31" s="1256" t="s">
        <v>770</v>
      </c>
      <c r="F31" s="2138" t="str">
        <f>IF(项目基本情况!B11="企业","——",IF(M47="住宅",IF(F6*F7*F8/12/(1+'数据-取费表'!F30)&gt;100000,4%,2.5%),IF(F6*F7*F8/12/(1+'数据-取费表'!F30)&gt;100000,12%,7%)))</f>
        <v>——</v>
      </c>
      <c r="G31" s="1292"/>
      <c r="H31" s="2568" t="s">
        <v>2302</v>
      </c>
      <c r="I31" s="1305"/>
      <c r="J31" s="1306"/>
      <c r="K31" s="121"/>
      <c r="L31" s="2470"/>
      <c r="M31" s="2471"/>
    </row>
    <row r="32" spans="1:37" ht="18" customHeight="1">
      <c r="A32" s="928" t="s">
        <v>397</v>
      </c>
      <c r="B32" s="294" t="s">
        <v>723</v>
      </c>
      <c r="C32" s="21" t="e">
        <f ca="1">IF(项目基本情况!B11="自然人","——",ROUND(C6*F32/(1+'数据-取费表'!C42),0))</f>
        <v>#N/A</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e">
        <f ca="1">IF(项目基本情况!B11="自然人","——",IF(D33="按租金收入计税",ROUND(C6*F33/(1+'数据-取费表'!C42),0),IF(D33="按房产原值计税",ROUND(C29*F33*0.7,0),INDIRECT("'数据-取费表'!Aj"&amp;$G$1))))</f>
        <v>#N/A</v>
      </c>
      <c r="D33" s="1278" t="s">
        <v>3331</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e">
        <f ca="1">IF(项目基本情况!B11="自然人","——",ROUND(F34*F35,0))</f>
        <v>#N/A</v>
      </c>
      <c r="D34" s="316" t="s">
        <v>731</v>
      </c>
      <c r="E34" s="294" t="s">
        <v>732</v>
      </c>
      <c r="F34" s="317">
        <f>'数据-取费表'!B52</f>
        <v>3</v>
      </c>
      <c r="G34" s="1292"/>
      <c r="H34" s="2469"/>
      <c r="I34" s="1305"/>
      <c r="J34" s="1306"/>
      <c r="K34" s="2474"/>
      <c r="L34" s="2475"/>
      <c r="M34" s="2475"/>
    </row>
    <row r="35" spans="1:18" ht="18" customHeight="1">
      <c r="A35" s="1040"/>
      <c r="B35" s="1038"/>
      <c r="C35" s="26"/>
      <c r="D35" s="319"/>
      <c r="E35" s="294" t="s">
        <v>736</v>
      </c>
      <c r="F35" s="295" t="e">
        <f ca="1">INDIRECT("'数据-取费表'!r"&amp;$G$1)</f>
        <v>#N/A</v>
      </c>
      <c r="G35" s="1292"/>
      <c r="H35" s="2469"/>
      <c r="I35" s="1305"/>
      <c r="J35" s="1306"/>
      <c r="K35" s="2473"/>
      <c r="L35" s="2472"/>
      <c r="M35" s="2472"/>
    </row>
    <row r="36" spans="1:18" ht="18" customHeight="1">
      <c r="A36" s="1039" t="s">
        <v>402</v>
      </c>
      <c r="B36" s="294" t="s">
        <v>738</v>
      </c>
      <c r="C36" s="21" t="e">
        <f ca="1">ROUND(C29*F36,0)</f>
        <v>#N/A</v>
      </c>
      <c r="D36" s="1256" t="s">
        <v>771</v>
      </c>
      <c r="E36" s="294" t="s">
        <v>712</v>
      </c>
      <c r="F36" s="320" t="e">
        <f ca="1">INDIRECT("'数据-取费表'!Ak"&amp;$G$1)</f>
        <v>#N/A</v>
      </c>
      <c r="G36" s="1292"/>
      <c r="H36" s="2472"/>
      <c r="I36" s="1305"/>
      <c r="J36" s="1306"/>
      <c r="K36" s="2330"/>
      <c r="L36" s="2472"/>
      <c r="M36" s="2472"/>
    </row>
    <row r="37" spans="1:18" ht="18" customHeight="1">
      <c r="A37" s="928" t="s">
        <v>437</v>
      </c>
      <c r="B37" s="294" t="s">
        <v>742</v>
      </c>
      <c r="C37" s="21" t="e">
        <f ca="1">ROUND(C13*F37,0)</f>
        <v>#N/A</v>
      </c>
      <c r="D37" s="1256" t="s">
        <v>743</v>
      </c>
      <c r="E37" s="294" t="s">
        <v>712</v>
      </c>
      <c r="F37" s="321" t="e">
        <f ca="1">INDIRECT("'数据-取费表'!Al"&amp;$G$1)</f>
        <v>#N/A</v>
      </c>
      <c r="G37" s="1292"/>
      <c r="H37" s="2472"/>
      <c r="I37" s="1305"/>
      <c r="J37" s="1306"/>
      <c r="K37" s="2330"/>
      <c r="L37" s="2472"/>
      <c r="M37" s="2472"/>
    </row>
    <row r="38" spans="1:18" ht="18" customHeight="1" thickBot="1">
      <c r="A38" s="1026" t="s">
        <v>683</v>
      </c>
      <c r="B38" s="1027" t="s">
        <v>728</v>
      </c>
      <c r="C38" s="1028" t="e">
        <f ca="1">ROUND(C5*F38,0)</f>
        <v>#N/A</v>
      </c>
      <c r="D38" s="1029" t="s">
        <v>748</v>
      </c>
      <c r="E38" s="1027" t="s">
        <v>712</v>
      </c>
      <c r="F38" s="1023" t="e">
        <f ca="1">INDIRECT("'数据-取费表'!Am"&amp;$G$1)</f>
        <v>#N/A</v>
      </c>
      <c r="G38" s="1292"/>
      <c r="H38" s="2472"/>
      <c r="I38" s="1305"/>
      <c r="J38" s="1306"/>
      <c r="K38" s="2470"/>
      <c r="L38" s="2472"/>
      <c r="M38" s="2472"/>
    </row>
    <row r="39" spans="1:18" ht="24.6" customHeight="1" thickTop="1">
      <c r="A39" s="1016" t="s">
        <v>394</v>
      </c>
      <c r="B39" s="1031" t="s">
        <v>752</v>
      </c>
      <c r="C39" s="302" t="e">
        <f ca="1">C5-C30</f>
        <v>#N/A</v>
      </c>
      <c r="D39" s="1032" t="s">
        <v>753</v>
      </c>
      <c r="E39" s="1033"/>
      <c r="F39" s="1034"/>
      <c r="G39" s="1292"/>
      <c r="H39" s="2472"/>
      <c r="I39" s="1305"/>
      <c r="J39" s="1306"/>
      <c r="K39" s="2470"/>
      <c r="L39" s="2472"/>
      <c r="M39" s="2472"/>
    </row>
    <row r="40" spans="1:18" ht="18" customHeight="1">
      <c r="A40" s="291" t="s">
        <v>395</v>
      </c>
      <c r="B40" s="292" t="s">
        <v>774</v>
      </c>
      <c r="C40" s="293" t="e">
        <f ca="1">ROUND(C39*(1-((1+F42)/(1+F40))^F41)/(F40-F42),0)</f>
        <v>#N/A</v>
      </c>
      <c r="D40" s="316" t="s">
        <v>758</v>
      </c>
      <c r="E40" s="294" t="s">
        <v>759</v>
      </c>
      <c r="F40" s="304" t="e">
        <f ca="1">INDIRECT("'数据-取费表'!I"&amp;$G$1)</f>
        <v>#N/A</v>
      </c>
      <c r="G40" s="1292"/>
      <c r="H40" s="1366" t="e">
        <f ca="1">C39/C5</f>
        <v>#N/A</v>
      </c>
      <c r="I40" s="1305"/>
      <c r="J40" s="1306"/>
      <c r="K40" s="2470"/>
      <c r="L40" s="1366"/>
      <c r="M40" s="1366"/>
    </row>
    <row r="41" spans="1:18" ht="18" customHeight="1">
      <c r="A41" s="296"/>
      <c r="B41" s="297"/>
      <c r="C41" s="298"/>
      <c r="D41" s="323" t="s">
        <v>775</v>
      </c>
      <c r="E41" s="294" t="s">
        <v>763</v>
      </c>
      <c r="F41" s="324" t="e">
        <f ca="1">IF(INDIRECT("'数据-取费表'!af"&amp;$G$1)=0,INDIRECT("'数据-取费表'!ae"&amp;$G$1),INDIRECT("'数据-取费表'!af"&amp;$G$1))</f>
        <v>#N/A</v>
      </c>
      <c r="G41" s="1292"/>
      <c r="H41" s="121"/>
      <c r="I41" s="1305"/>
      <c r="J41" s="1306"/>
      <c r="K41" s="2330"/>
      <c r="L41" s="121"/>
      <c r="M41" s="121"/>
    </row>
    <row r="42" spans="1:18" ht="18" customHeight="1">
      <c r="A42" s="300"/>
      <c r="B42" s="301"/>
      <c r="C42" s="302"/>
      <c r="D42" s="319"/>
      <c r="E42" s="294" t="s">
        <v>766</v>
      </c>
      <c r="F42" s="304" t="e">
        <f ca="1">INDIRECT("'数据-取费表'!v"&amp;$G$1)</f>
        <v>#N/A</v>
      </c>
      <c r="G42" s="1292"/>
      <c r="H42" s="121"/>
      <c r="I42" s="1305"/>
      <c r="J42" s="1306"/>
      <c r="K42" s="2330"/>
      <c r="L42" s="121"/>
      <c r="M42" s="121"/>
    </row>
    <row r="43" spans="1:18" ht="18" customHeight="1" thickBot="1">
      <c r="A43" s="325" t="s">
        <v>396</v>
      </c>
      <c r="B43" s="326" t="s">
        <v>776</v>
      </c>
      <c r="C43" s="327" t="e">
        <f ca="1">ROUND(C40/F43,0)</f>
        <v>#N/A</v>
      </c>
      <c r="D43" s="328" t="s">
        <v>777</v>
      </c>
      <c r="E43" s="329" t="s">
        <v>778</v>
      </c>
      <c r="F43" s="330" t="e">
        <f ca="1">INDIRECT("'数据-取费表'!k"&amp;$G$1)</f>
        <v>#N/A</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3347</v>
      </c>
      <c r="B45" s="1307"/>
      <c r="C45" s="1376" t="e">
        <f ca="1">ROUND((C68-C40)/10000,4)</f>
        <v>#N/A</v>
      </c>
      <c r="D45" s="3129" t="s">
        <v>3348</v>
      </c>
      <c r="E45" s="1307"/>
      <c r="F45" s="1307"/>
      <c r="O45" s="1310" t="s">
        <v>808</v>
      </c>
      <c r="P45" s="1366"/>
      <c r="Q45" s="1366"/>
      <c r="R45" s="1366"/>
    </row>
    <row r="46" spans="1:18" s="1292" customFormat="1" ht="13.8" thickBot="1">
      <c r="A46" s="1311" t="s">
        <v>809</v>
      </c>
      <c r="C46" s="1312" t="e">
        <f ca="1">ROUND(C45,0)</f>
        <v>#N/A</v>
      </c>
      <c r="D46" s="1313" t="str">
        <f>C2</f>
        <v>万元</v>
      </c>
      <c r="I46" s="1314" t="s">
        <v>810</v>
      </c>
      <c r="J46" s="1315"/>
      <c r="K46" s="1316"/>
      <c r="L46" s="1317" t="e">
        <f ca="1">IF(M47="住宅",0,IF(L48&gt;J51,L60,J60))</f>
        <v>#N/A</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3428</v>
      </c>
      <c r="K47" s="1323" t="s">
        <v>816</v>
      </c>
      <c r="L47" s="1324" t="e">
        <f ca="1">INDIRECT("'数据-取费表'!d"&amp;$G$1)</f>
        <v>#N/A</v>
      </c>
      <c r="M47" s="1288" t="str">
        <f>IF(ISNUMBER(FIND("住宅",C1)),"住宅","非住宅")</f>
        <v>非住宅</v>
      </c>
      <c r="O47" s="1325" t="s">
        <v>403</v>
      </c>
      <c r="P47" s="1326" t="s">
        <v>817</v>
      </c>
      <c r="Q47" s="1327" t="e">
        <f ca="1">C40+J29</f>
        <v>#N/A</v>
      </c>
      <c r="R47" s="1327" t="s">
        <v>818</v>
      </c>
    </row>
    <row r="48" spans="1:18" s="1292" customFormat="1" ht="40.200000000000003" thickBot="1">
      <c r="A48" s="1047" t="s">
        <v>438</v>
      </c>
      <c r="B48" s="292" t="s">
        <v>692</v>
      </c>
      <c r="C48" s="1268" t="e">
        <f ca="1">C49+C53+C55</f>
        <v>#N/A</v>
      </c>
      <c r="D48" s="1049"/>
      <c r="E48" s="1050"/>
      <c r="F48" s="908"/>
      <c r="G48" s="681"/>
      <c r="H48" s="682"/>
      <c r="I48" s="1328" t="s">
        <v>819</v>
      </c>
      <c r="J48" s="1329" t="s">
        <v>3429</v>
      </c>
      <c r="K48" s="1330" t="s">
        <v>820</v>
      </c>
      <c r="L48" s="1331" t="e">
        <f ca="1">INDIRECT("'数据-取费表'!f"&amp;$G$1)</f>
        <v>#N/A</v>
      </c>
      <c r="O48" s="1325" t="s">
        <v>404</v>
      </c>
      <c r="P48" s="1326" t="s">
        <v>821</v>
      </c>
      <c r="Q48" s="1327" t="e">
        <f ca="1">J60</f>
        <v>#N/A</v>
      </c>
      <c r="R48" s="1327" t="s">
        <v>822</v>
      </c>
    </row>
    <row r="49" spans="1:18" s="1292" customFormat="1" ht="13.8" thickBot="1">
      <c r="A49" s="921" t="s">
        <v>439</v>
      </c>
      <c r="B49" s="1279" t="s">
        <v>779</v>
      </c>
      <c r="C49" s="1051" t="e">
        <f ca="1">ROUND(F49*F51*F50*(1-F52),0)</f>
        <v>#N/A</v>
      </c>
      <c r="D49" s="992" t="s">
        <v>695</v>
      </c>
      <c r="E49" s="1280" t="s">
        <v>780</v>
      </c>
      <c r="F49" s="997"/>
      <c r="H49" s="682"/>
      <c r="I49" s="1328" t="s">
        <v>823</v>
      </c>
      <c r="J49" s="1332">
        <f>'数据-取费表'!N18</f>
        <v>2007</v>
      </c>
      <c r="K49" s="1330" t="s">
        <v>824</v>
      </c>
      <c r="L49" s="1333"/>
      <c r="O49" s="1334" t="s">
        <v>405</v>
      </c>
      <c r="P49" s="1326" t="s">
        <v>825</v>
      </c>
      <c r="Q49" s="1327" t="e">
        <f ca="1">C29</f>
        <v>#N/A</v>
      </c>
      <c r="R49" s="1327" t="s">
        <v>818</v>
      </c>
    </row>
    <row r="50" spans="1:18" s="1292" customFormat="1" ht="13.8" thickBot="1">
      <c r="A50" s="922"/>
      <c r="B50" s="925"/>
      <c r="C50" s="926"/>
      <c r="D50" s="899"/>
      <c r="E50" s="993" t="s">
        <v>697</v>
      </c>
      <c r="F50" s="994" t="e">
        <f ca="1">F7</f>
        <v>#N/A</v>
      </c>
      <c r="H50" s="682"/>
      <c r="I50" s="1328" t="s">
        <v>826</v>
      </c>
      <c r="J50" s="1335">
        <f>SUMPRODUCT((I63:I65=J47)*(J62:L62=J48)*(J63:L65))</f>
        <v>60</v>
      </c>
      <c r="K50" s="1330" t="s">
        <v>827</v>
      </c>
      <c r="L50" s="1333"/>
      <c r="M50" s="1336"/>
      <c r="O50" s="1334" t="s">
        <v>406</v>
      </c>
      <c r="P50" s="1326" t="s">
        <v>828</v>
      </c>
      <c r="Q50" s="1337" t="e">
        <f ca="1">J58</f>
        <v>#N/A</v>
      </c>
      <c r="R50" s="1327"/>
    </row>
    <row r="51" spans="1:18" s="1292" customFormat="1" ht="13.8" thickBot="1">
      <c r="A51" s="923"/>
      <c r="B51" s="925"/>
      <c r="C51" s="926"/>
      <c r="D51" s="899"/>
      <c r="E51" s="927" t="s">
        <v>698</v>
      </c>
      <c r="F51" s="295" t="e">
        <f ca="1">F8</f>
        <v>#N/A</v>
      </c>
      <c r="I51" s="1338" t="s">
        <v>829</v>
      </c>
      <c r="J51" s="1331">
        <f>IF(J49="",J50,J49+J50-YEAR('数据-取费表'!B2))</f>
        <v>42</v>
      </c>
      <c r="K51" s="1339" t="s">
        <v>830</v>
      </c>
      <c r="L51" s="1340" t="e">
        <f ca="1">ROUND(-PV(INDIRECT("'数据-取费表'!h"&amp;$G$1),J51,(C39-C13*C76),0),0)</f>
        <v>#N/A</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t="e">
        <f ca="1">J53</f>
        <v>#N/A</v>
      </c>
      <c r="R52" s="1327" t="s">
        <v>835</v>
      </c>
    </row>
    <row r="53" spans="1:18" s="1292" customFormat="1" ht="30.75" customHeight="1" thickBot="1">
      <c r="A53" s="1048" t="s">
        <v>440</v>
      </c>
      <c r="B53" s="315" t="s">
        <v>700</v>
      </c>
      <c r="C53" s="308">
        <f ca="1">ROUND(IF(F53="押一",C49/12*F11,IF(F53="押二",C49/12*2*F11,IF(F53="押三",C49/12*3*F11,C54*F11))),0)</f>
        <v>0</v>
      </c>
      <c r="D53" s="150" t="s">
        <v>2115</v>
      </c>
      <c r="E53" s="305" t="s">
        <v>701</v>
      </c>
      <c r="F53" s="1053"/>
      <c r="I53" s="1344" t="s">
        <v>836</v>
      </c>
      <c r="J53" s="2005" t="e">
        <f ca="1">IF(M47="住宅",IF(D1="——",MAX(J51,L48),MAX(J51,L48-'数据-取费表'!B24)),IF(D1="——",MIN(J51,L48),MIN(J51,L48-'数据-取费表'!B24)))</f>
        <v>#N/A</v>
      </c>
      <c r="K53" s="3361" t="s">
        <v>837</v>
      </c>
      <c r="L53" s="3362"/>
      <c r="O53" s="1325" t="s">
        <v>409</v>
      </c>
      <c r="P53" s="1326" t="s">
        <v>838</v>
      </c>
      <c r="Q53" s="1327" t="e">
        <f ca="1">Q47+Q48</f>
        <v>#N/A</v>
      </c>
      <c r="R53" s="1327" t="s">
        <v>410</v>
      </c>
    </row>
    <row r="54" spans="1:18" s="1292" customFormat="1" ht="13.8" thickBot="1">
      <c r="A54" s="921"/>
      <c r="B54" s="1377" t="s">
        <v>891</v>
      </c>
      <c r="C54" s="905"/>
      <c r="D54" s="150"/>
      <c r="E54" s="1282"/>
      <c r="F54" s="1345"/>
      <c r="I54" s="134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#N/A</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#N/A</v>
      </c>
      <c r="D56" s="1352"/>
      <c r="E56" s="1353"/>
      <c r="F56" s="1345"/>
      <c r="I56" s="1354" t="s">
        <v>842</v>
      </c>
      <c r="J56" s="1355" t="s">
        <v>3430</v>
      </c>
      <c r="K56" s="1328" t="s">
        <v>843</v>
      </c>
      <c r="L56" s="1331" t="e">
        <f ca="1">IF(L48&lt;J51,"——",L48-J51)</f>
        <v>#N/A</v>
      </c>
      <c r="O56" s="1325" t="s">
        <v>403</v>
      </c>
      <c r="P56" s="1326" t="s">
        <v>817</v>
      </c>
      <c r="Q56" s="1327" t="e">
        <f ca="1">C40+J29</f>
        <v>#N/A</v>
      </c>
      <c r="R56" s="1327" t="s">
        <v>818</v>
      </c>
    </row>
    <row r="57" spans="1:18" s="1292" customFormat="1" ht="24.6" thickBot="1">
      <c r="A57" s="1356"/>
      <c r="B57" s="896" t="s">
        <v>767</v>
      </c>
      <c r="C57" s="230" t="e">
        <f ca="1">C29</f>
        <v>#N/A</v>
      </c>
      <c r="D57" s="1357"/>
      <c r="E57" s="1358"/>
      <c r="F57" s="1359"/>
      <c r="I57" s="1360" t="s">
        <v>844</v>
      </c>
      <c r="J57" s="1361" t="e">
        <f ca="1">IF(OR(M47="住宅",J51&lt;L48,J56="是"),"——",J51-L48)</f>
        <v>#N/A</v>
      </c>
      <c r="K57" s="1328" t="s">
        <v>892</v>
      </c>
      <c r="L57" s="1331" t="e">
        <f ca="1">IF(L48&lt;J51,"——",IF(L55="比较法",L49,IF(L55="基准地价",L50,L51)))</f>
        <v>#N/A</v>
      </c>
      <c r="O57" s="1325" t="s">
        <v>404</v>
      </c>
      <c r="P57" s="1326" t="s">
        <v>846</v>
      </c>
      <c r="Q57" s="1327" t="e">
        <f ca="1">L60</f>
        <v>#N/A</v>
      </c>
      <c r="R57" s="1327" t="s">
        <v>847</v>
      </c>
    </row>
    <row r="58" spans="1:18" s="1292" customFormat="1" ht="24.6" thickBot="1">
      <c r="A58" s="307" t="s">
        <v>393</v>
      </c>
      <c r="B58" s="904" t="s">
        <v>714</v>
      </c>
      <c r="C58" s="308" t="e">
        <f ca="1">ROUND(C59+C64+C65+C66,0)</f>
        <v>#N/A</v>
      </c>
      <c r="D58" s="906" t="s">
        <v>715</v>
      </c>
      <c r="E58" s="907"/>
      <c r="F58" s="908"/>
      <c r="I58" s="1360" t="s">
        <v>848</v>
      </c>
      <c r="J58" s="1362" t="e">
        <f ca="1">IF(J55&lt;0.4,0.4,J55)</f>
        <v>#N/A</v>
      </c>
      <c r="K58" s="1339" t="s">
        <v>895</v>
      </c>
      <c r="L58" s="1331" t="e">
        <f ca="1">ROUND(POWER(1+L52,L47-L48)*(POWER(1+L52,L48)-1)/(POWER(1+L52,L47)-1),4)</f>
        <v>#N/A</v>
      </c>
      <c r="O58" s="1334" t="s">
        <v>405</v>
      </c>
      <c r="P58" s="1326" t="s">
        <v>850</v>
      </c>
      <c r="Q58" s="1327">
        <f>IF(L55="比较法",L49,IF(L55="基准地价",L50,0))</f>
        <v>0</v>
      </c>
      <c r="R58" s="1327" t="s">
        <v>818</v>
      </c>
    </row>
    <row r="59" spans="1:18" s="1292" customFormat="1" ht="24.6" thickBot="1">
      <c r="A59" s="928" t="s">
        <v>398</v>
      </c>
      <c r="B59" s="896" t="s">
        <v>719</v>
      </c>
      <c r="C59" s="2139" t="e">
        <f ca="1">ROUND(IF(AND(项目基本情况!B11="自然人",项目基本情况!B10="北京市"),C49*F59/(1+'数据-取费表'!C42),C60+C61+C62),0)</f>
        <v>#N/A</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#N/A</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#N/A</v>
      </c>
      <c r="M59" s="1289" t="e">
        <f ca="1">ROUND(POWER(1+L52,L47-(J51+'数据-取费表'!B24))*(POWER(1+L52,(J51+'数据-取费表'!B24))-1)/(POWER(1+L52,L47)-1),4)</f>
        <v>#N/A</v>
      </c>
      <c r="N59" s="1289" t="e">
        <f ca="1">ROUND(POWER(1+L52,L47-(J51+'数据-取费表'!B20))*(POWER(1+L52,(J51+'数据-取费表'!B20))-1)/(POWER(1+L52,L47)-1),4)</f>
        <v>#N/A</v>
      </c>
      <c r="O59" s="1334" t="s">
        <v>406</v>
      </c>
      <c r="P59" s="1326" t="s">
        <v>852</v>
      </c>
      <c r="Q59" s="1337">
        <f>L52</f>
        <v>0</v>
      </c>
      <c r="R59" s="1327"/>
    </row>
    <row r="60" spans="1:18" s="1292" customFormat="1" ht="16.2" thickBot="1">
      <c r="A60" s="928" t="s">
        <v>397</v>
      </c>
      <c r="B60" s="896" t="s">
        <v>723</v>
      </c>
      <c r="C60" s="21" t="e">
        <f ca="1">IF(项目基本情况!B11="自然人","——",ROUND(C48*F60/(1+'数据-取费表'!C42),0))</f>
        <v>#N/A</v>
      </c>
      <c r="D60" s="910" t="s">
        <v>724</v>
      </c>
      <c r="E60" s="896" t="s">
        <v>712</v>
      </c>
      <c r="F60" s="322">
        <f t="shared" ref="F60:F66" si="0">F32</f>
        <v>5.6000000000000001E-2</v>
      </c>
      <c r="I60" s="1363" t="s">
        <v>853</v>
      </c>
      <c r="J60" s="1364" t="e">
        <f ca="1">IF(OR(M47="住宅",J51&lt;L48,J56="是"),"0",ROUND(J59/(1+J52)^J53,0))</f>
        <v>#N/A</v>
      </c>
      <c r="K60" s="1365" t="s">
        <v>854</v>
      </c>
      <c r="L60" s="1364" t="e">
        <f ca="1">IF(OR(M47="住宅",L48&lt;J51),0,ROUND(L57*(L58/L59-1),0))</f>
        <v>#N/A</v>
      </c>
      <c r="O60" s="1334" t="s">
        <v>407</v>
      </c>
      <c r="P60" s="1326" t="s">
        <v>855</v>
      </c>
      <c r="Q60" s="1327" t="e">
        <f ca="1">L58</f>
        <v>#N/A</v>
      </c>
      <c r="R60" s="1327" t="s">
        <v>856</v>
      </c>
    </row>
    <row r="61" spans="1:18" s="1292" customFormat="1" ht="13.8" thickBot="1">
      <c r="A61" s="928" t="s">
        <v>781</v>
      </c>
      <c r="B61" s="896" t="s">
        <v>727</v>
      </c>
      <c r="C61" s="21" t="e">
        <f ca="1">IF(项目基本情况!B11="自然人","——",IF(D61="按租金收入计税",ROUND(C49*F61/(1+'数据-取费表'!C42),0),IF(D61="按房产原值计税",ROUND(C57*F61*0.7,0),INDIRECT("'数据-取费表'!Aj"&amp;$G$1))))</f>
        <v>#N/A</v>
      </c>
      <c r="D61" s="1278" t="s">
        <v>3331</v>
      </c>
      <c r="E61" s="896" t="s">
        <v>712</v>
      </c>
      <c r="F61" s="314">
        <f t="shared" si="0"/>
        <v>0.12</v>
      </c>
      <c r="I61" s="1366"/>
      <c r="J61" s="1366"/>
      <c r="K61" s="1366"/>
      <c r="L61" s="1366"/>
      <c r="O61" s="1334" t="s">
        <v>408</v>
      </c>
      <c r="P61" s="1326" t="str">
        <f>K59</f>
        <v>建筑物剩余耐用年限下的土地年期修正系数Kn</v>
      </c>
      <c r="Q61" s="1327" t="e">
        <f ca="1">L59</f>
        <v>#N/A</v>
      </c>
      <c r="R61" s="1327" t="s">
        <v>857</v>
      </c>
    </row>
    <row r="62" spans="1:18" s="1292" customFormat="1" ht="13.8" thickBot="1">
      <c r="A62" s="928" t="s">
        <v>784</v>
      </c>
      <c r="B62" s="895" t="s">
        <v>730</v>
      </c>
      <c r="C62" s="22" t="e">
        <f ca="1">IF(项目基本情况!B11="自然人","——",ROUND(F62*F63,0))</f>
        <v>#N/A</v>
      </c>
      <c r="D62" s="911" t="s">
        <v>731</v>
      </c>
      <c r="E62" s="896" t="s">
        <v>732</v>
      </c>
      <c r="F62" s="317">
        <f t="shared" si="0"/>
        <v>3</v>
      </c>
      <c r="I62" s="1367" t="s">
        <v>858</v>
      </c>
      <c r="J62" s="610" t="s">
        <v>859</v>
      </c>
      <c r="K62" s="610" t="s">
        <v>860</v>
      </c>
      <c r="L62" s="610" t="s">
        <v>861</v>
      </c>
      <c r="M62" s="1368" t="s">
        <v>862</v>
      </c>
      <c r="O62" s="1325" t="s">
        <v>409</v>
      </c>
      <c r="P62" s="1326" t="s">
        <v>838</v>
      </c>
      <c r="Q62" s="1327" t="e">
        <f ca="1">Q56+Q57</f>
        <v>#N/A</v>
      </c>
      <c r="R62" s="1327" t="s">
        <v>410</v>
      </c>
    </row>
    <row r="63" spans="1:18" s="1292" customFormat="1" ht="13.8" thickBot="1">
      <c r="A63" s="318"/>
      <c r="B63" s="902"/>
      <c r="C63" s="26"/>
      <c r="D63" s="912"/>
      <c r="E63" s="896" t="s">
        <v>736</v>
      </c>
      <c r="F63" s="295" t="e">
        <f t="shared" ca="1" si="0"/>
        <v>#N/A</v>
      </c>
      <c r="I63" s="1367" t="s">
        <v>864</v>
      </c>
      <c r="J63" s="610">
        <v>70</v>
      </c>
      <c r="K63" s="610">
        <v>50</v>
      </c>
      <c r="L63" s="610">
        <v>80</v>
      </c>
      <c r="M63" s="1369">
        <v>0.02</v>
      </c>
      <c r="O63" s="1310" t="s">
        <v>865</v>
      </c>
      <c r="P63" s="1289"/>
      <c r="Q63" s="1289"/>
      <c r="R63" s="1289"/>
    </row>
    <row r="64" spans="1:18" s="1292" customFormat="1" ht="13.8" thickBot="1">
      <c r="A64" s="928" t="s">
        <v>402</v>
      </c>
      <c r="B64" s="896" t="s">
        <v>738</v>
      </c>
      <c r="C64" s="21" t="e">
        <f ca="1">ROUND(C57*F64,0)</f>
        <v>#N/A</v>
      </c>
      <c r="D64" s="910" t="s">
        <v>771</v>
      </c>
      <c r="E64" s="896" t="s">
        <v>712</v>
      </c>
      <c r="F64" s="320" t="e">
        <f t="shared" ca="1" si="0"/>
        <v>#N/A</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#N/A</v>
      </c>
      <c r="D65" s="910" t="s">
        <v>743</v>
      </c>
      <c r="E65" s="896" t="s">
        <v>712</v>
      </c>
      <c r="F65" s="321" t="e">
        <f t="shared" ca="1" si="0"/>
        <v>#N/A</v>
      </c>
      <c r="I65" s="1367" t="s">
        <v>867</v>
      </c>
      <c r="J65" s="610">
        <v>40</v>
      </c>
      <c r="K65" s="610">
        <v>30</v>
      </c>
      <c r="L65" s="610">
        <v>50</v>
      </c>
      <c r="M65" s="1369">
        <v>0.02</v>
      </c>
      <c r="O65" s="1325" t="s">
        <v>403</v>
      </c>
      <c r="P65" s="1326" t="s">
        <v>817</v>
      </c>
      <c r="Q65" s="1327" t="e">
        <f ca="1">C40+J29</f>
        <v>#N/A</v>
      </c>
      <c r="R65" s="1327" t="s">
        <v>818</v>
      </c>
    </row>
    <row r="66" spans="1:18" s="1292" customFormat="1" ht="16.2" thickBot="1">
      <c r="A66" s="928" t="s">
        <v>793</v>
      </c>
      <c r="B66" s="896" t="s">
        <v>728</v>
      </c>
      <c r="C66" s="21" t="e">
        <f ca="1">ROUND(C48*F66,0)</f>
        <v>#N/A</v>
      </c>
      <c r="D66" s="910" t="s">
        <v>748</v>
      </c>
      <c r="E66" s="896" t="s">
        <v>712</v>
      </c>
      <c r="F66" s="304" t="e">
        <f t="shared" ca="1" si="0"/>
        <v>#N/A</v>
      </c>
      <c r="O66" s="1325" t="s">
        <v>404</v>
      </c>
      <c r="P66" s="1326" t="s">
        <v>846</v>
      </c>
      <c r="Q66" s="1327" t="e">
        <f ca="1">L60</f>
        <v>#N/A</v>
      </c>
      <c r="R66" s="1327" t="s">
        <v>869</v>
      </c>
    </row>
    <row r="67" spans="1:18" s="1292" customFormat="1" ht="24.6" thickBot="1">
      <c r="A67" s="903" t="s">
        <v>394</v>
      </c>
      <c r="B67" s="913" t="s">
        <v>752</v>
      </c>
      <c r="C67" s="308" t="e">
        <f ca="1">C48-C58</f>
        <v>#N/A</v>
      </c>
      <c r="D67" s="909" t="s">
        <v>753</v>
      </c>
      <c r="E67" s="914"/>
      <c r="F67" s="915"/>
      <c r="O67" s="1334" t="s">
        <v>405</v>
      </c>
      <c r="P67" s="1326" t="s">
        <v>850</v>
      </c>
      <c r="Q67" s="1370" t="e">
        <f ca="1">L51</f>
        <v>#N/A</v>
      </c>
      <c r="R67" s="1327" t="s">
        <v>870</v>
      </c>
    </row>
    <row r="68" spans="1:18" s="1292" customFormat="1" ht="16.2" thickBot="1">
      <c r="A68" s="893" t="s">
        <v>395</v>
      </c>
      <c r="B68" s="894" t="s">
        <v>774</v>
      </c>
      <c r="C68" s="293" t="e">
        <f ca="1">ROUND(C67*(1-((1+F70)/(1+F68))^F69)/(F68-F70),0)</f>
        <v>#N/A</v>
      </c>
      <c r="D68" s="911" t="s">
        <v>758</v>
      </c>
      <c r="E68" s="896" t="s">
        <v>759</v>
      </c>
      <c r="F68" s="304" t="e">
        <f ca="1">F40</f>
        <v>#N/A</v>
      </c>
      <c r="O68" s="1334" t="s">
        <v>406</v>
      </c>
      <c r="P68" s="1371" t="s">
        <v>871</v>
      </c>
      <c r="Q68" s="1327" t="e">
        <f ca="1">ROUND(Q69-Q70*Q71,0)</f>
        <v>#N/A</v>
      </c>
      <c r="R68" s="1327" t="s">
        <v>414</v>
      </c>
    </row>
    <row r="69" spans="1:18" s="1292" customFormat="1" ht="13.8" thickBot="1">
      <c r="A69" s="897"/>
      <c r="B69" s="898"/>
      <c r="C69" s="298"/>
      <c r="D69" s="916" t="s">
        <v>762</v>
      </c>
      <c r="E69" s="896" t="s">
        <v>763</v>
      </c>
      <c r="F69" s="324" t="e">
        <f ca="1">F41</f>
        <v>#N/A</v>
      </c>
      <c r="O69" s="1334" t="s">
        <v>411</v>
      </c>
      <c r="P69" s="1371" t="s">
        <v>872</v>
      </c>
      <c r="Q69" s="1327" t="e">
        <f ca="1">C39</f>
        <v>#N/A</v>
      </c>
      <c r="R69" s="1327" t="s">
        <v>818</v>
      </c>
    </row>
    <row r="70" spans="1:18" s="1292" customFormat="1" ht="13.8" thickBot="1">
      <c r="A70" s="900"/>
      <c r="B70" s="901"/>
      <c r="C70" s="302"/>
      <c r="D70" s="912"/>
      <c r="E70" s="896" t="s">
        <v>766</v>
      </c>
      <c r="F70" s="991"/>
      <c r="O70" s="1334" t="s">
        <v>412</v>
      </c>
      <c r="P70" s="1371" t="s">
        <v>873</v>
      </c>
      <c r="Q70" s="1327" t="e">
        <f ca="1">C13</f>
        <v>#N/A</v>
      </c>
      <c r="R70" s="1327" t="s">
        <v>818</v>
      </c>
    </row>
    <row r="71" spans="1:18" s="1292" customFormat="1" ht="13.8" thickBot="1">
      <c r="A71" s="917" t="s">
        <v>396</v>
      </c>
      <c r="B71" s="918" t="s">
        <v>776</v>
      </c>
      <c r="C71" s="327" t="e">
        <f ca="1">ROUND(C68/F71,0)</f>
        <v>#N/A</v>
      </c>
      <c r="D71" s="919" t="s">
        <v>777</v>
      </c>
      <c r="E71" s="920" t="s">
        <v>778</v>
      </c>
      <c r="F71" s="330" t="e">
        <f ca="1">F43</f>
        <v>#N/A</v>
      </c>
      <c r="O71" s="1334" t="s">
        <v>413</v>
      </c>
      <c r="P71" s="1371" t="s">
        <v>874</v>
      </c>
      <c r="Q71" s="1337" t="e">
        <f ca="1">C76</f>
        <v>#N/A</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#N/A</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#N/A</v>
      </c>
      <c r="R74" s="1327" t="s">
        <v>857</v>
      </c>
    </row>
    <row r="75" spans="1:18" ht="13.8" thickBot="1">
      <c r="A75" s="1292"/>
      <c r="B75" s="331" t="s">
        <v>795</v>
      </c>
      <c r="C75" s="332" t="e">
        <f ca="1">ROUND(C13*C76,0)</f>
        <v>#N/A</v>
      </c>
      <c r="D75" s="1292"/>
      <c r="E75" s="1292"/>
      <c r="F75" s="1292"/>
      <c r="K75" s="1309"/>
      <c r="L75" s="1292"/>
      <c r="O75" s="1325" t="s">
        <v>409</v>
      </c>
      <c r="P75" s="1326" t="s">
        <v>838</v>
      </c>
      <c r="Q75" s="1327" t="e">
        <f ca="1">Q65+Q66</f>
        <v>#N/A</v>
      </c>
      <c r="R75" s="1327" t="s">
        <v>410</v>
      </c>
    </row>
    <row r="76" spans="1:18">
      <c r="B76" s="333" t="s">
        <v>796</v>
      </c>
      <c r="C76" s="334" t="e">
        <f ca="1">INDIRECT("'数据-取费表'!j"&amp;$G$1)</f>
        <v>#N/A</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#N/A</v>
      </c>
    </row>
    <row r="80" spans="1:18">
      <c r="B80" s="331" t="s">
        <v>800</v>
      </c>
      <c r="C80" s="266" t="e">
        <f ca="1">ROUND(C75/C39,3)</f>
        <v>#N/A</v>
      </c>
    </row>
    <row r="81" spans="2:3">
      <c r="B81" s="262" t="s">
        <v>801</v>
      </c>
      <c r="C81" s="230"/>
    </row>
    <row r="82" spans="2:3">
      <c r="B82" s="265" t="s">
        <v>802</v>
      </c>
      <c r="C82" s="267" t="e">
        <f ca="1">1-C83</f>
        <v>#N/A</v>
      </c>
    </row>
    <row r="83" spans="2:3">
      <c r="B83" s="265" t="s">
        <v>803</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D1" xr:uid="{ADCCAEEB-F6C1-4AD9-883A-350D36CE342A}">
      <formula1>"在建（套用方法）,土地（套用方法）,——"</formula1>
    </dataValidation>
    <dataValidation type="list" allowBlank="1" showInputMessage="1" showErrorMessage="1" sqref="F10 F53 M10" xr:uid="{39803C19-D54E-4297-88C6-796147754210}">
      <formula1>"押一,押二,押三,自定义"</formula1>
    </dataValidation>
    <dataValidation type="list" allowBlank="1" showInputMessage="1" showErrorMessage="1" sqref="K19" xr:uid="{8D438265-C401-4B1F-B85E-B7159180F9A0}">
      <formula1>"按租金收入计税,按房产原值计税"</formula1>
    </dataValidation>
    <dataValidation type="list" allowBlank="1" showInputMessage="1" showErrorMessage="1" sqref="D33 D61" xr:uid="{5A82E2C2-E610-476A-8EA7-BE237075DF9A}">
      <formula1>"按租金收入计税,按房产原值计税,按票据"</formula1>
    </dataValidation>
    <dataValidation type="list" allowBlank="1" showInputMessage="1" showErrorMessage="1" sqref="C1" xr:uid="{CAFC59B9-15AF-4C8B-9A95-C068B6DBE166}">
      <formula1>项目类型</formula1>
    </dataValidation>
    <dataValidation type="list" allowBlank="1" showInputMessage="1" showErrorMessage="1" sqref="J47" xr:uid="{4AE9994E-0DCD-46DF-AE83-D01205F30F82}">
      <formula1>"钢,钢混,砖混"</formula1>
    </dataValidation>
    <dataValidation type="list" allowBlank="1" showInputMessage="1" showErrorMessage="1" sqref="J48" xr:uid="{474B3F6A-7BA3-45F2-9E11-ABFD6B2460FE}">
      <formula1>"非生产用房,生产用房,受腐蚀的生产用房"</formula1>
    </dataValidation>
    <dataValidation type="list" allowBlank="1" showInputMessage="1" showErrorMessage="1" sqref="J56" xr:uid="{9228BFEB-5BEB-44D3-BF32-1E75DE247149}">
      <formula1>估价范围判定</formula1>
    </dataValidation>
    <dataValidation type="list" allowBlank="1" showInputMessage="1" showErrorMessage="1" sqref="L55" xr:uid="{428335B1-A8B7-4CAC-BC72-E49B11FDC284}">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F13F4-63A4-4507-BB35-FDA9B5108ADC}">
  <sheetPr>
    <tabColor rgb="FF7030A0"/>
  </sheetPr>
  <dimension ref="A1"/>
  <sheetViews>
    <sheetView topLeftCell="J94" workbookViewId="0">
      <selection activeCell="P110" sqref="P110"/>
    </sheetView>
  </sheetViews>
  <sheetFormatPr defaultRowHeight="14.4"/>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61966-D4BA-407A-9FC7-50591A5A0A2D}">
  <sheetPr>
    <tabColor rgb="FF7030A0"/>
  </sheetPr>
  <dimension ref="A1:U15"/>
  <sheetViews>
    <sheetView topLeftCell="C1" workbookViewId="0">
      <selection activeCell="N5" sqref="N5"/>
    </sheetView>
  </sheetViews>
  <sheetFormatPr defaultRowHeight="14.4"/>
  <cols>
    <col min="1" max="1" width="16.77734375" customWidth="1"/>
    <col min="3" max="3" width="19.6640625" customWidth="1"/>
    <col min="4" max="4" width="7.21875" customWidth="1"/>
    <col min="8" max="8" width="4.88671875" customWidth="1"/>
    <col min="9" max="9" width="7.77734375" customWidth="1"/>
    <col min="10" max="10" width="6.21875" customWidth="1"/>
  </cols>
  <sheetData>
    <row r="1" spans="1:21" ht="25.2" customHeight="1">
      <c r="A1" s="3166" t="s">
        <v>3440</v>
      </c>
      <c r="B1" s="3166" t="s">
        <v>3441</v>
      </c>
      <c r="C1" s="3166" t="s">
        <v>3442</v>
      </c>
      <c r="D1" s="3166" t="s">
        <v>2539</v>
      </c>
      <c r="E1" s="3166" t="s">
        <v>3443</v>
      </c>
      <c r="F1" s="3166" t="s">
        <v>3444</v>
      </c>
      <c r="G1" s="3166" t="s">
        <v>3445</v>
      </c>
      <c r="H1" s="3166" t="s">
        <v>3446</v>
      </c>
      <c r="I1" s="3166" t="s">
        <v>3447</v>
      </c>
      <c r="J1" s="3166" t="s">
        <v>3448</v>
      </c>
      <c r="K1" s="3166" t="s">
        <v>3449</v>
      </c>
      <c r="L1" s="3167" t="s">
        <v>3450</v>
      </c>
      <c r="M1" s="3168" t="s">
        <v>3451</v>
      </c>
      <c r="N1" s="3168" t="s">
        <v>3452</v>
      </c>
      <c r="P1" s="1405" t="s">
        <v>3453</v>
      </c>
      <c r="Q1" s="3166" t="s">
        <v>3444</v>
      </c>
      <c r="R1" s="3169" t="s">
        <v>3454</v>
      </c>
      <c r="S1" s="3169" t="s">
        <v>3455</v>
      </c>
    </row>
    <row r="2" spans="1:21" ht="25.2" customHeight="1">
      <c r="A2" s="3166" t="s">
        <v>3456</v>
      </c>
      <c r="B2" s="3417" t="s">
        <v>3457</v>
      </c>
      <c r="C2" s="3166" t="s">
        <v>3458</v>
      </c>
      <c r="D2" s="3417" t="s">
        <v>3459</v>
      </c>
      <c r="E2" s="3417" t="s">
        <v>3460</v>
      </c>
      <c r="F2" s="3166" t="s">
        <v>3461</v>
      </c>
      <c r="G2" s="3166">
        <v>166.53</v>
      </c>
      <c r="H2" s="3417" t="s">
        <v>3462</v>
      </c>
      <c r="I2" s="3417" t="s">
        <v>3463</v>
      </c>
      <c r="J2" s="3170">
        <v>1</v>
      </c>
      <c r="K2" s="3418">
        <v>2007</v>
      </c>
      <c r="L2" s="3171"/>
      <c r="M2">
        <v>27670</v>
      </c>
      <c r="N2">
        <v>460.79</v>
      </c>
      <c r="O2">
        <f t="shared" ref="O2:O9" si="0">ROUND(M2*G2/10000,2)</f>
        <v>460.79</v>
      </c>
      <c r="P2">
        <f>ROUND(M2*(1-0.05),0)</f>
        <v>26287</v>
      </c>
      <c r="Q2" s="3166" t="s">
        <v>3461</v>
      </c>
      <c r="R2" s="3172">
        <v>26200</v>
      </c>
      <c r="S2" s="3172">
        <f>ROUND(R2*G2/10000,0)</f>
        <v>436</v>
      </c>
      <c r="T2">
        <f>(R2-M2)/M2</f>
        <v>-5.3126129382002167E-2</v>
      </c>
      <c r="U2">
        <f>(S2-O2)/O2</f>
        <v>-5.3798910566635605E-2</v>
      </c>
    </row>
    <row r="3" spans="1:21" ht="25.2" customHeight="1">
      <c r="A3" s="3166" t="s">
        <v>3464</v>
      </c>
      <c r="B3" s="3417"/>
      <c r="C3" s="3166" t="s">
        <v>3465</v>
      </c>
      <c r="D3" s="3417"/>
      <c r="E3" s="3417"/>
      <c r="F3" s="3166" t="s">
        <v>3466</v>
      </c>
      <c r="G3" s="3170">
        <v>189.43</v>
      </c>
      <c r="H3" s="3417"/>
      <c r="I3" s="3417"/>
      <c r="J3" s="3170">
        <v>1</v>
      </c>
      <c r="K3" s="3418"/>
      <c r="L3" s="3171"/>
      <c r="M3">
        <v>32880</v>
      </c>
      <c r="N3">
        <v>622.85</v>
      </c>
      <c r="O3">
        <f t="shared" si="0"/>
        <v>622.85</v>
      </c>
      <c r="P3">
        <f t="shared" ref="P3:P9" si="1">ROUND(M3*(1-0.05),0)</f>
        <v>31236</v>
      </c>
      <c r="Q3" s="3166" t="s">
        <v>3466</v>
      </c>
      <c r="R3" s="3172">
        <v>31200</v>
      </c>
      <c r="S3" s="3172">
        <f t="shared" ref="S3:S9" si="2">ROUND(R3*G3/10000,0)</f>
        <v>591</v>
      </c>
      <c r="T3">
        <f t="shared" ref="T3:T9" si="3">(R3-M3)/M3</f>
        <v>-5.1094890510948905E-2</v>
      </c>
      <c r="U3">
        <f t="shared" ref="U3:U9" si="4">(S3-O3)/O3</f>
        <v>-5.1135907521875287E-2</v>
      </c>
    </row>
    <row r="4" spans="1:21" ht="25.2" customHeight="1">
      <c r="A4" s="3166" t="s">
        <v>3467</v>
      </c>
      <c r="B4" s="3417"/>
      <c r="C4" s="3166" t="s">
        <v>3468</v>
      </c>
      <c r="D4" s="3417"/>
      <c r="E4" s="3417"/>
      <c r="F4" s="3166" t="s">
        <v>3469</v>
      </c>
      <c r="G4" s="3170">
        <v>230.28</v>
      </c>
      <c r="H4" s="3417"/>
      <c r="I4" s="3417"/>
      <c r="J4" s="3170">
        <v>1</v>
      </c>
      <c r="K4" s="3418"/>
      <c r="L4" s="3171"/>
      <c r="M4">
        <v>31736</v>
      </c>
      <c r="N4">
        <v>730.81</v>
      </c>
      <c r="O4">
        <f t="shared" si="0"/>
        <v>730.82</v>
      </c>
      <c r="P4">
        <f t="shared" si="1"/>
        <v>30149</v>
      </c>
      <c r="Q4" s="3166" t="s">
        <v>3469</v>
      </c>
      <c r="R4" s="3172">
        <v>30100</v>
      </c>
      <c r="S4" s="3172">
        <f t="shared" si="2"/>
        <v>693</v>
      </c>
      <c r="T4">
        <f t="shared" si="3"/>
        <v>-5.1550289891605747E-2</v>
      </c>
      <c r="U4">
        <f t="shared" si="4"/>
        <v>-5.1750088941189411E-2</v>
      </c>
    </row>
    <row r="5" spans="1:21" ht="25.2" customHeight="1">
      <c r="A5" s="3166" t="s">
        <v>3470</v>
      </c>
      <c r="B5" s="3417"/>
      <c r="C5" s="3166" t="s">
        <v>3471</v>
      </c>
      <c r="D5" s="3417"/>
      <c r="E5" s="3417"/>
      <c r="F5" s="3166" t="s">
        <v>3472</v>
      </c>
      <c r="G5" s="3170">
        <v>140.07</v>
      </c>
      <c r="H5" s="3417"/>
      <c r="I5" s="3417"/>
      <c r="J5" s="3170">
        <v>1</v>
      </c>
      <c r="K5" s="3418"/>
      <c r="L5" s="3171"/>
      <c r="M5">
        <v>27753</v>
      </c>
      <c r="N5">
        <v>388.74</v>
      </c>
      <c r="O5">
        <f t="shared" si="0"/>
        <v>388.74</v>
      </c>
      <c r="P5">
        <f t="shared" si="1"/>
        <v>26365</v>
      </c>
      <c r="Q5" s="3166" t="s">
        <v>3472</v>
      </c>
      <c r="R5" s="3172">
        <v>26200</v>
      </c>
      <c r="S5" s="3172">
        <f t="shared" si="2"/>
        <v>367</v>
      </c>
      <c r="T5">
        <f t="shared" si="3"/>
        <v>-5.5957914459698048E-2</v>
      </c>
      <c r="U5">
        <f t="shared" si="4"/>
        <v>-5.5924268148376831E-2</v>
      </c>
    </row>
    <row r="6" spans="1:21" ht="25.2" customHeight="1">
      <c r="A6" s="3166" t="s">
        <v>3473</v>
      </c>
      <c r="B6" s="3417"/>
      <c r="C6" s="3166" t="s">
        <v>3474</v>
      </c>
      <c r="D6" s="3417"/>
      <c r="E6" s="3417"/>
      <c r="F6" s="3166" t="s">
        <v>3475</v>
      </c>
      <c r="G6" s="3170">
        <v>185.68</v>
      </c>
      <c r="H6" s="3417"/>
      <c r="I6" s="3417"/>
      <c r="J6" s="3170">
        <v>2</v>
      </c>
      <c r="K6" s="3418"/>
      <c r="L6" s="3171"/>
      <c r="M6">
        <v>23423</v>
      </c>
      <c r="N6">
        <v>434.92</v>
      </c>
      <c r="O6">
        <f t="shared" si="0"/>
        <v>434.92</v>
      </c>
      <c r="P6">
        <f t="shared" si="1"/>
        <v>22252</v>
      </c>
      <c r="Q6" s="3166" t="s">
        <v>3475</v>
      </c>
      <c r="R6" s="3172">
        <v>22000</v>
      </c>
      <c r="S6" s="3172">
        <f t="shared" si="2"/>
        <v>408</v>
      </c>
      <c r="T6">
        <f t="shared" si="3"/>
        <v>-6.0752252059941086E-2</v>
      </c>
      <c r="U6">
        <f t="shared" si="4"/>
        <v>-6.1896440724731022E-2</v>
      </c>
    </row>
    <row r="7" spans="1:21" ht="25.2" customHeight="1">
      <c r="A7" s="3166" t="s">
        <v>3476</v>
      </c>
      <c r="B7" s="3417"/>
      <c r="C7" s="3166" t="s">
        <v>3477</v>
      </c>
      <c r="D7" s="3417"/>
      <c r="E7" s="3417"/>
      <c r="F7" s="3166" t="s">
        <v>3478</v>
      </c>
      <c r="G7" s="3170">
        <v>228.8</v>
      </c>
      <c r="H7" s="3417"/>
      <c r="I7" s="3417"/>
      <c r="J7" s="3170">
        <v>2</v>
      </c>
      <c r="K7" s="3418"/>
      <c r="L7" s="3171"/>
      <c r="M7">
        <v>23125</v>
      </c>
      <c r="N7">
        <v>529.11</v>
      </c>
      <c r="O7">
        <f t="shared" si="0"/>
        <v>529.1</v>
      </c>
      <c r="P7">
        <f t="shared" si="1"/>
        <v>21969</v>
      </c>
      <c r="Q7" s="3166" t="s">
        <v>3478</v>
      </c>
      <c r="R7" s="3172">
        <f>R6</f>
        <v>22000</v>
      </c>
      <c r="S7" s="3172">
        <f t="shared" si="2"/>
        <v>503</v>
      </c>
      <c r="T7">
        <f t="shared" si="3"/>
        <v>-4.8648648648648651E-2</v>
      </c>
      <c r="U7">
        <f t="shared" si="4"/>
        <v>-4.9329049329049371E-2</v>
      </c>
    </row>
    <row r="8" spans="1:21" ht="25.2" customHeight="1">
      <c r="A8" s="3166" t="s">
        <v>3479</v>
      </c>
      <c r="B8" s="3417"/>
      <c r="C8" s="3166" t="s">
        <v>3480</v>
      </c>
      <c r="D8" s="3417"/>
      <c r="E8" s="3417"/>
      <c r="F8" s="3166" t="s">
        <v>3481</v>
      </c>
      <c r="G8" s="3170">
        <v>200.67</v>
      </c>
      <c r="H8" s="3417"/>
      <c r="I8" s="3417"/>
      <c r="J8" s="3170">
        <v>2</v>
      </c>
      <c r="K8" s="3418"/>
      <c r="L8" s="3171"/>
      <c r="M8">
        <v>23423</v>
      </c>
      <c r="N8">
        <v>470.03</v>
      </c>
      <c r="O8">
        <f t="shared" si="0"/>
        <v>470.03</v>
      </c>
      <c r="P8">
        <f t="shared" si="1"/>
        <v>22252</v>
      </c>
      <c r="Q8" s="3166" t="s">
        <v>3481</v>
      </c>
      <c r="R8" s="3172">
        <f>R6</f>
        <v>22000</v>
      </c>
      <c r="S8" s="3172">
        <f t="shared" si="2"/>
        <v>441</v>
      </c>
      <c r="T8">
        <f t="shared" si="3"/>
        <v>-6.0752252059941086E-2</v>
      </c>
      <c r="U8">
        <f t="shared" si="4"/>
        <v>-6.1762015190519701E-2</v>
      </c>
    </row>
    <row r="9" spans="1:21" ht="25.2" customHeight="1">
      <c r="A9" s="3166" t="s">
        <v>3482</v>
      </c>
      <c r="B9" s="3417"/>
      <c r="C9" s="3166" t="s">
        <v>3483</v>
      </c>
      <c r="D9" s="3417"/>
      <c r="E9" s="3417"/>
      <c r="F9" s="3166" t="s">
        <v>3484</v>
      </c>
      <c r="G9" s="3170">
        <v>242.27</v>
      </c>
      <c r="H9" s="3417"/>
      <c r="I9" s="3417"/>
      <c r="J9" s="3170">
        <v>2</v>
      </c>
      <c r="K9" s="3418"/>
      <c r="L9" s="3173">
        <v>52298</v>
      </c>
      <c r="M9">
        <v>23217</v>
      </c>
      <c r="N9">
        <v>562.49</v>
      </c>
      <c r="O9">
        <f t="shared" si="0"/>
        <v>562.48</v>
      </c>
      <c r="P9">
        <f t="shared" si="1"/>
        <v>22056</v>
      </c>
      <c r="Q9" s="3166" t="s">
        <v>3484</v>
      </c>
      <c r="R9" s="3172">
        <f>R6</f>
        <v>22000</v>
      </c>
      <c r="S9" s="3172">
        <f t="shared" si="2"/>
        <v>533</v>
      </c>
      <c r="T9">
        <f t="shared" si="3"/>
        <v>-5.2418486453891543E-2</v>
      </c>
      <c r="U9">
        <f t="shared" si="4"/>
        <v>-5.2410752382306955E-2</v>
      </c>
    </row>
    <row r="10" spans="1:21" ht="25.2" customHeight="1">
      <c r="A10" s="3171"/>
      <c r="B10" s="3171"/>
      <c r="C10" s="3171"/>
      <c r="D10" s="3171"/>
      <c r="E10" s="3171"/>
      <c r="F10" s="3166" t="s">
        <v>2588</v>
      </c>
      <c r="G10" s="3171">
        <f>SUM(G2:G9)</f>
        <v>1583.73</v>
      </c>
      <c r="H10" s="3171"/>
      <c r="I10" s="3171"/>
      <c r="J10" s="3171"/>
      <c r="K10" s="3171"/>
      <c r="L10" s="3171"/>
      <c r="N10">
        <f>SUM(N2:N9)</f>
        <v>4199.74</v>
      </c>
      <c r="Q10" s="3166" t="s">
        <v>2588</v>
      </c>
    </row>
    <row r="12" spans="1:21" ht="57.6">
      <c r="Q12" s="3515" t="s">
        <v>3509</v>
      </c>
    </row>
    <row r="13" spans="1:21">
      <c r="E13" s="1405" t="s">
        <v>3485</v>
      </c>
    </row>
    <row r="14" spans="1:21">
      <c r="E14" s="1405" t="s">
        <v>3486</v>
      </c>
      <c r="J14" s="1405" t="s">
        <v>3488</v>
      </c>
    </row>
    <row r="15" spans="1:21">
      <c r="E15" s="1405" t="s">
        <v>3487</v>
      </c>
      <c r="J15" s="1405" t="s">
        <v>3489</v>
      </c>
    </row>
  </sheetData>
  <mergeCells count="6">
    <mergeCell ref="K2:K9"/>
    <mergeCell ref="B2:B9"/>
    <mergeCell ref="D2:D9"/>
    <mergeCell ref="E2:E9"/>
    <mergeCell ref="H2:H9"/>
    <mergeCell ref="I2:I9"/>
  </mergeCells>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受贵公司委托，我公司对北京市朝阳区天溪园20号楼房地产抵押价值进行了预评估。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估价对象为北京市朝阳区天溪园20号楼房地产，为所有。根据《国有土地使用证》[]，估价对象（分摊）出让国有建设用地使用权面积为0平方米，建筑面积为165.09平方米。</v>
      </c>
    </row>
    <row r="8" spans="1:1" ht="54.6">
      <c r="A8" s="1385" t="s">
        <v>901</v>
      </c>
    </row>
    <row r="9" spans="1:1" ht="17.399999999999999">
      <c r="A9" s="1384" t="s">
        <v>902</v>
      </c>
    </row>
    <row r="10" spans="1:1" ht="52.2">
      <c r="A10" s="1382" t="str">
        <f>"估价对象为"&amp;项目基本情况!S2&amp;IF(结果表1层!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天溪园20号楼房地产,属开发建设的商业项目，该项目尚在开发建设中。根据《国有土地使用证》[]，估价对象（分摊）出让国有建设用地使用权面积为0平方米，规划建筑面积为165.09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朝阳区天溪园20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2025年6月23日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1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1层!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"本次评估采用的主估价方法为"&amp;结果表1层!K4&amp;"和"&amp;结果表1层!L4&amp;"。"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2431</v>
      </c>
      <c r="B1" s="2582"/>
      <c r="C1" s="2594"/>
      <c r="D1" s="2594"/>
      <c r="E1" s="2583"/>
      <c r="F1" s="2584"/>
      <c r="G1" s="2585"/>
      <c r="J1" s="2588" t="s">
        <v>2310</v>
      </c>
      <c r="K1" s="2589"/>
      <c r="L1" s="2589"/>
      <c r="M1" s="2589"/>
      <c r="N1" s="2589"/>
      <c r="O1" s="2589"/>
      <c r="P1" s="2589"/>
      <c r="Q1" s="2589"/>
      <c r="R1" s="2590"/>
      <c r="S1" s="2591"/>
      <c r="T1" s="2591"/>
      <c r="U1" s="2591"/>
    </row>
    <row r="2" spans="1:22" s="2603" customFormat="1" ht="13.2" customHeight="1">
      <c r="A2" s="1293" t="s">
        <v>2311</v>
      </c>
      <c r="B2" s="2593" t="e">
        <f>IF(D2="——",C40,C40+E2)</f>
        <v>#DIV/0!</v>
      </c>
      <c r="C2" s="2594" t="s">
        <v>2312</v>
      </c>
      <c r="D2" s="3137" t="s">
        <v>3354</v>
      </c>
      <c r="E2" s="3138"/>
      <c r="F2" s="2596"/>
      <c r="G2" s="2597"/>
      <c r="H2" s="2598"/>
      <c r="I2" s="2599"/>
      <c r="J2" s="3425" t="s">
        <v>2313</v>
      </c>
      <c r="K2" s="3426"/>
      <c r="L2" s="2600" t="s">
        <v>2314</v>
      </c>
      <c r="M2" s="2600" t="s">
        <v>2315</v>
      </c>
      <c r="N2" s="2600" t="s">
        <v>2316</v>
      </c>
      <c r="O2" s="2600" t="s">
        <v>2317</v>
      </c>
      <c r="P2" s="2600" t="s">
        <v>2318</v>
      </c>
      <c r="Q2" s="2601" t="s">
        <v>2319</v>
      </c>
      <c r="R2" s="2602" t="s">
        <v>2320</v>
      </c>
      <c r="S2" s="2591"/>
      <c r="T2" s="2591"/>
      <c r="U2" s="2591"/>
      <c r="V2" s="2599"/>
    </row>
    <row r="3" spans="1:22" s="2603" customFormat="1" ht="13.2" customHeight="1">
      <c r="A3" s="2604" t="s">
        <v>2321</v>
      </c>
      <c r="B3" s="2605" t="e">
        <f>ROUND(B2*10000/B4,0)</f>
        <v>#DIV/0!</v>
      </c>
      <c r="C3" s="2594" t="s">
        <v>2322</v>
      </c>
      <c r="D3" s="2594"/>
      <c r="E3" s="2595"/>
      <c r="F3" s="2596"/>
      <c r="G3" s="2597"/>
      <c r="H3" s="2598"/>
      <c r="I3" s="2599"/>
      <c r="J3" s="3427" t="s">
        <v>2323</v>
      </c>
      <c r="K3" s="3428"/>
      <c r="L3" s="2606"/>
      <c r="M3" s="2606"/>
      <c r="N3" s="2606"/>
      <c r="O3" s="2606"/>
      <c r="P3" s="2606"/>
      <c r="Q3" s="2607"/>
      <c r="R3" s="2608">
        <f>SUM(L3:Q3)</f>
        <v>0</v>
      </c>
      <c r="S3" s="2591"/>
      <c r="T3" s="2591"/>
      <c r="U3" s="2591"/>
      <c r="V3" s="2599"/>
    </row>
    <row r="4" spans="1:22" s="2603" customFormat="1" ht="13.2" customHeight="1">
      <c r="A4" s="2609" t="s">
        <v>2324</v>
      </c>
      <c r="B4" s="2610"/>
      <c r="C4" s="2594"/>
      <c r="D4" s="2594"/>
      <c r="E4" s="2595"/>
      <c r="F4" s="2596"/>
      <c r="G4" s="2597"/>
      <c r="H4" s="2598"/>
      <c r="I4" s="2599"/>
      <c r="J4" s="3427" t="s">
        <v>2325</v>
      </c>
      <c r="K4" s="3428"/>
      <c r="L4" s="2611"/>
      <c r="M4" s="2611"/>
      <c r="N4" s="2611"/>
      <c r="O4" s="2611"/>
      <c r="P4" s="2611"/>
      <c r="Q4" s="2612"/>
      <c r="R4" s="2613">
        <f>SUM(L4:Q4)</f>
        <v>0</v>
      </c>
      <c r="S4" s="2591"/>
      <c r="T4" s="2591"/>
      <c r="U4" s="2591"/>
      <c r="V4" s="2599"/>
    </row>
    <row r="5" spans="1:22" s="2603" customFormat="1" ht="13.2" customHeight="1" thickBot="1">
      <c r="A5" s="2614" t="s">
        <v>2326</v>
      </c>
      <c r="B5" s="2615"/>
      <c r="C5" s="2594"/>
      <c r="D5" s="2616"/>
      <c r="E5" s="2596"/>
      <c r="F5" s="2596"/>
      <c r="G5" s="2597"/>
      <c r="H5" s="2598"/>
      <c r="I5" s="2599"/>
      <c r="J5" s="2617" t="s">
        <v>2327</v>
      </c>
      <c r="K5" s="2618"/>
      <c r="L5" s="2618"/>
      <c r="M5" s="2619"/>
      <c r="N5" s="2619"/>
      <c r="O5" s="2619"/>
      <c r="P5" s="2619"/>
      <c r="Q5" s="2619"/>
      <c r="R5" s="2602">
        <f>SUM(R14,R19,R24,R25,R27,R28)</f>
        <v>0</v>
      </c>
      <c r="S5" s="2591"/>
      <c r="T5" s="2591" t="s">
        <v>2328</v>
      </c>
      <c r="U5" s="2591" t="e">
        <f>ROUND(R5*10000/365/R3,1)</f>
        <v>#DIV/0!</v>
      </c>
      <c r="V5" s="2599"/>
    </row>
    <row r="6" spans="1:22" s="2603" customFormat="1" ht="13.2" customHeight="1" thickBot="1">
      <c r="A6" s="3433" t="s">
        <v>2329</v>
      </c>
      <c r="B6" s="3434"/>
      <c r="C6" s="3435"/>
      <c r="D6" s="2620"/>
      <c r="E6" s="2621"/>
      <c r="F6" s="2622"/>
      <c r="G6" s="2623"/>
      <c r="H6" s="2598"/>
      <c r="I6" s="2599"/>
      <c r="J6" s="3419">
        <v>1</v>
      </c>
      <c r="K6" s="3420" t="s">
        <v>2330</v>
      </c>
      <c r="L6" s="2624" t="s">
        <v>2331</v>
      </c>
      <c r="M6" s="2625" t="s">
        <v>2332</v>
      </c>
      <c r="N6" s="2625" t="s">
        <v>2333</v>
      </c>
      <c r="O6" s="2625" t="s">
        <v>2334</v>
      </c>
      <c r="P6" s="2625" t="s">
        <v>2335</v>
      </c>
      <c r="Q6" s="2625" t="s">
        <v>2336</v>
      </c>
      <c r="R6" s="2608" t="s">
        <v>2337</v>
      </c>
      <c r="S6" s="2591"/>
      <c r="T6" s="2591" t="s">
        <v>2338</v>
      </c>
      <c r="U6" s="2591"/>
      <c r="V6" s="2599"/>
    </row>
    <row r="7" spans="1:22" s="2603" customFormat="1" ht="13.2" customHeight="1">
      <c r="A7" s="2626" t="s">
        <v>2339</v>
      </c>
      <c r="B7" s="2627"/>
      <c r="C7" s="2628"/>
      <c r="D7" s="2629">
        <f>SUM(D9,D10,D11,D17,0)</f>
        <v>0</v>
      </c>
      <c r="E7" s="2630" t="e">
        <f>E9+E10+E11+E17</f>
        <v>#DIV/0!</v>
      </c>
      <c r="F7" s="2631"/>
      <c r="G7" s="2632"/>
      <c r="H7" s="2598"/>
      <c r="I7" s="2599"/>
      <c r="J7" s="3419"/>
      <c r="K7" s="3421"/>
      <c r="L7" s="2633" t="s">
        <v>2340</v>
      </c>
      <c r="M7" s="2634"/>
      <c r="N7" s="2610"/>
      <c r="O7" s="2635"/>
      <c r="P7" s="2635"/>
      <c r="Q7" s="2636">
        <v>365</v>
      </c>
      <c r="R7" s="2637">
        <f>ROUND(M7*N7*O7*P7*Q7/10000,0)</f>
        <v>0</v>
      </c>
      <c r="S7" s="2591"/>
      <c r="T7" s="2591" t="s">
        <v>2341</v>
      </c>
      <c r="U7" s="2591"/>
      <c r="V7" s="2599"/>
    </row>
    <row r="8" spans="1:22" s="2603" customFormat="1" ht="13.2" customHeight="1">
      <c r="A8" s="2638" t="s">
        <v>2342</v>
      </c>
      <c r="B8" s="3436" t="s">
        <v>2343</v>
      </c>
      <c r="C8" s="3437"/>
      <c r="D8" s="2639" t="s">
        <v>2344</v>
      </c>
      <c r="E8" s="2640" t="s">
        <v>2345</v>
      </c>
      <c r="F8" s="2641" t="s">
        <v>2346</v>
      </c>
      <c r="G8" s="2642"/>
      <c r="H8" s="2598"/>
      <c r="I8" s="2599"/>
      <c r="J8" s="3419"/>
      <c r="K8" s="3421"/>
      <c r="L8" s="2633" t="s">
        <v>2347</v>
      </c>
      <c r="M8" s="2634"/>
      <c r="N8" s="2610"/>
      <c r="O8" s="2635"/>
      <c r="P8" s="2635"/>
      <c r="Q8" s="2636">
        <v>365</v>
      </c>
      <c r="R8" s="2637">
        <f t="shared" ref="R8:R13" si="0">ROUND(M8*N8*O8*P8*Q8/10000,0)</f>
        <v>0</v>
      </c>
      <c r="S8" s="2591"/>
      <c r="T8" s="2591" t="s">
        <v>2348</v>
      </c>
      <c r="U8" s="2591"/>
      <c r="V8" s="2599"/>
    </row>
    <row r="9" spans="1:22" s="2603" customFormat="1" ht="13.2" customHeight="1">
      <c r="A9" s="2638">
        <v>1</v>
      </c>
      <c r="B9" s="3436" t="s">
        <v>2349</v>
      </c>
      <c r="C9" s="3437"/>
      <c r="D9" s="2639">
        <f>ROUND(D6*E9,0)</f>
        <v>0</v>
      </c>
      <c r="E9" s="2643"/>
      <c r="F9" s="2644" t="s">
        <v>2350</v>
      </c>
      <c r="G9" s="2623"/>
      <c r="H9" s="2598"/>
      <c r="I9" s="2599"/>
      <c r="J9" s="3419"/>
      <c r="K9" s="3421"/>
      <c r="L9" s="2633" t="s">
        <v>2351</v>
      </c>
      <c r="M9" s="2634"/>
      <c r="N9" s="2610"/>
      <c r="O9" s="2635"/>
      <c r="P9" s="2635"/>
      <c r="Q9" s="2636">
        <v>365</v>
      </c>
      <c r="R9" s="2637">
        <f t="shared" si="0"/>
        <v>0</v>
      </c>
      <c r="S9" s="2591"/>
      <c r="T9" s="2591"/>
      <c r="U9" s="2591"/>
      <c r="V9" s="2599"/>
    </row>
    <row r="10" spans="1:22" s="2603" customFormat="1" ht="13.2" customHeight="1">
      <c r="A10" s="2638">
        <v>2</v>
      </c>
      <c r="B10" s="3436" t="s">
        <v>2352</v>
      </c>
      <c r="C10" s="3437"/>
      <c r="D10" s="2639">
        <f>ROUND(D6*E10,0)</f>
        <v>0</v>
      </c>
      <c r="E10" s="2643"/>
      <c r="F10" s="2644" t="s">
        <v>2353</v>
      </c>
      <c r="G10" s="2623"/>
      <c r="H10" s="2598"/>
      <c r="I10" s="2599"/>
      <c r="J10" s="3419"/>
      <c r="K10" s="3421"/>
      <c r="L10" s="2633" t="s">
        <v>2354</v>
      </c>
      <c r="M10" s="2634"/>
      <c r="N10" s="2610"/>
      <c r="O10" s="2635"/>
      <c r="P10" s="2635"/>
      <c r="Q10" s="2636">
        <v>365</v>
      </c>
      <c r="R10" s="2637">
        <f t="shared" si="0"/>
        <v>0</v>
      </c>
      <c r="S10" s="2591"/>
      <c r="T10" s="2591"/>
      <c r="U10" s="2591"/>
      <c r="V10" s="2599"/>
    </row>
    <row r="11" spans="1:22" s="2603" customFormat="1" ht="13.2" customHeight="1">
      <c r="A11" s="2638">
        <v>3</v>
      </c>
      <c r="B11" s="3436" t="s">
        <v>2355</v>
      </c>
      <c r="C11" s="3437"/>
      <c r="D11" s="2639">
        <f>D12+D14+D15+D16</f>
        <v>0</v>
      </c>
      <c r="E11" s="2645" t="e">
        <f>D11/D6</f>
        <v>#DIV/0!</v>
      </c>
      <c r="F11" s="2641"/>
      <c r="G11" s="2642"/>
      <c r="H11" s="2598"/>
      <c r="I11" s="2599"/>
      <c r="J11" s="3419"/>
      <c r="K11" s="3421"/>
      <c r="L11" s="2633" t="s">
        <v>2356</v>
      </c>
      <c r="M11" s="2634"/>
      <c r="N11" s="2610"/>
      <c r="O11" s="2635"/>
      <c r="P11" s="2635"/>
      <c r="Q11" s="2636">
        <v>365</v>
      </c>
      <c r="R11" s="2637">
        <f t="shared" si="0"/>
        <v>0</v>
      </c>
      <c r="S11" s="2591"/>
      <c r="T11" s="2591"/>
      <c r="U11" s="2591"/>
      <c r="V11" s="2599"/>
    </row>
    <row r="12" spans="1:22" s="2603" customFormat="1" ht="13.2" customHeight="1">
      <c r="A12" s="2646" t="s">
        <v>2357</v>
      </c>
      <c r="B12" s="3429" t="s">
        <v>2358</v>
      </c>
      <c r="C12" s="3430"/>
      <c r="D12" s="2647">
        <f>ROUND(D13*1.2%*(1-30%),0)</f>
        <v>0</v>
      </c>
      <c r="E12" s="2648">
        <v>1.2E-2</v>
      </c>
      <c r="F12" s="2641" t="s">
        <v>2359</v>
      </c>
      <c r="G12" s="2642"/>
      <c r="H12" s="2598"/>
      <c r="I12" s="2599"/>
      <c r="J12" s="3419"/>
      <c r="K12" s="3421"/>
      <c r="L12" s="2633" t="s">
        <v>2360</v>
      </c>
      <c r="M12" s="2634"/>
      <c r="N12" s="2610"/>
      <c r="O12" s="2635"/>
      <c r="P12" s="2635"/>
      <c r="Q12" s="2636">
        <v>365</v>
      </c>
      <c r="R12" s="2637">
        <f t="shared" si="0"/>
        <v>0</v>
      </c>
      <c r="S12" s="2591"/>
      <c r="T12" s="2591"/>
      <c r="U12" s="2591"/>
      <c r="V12" s="2599"/>
    </row>
    <row r="13" spans="1:22" s="2603" customFormat="1" ht="13.2" customHeight="1">
      <c r="A13" s="2646"/>
      <c r="B13" s="2649"/>
      <c r="C13" s="2650" t="s">
        <v>2361</v>
      </c>
      <c r="D13" s="2651"/>
      <c r="E13" s="2652"/>
      <c r="F13" s="2641"/>
      <c r="G13" s="2642"/>
      <c r="H13" s="2598"/>
      <c r="I13" s="2599"/>
      <c r="J13" s="3419"/>
      <c r="K13" s="3421"/>
      <c r="L13" s="2633" t="s">
        <v>2362</v>
      </c>
      <c r="M13" s="2634"/>
      <c r="N13" s="2610"/>
      <c r="O13" s="2635"/>
      <c r="P13" s="2635"/>
      <c r="Q13" s="2636">
        <v>365</v>
      </c>
      <c r="R13" s="2637">
        <f t="shared" si="0"/>
        <v>0</v>
      </c>
      <c r="S13" s="2591"/>
      <c r="T13" s="2591"/>
      <c r="U13" s="2591"/>
      <c r="V13" s="2599"/>
    </row>
    <row r="14" spans="1:22" s="2603" customFormat="1" ht="13.2" customHeight="1">
      <c r="A14" s="2646" t="s">
        <v>2363</v>
      </c>
      <c r="B14" s="3429" t="s">
        <v>2364</v>
      </c>
      <c r="C14" s="3430"/>
      <c r="D14" s="2647">
        <f>ROUND(E14*B5/10000,0)</f>
        <v>0</v>
      </c>
      <c r="E14" s="2636"/>
      <c r="F14" s="2641" t="s">
        <v>2365</v>
      </c>
      <c r="G14" s="2642"/>
      <c r="H14" s="2598"/>
      <c r="I14" s="2599"/>
      <c r="J14" s="3419"/>
      <c r="K14" s="3422"/>
      <c r="L14" s="2653" t="s">
        <v>2366</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2367</v>
      </c>
      <c r="B15" s="3429" t="s">
        <v>2368</v>
      </c>
      <c r="C15" s="3430"/>
      <c r="D15" s="2647">
        <f>ROUND(D6*E15,0)</f>
        <v>0</v>
      </c>
      <c r="E15" s="2648">
        <v>5.5E-2</v>
      </c>
      <c r="F15" s="2641" t="s">
        <v>2369</v>
      </c>
      <c r="G15" s="2623"/>
      <c r="H15" s="2598"/>
      <c r="I15" s="2599"/>
      <c r="J15" s="3419">
        <v>2</v>
      </c>
      <c r="K15" s="3420" t="s">
        <v>2370</v>
      </c>
      <c r="L15" s="2633" t="s">
        <v>2371</v>
      </c>
      <c r="M15" s="2634" t="s">
        <v>2372</v>
      </c>
      <c r="N15" s="2634" t="s">
        <v>2373</v>
      </c>
      <c r="O15" s="2635" t="s">
        <v>2374</v>
      </c>
      <c r="P15" s="2635" t="s">
        <v>2336</v>
      </c>
      <c r="Q15" s="2610" t="s">
        <v>2375</v>
      </c>
      <c r="R15" s="2657" t="s">
        <v>2337</v>
      </c>
      <c r="S15" s="2591"/>
      <c r="T15" s="2591"/>
      <c r="U15" s="2591"/>
      <c r="V15" s="2599"/>
    </row>
    <row r="16" spans="1:22" s="2603" customFormat="1" ht="13.2" customHeight="1">
      <c r="A16" s="2646" t="s">
        <v>2376</v>
      </c>
      <c r="B16" s="3429" t="s">
        <v>2377</v>
      </c>
      <c r="C16" s="3430"/>
      <c r="D16" s="2658">
        <f>D6*E16</f>
        <v>0</v>
      </c>
      <c r="E16" s="2659"/>
      <c r="F16" s="2644" t="s">
        <v>2378</v>
      </c>
      <c r="G16" s="2623"/>
      <c r="H16" s="2598"/>
      <c r="I16" s="2599"/>
      <c r="J16" s="3419"/>
      <c r="K16" s="3421"/>
      <c r="L16" s="2633" t="s">
        <v>2379</v>
      </c>
      <c r="M16" s="2634"/>
      <c r="N16" s="2634"/>
      <c r="O16" s="2635"/>
      <c r="P16" s="2636">
        <v>365</v>
      </c>
      <c r="Q16" s="2610"/>
      <c r="R16" s="2657">
        <f>ROUND(M16*N16*O16*P16/10000,0)</f>
        <v>0</v>
      </c>
      <c r="S16" s="2591"/>
      <c r="T16" s="2591"/>
      <c r="U16" s="2591"/>
      <c r="V16" s="2599"/>
    </row>
    <row r="17" spans="1:22" s="2603" customFormat="1" ht="13.2" customHeight="1" thickBot="1">
      <c r="A17" s="2660">
        <v>4</v>
      </c>
      <c r="B17" s="3431" t="s">
        <v>2380</v>
      </c>
      <c r="C17" s="3432"/>
      <c r="D17" s="2661">
        <f>ROUND(D6*E17,0)</f>
        <v>0</v>
      </c>
      <c r="E17" s="2662"/>
      <c r="F17" s="2663" t="s">
        <v>2381</v>
      </c>
      <c r="G17" s="2623"/>
      <c r="H17" s="2598"/>
      <c r="I17" s="2599"/>
      <c r="J17" s="3419"/>
      <c r="K17" s="3421"/>
      <c r="L17" s="2633" t="s">
        <v>2382</v>
      </c>
      <c r="M17" s="2634"/>
      <c r="N17" s="2634"/>
      <c r="O17" s="2635"/>
      <c r="P17" s="2636">
        <v>365</v>
      </c>
      <c r="Q17" s="2610"/>
      <c r="R17" s="2657">
        <f>ROUND(M17*N17*O17*P17/10000,0)</f>
        <v>0</v>
      </c>
      <c r="S17" s="2591"/>
      <c r="T17" s="2591"/>
      <c r="U17" s="2591"/>
      <c r="V17" s="2599"/>
    </row>
    <row r="18" spans="1:22" s="2603" customFormat="1" ht="13.2" customHeight="1" thickBot="1">
      <c r="A18" s="2626" t="s">
        <v>2383</v>
      </c>
      <c r="B18" s="2627"/>
      <c r="C18" s="2627"/>
      <c r="D18" s="2664">
        <f>ROUND(D6*E18,0)</f>
        <v>0</v>
      </c>
      <c r="E18" s="2665"/>
      <c r="F18" s="2666" t="s">
        <v>2384</v>
      </c>
      <c r="G18" s="2623"/>
      <c r="H18" s="2598"/>
      <c r="I18" s="2599"/>
      <c r="J18" s="3419"/>
      <c r="K18" s="3421"/>
      <c r="L18" s="2633" t="s">
        <v>2385</v>
      </c>
      <c r="M18" s="2634"/>
      <c r="N18" s="2634"/>
      <c r="O18" s="2635"/>
      <c r="P18" s="2636">
        <v>365</v>
      </c>
      <c r="Q18" s="2610"/>
      <c r="R18" s="2657">
        <f>ROUND(M18*N18*O18*P18/10000,0)</f>
        <v>0</v>
      </c>
      <c r="S18" s="2591"/>
      <c r="T18" s="2591"/>
      <c r="U18" s="2591"/>
      <c r="V18" s="2599"/>
    </row>
    <row r="19" spans="1:22" s="2603" customFormat="1" ht="13.2" customHeight="1" thickBot="1">
      <c r="A19" s="2667" t="s">
        <v>2386</v>
      </c>
      <c r="B19" s="2621"/>
      <c r="C19" s="2621"/>
      <c r="D19" s="2621"/>
      <c r="E19" s="2621"/>
      <c r="F19" s="2622"/>
      <c r="G19" s="2642"/>
      <c r="H19" s="2598"/>
      <c r="I19" s="2599"/>
      <c r="J19" s="3419"/>
      <c r="K19" s="3422"/>
      <c r="L19" s="2653" t="s">
        <v>2366</v>
      </c>
      <c r="M19" s="2654"/>
      <c r="N19" s="2654">
        <f>SUM(N16:N18)</f>
        <v>0</v>
      </c>
      <c r="O19" s="2655"/>
      <c r="P19" s="2668" t="s">
        <v>2430</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19">
        <v>3</v>
      </c>
      <c r="K20" s="3420" t="s">
        <v>2387</v>
      </c>
      <c r="L20" s="2633" t="s">
        <v>2388</v>
      </c>
      <c r="M20" s="2634" t="s">
        <v>2389</v>
      </c>
      <c r="N20" s="2671" t="s">
        <v>2390</v>
      </c>
      <c r="O20" s="2635" t="s">
        <v>2391</v>
      </c>
      <c r="P20" s="2636" t="s">
        <v>2392</v>
      </c>
      <c r="Q20" s="2610" t="s">
        <v>2393</v>
      </c>
      <c r="R20" s="2657" t="s">
        <v>2394</v>
      </c>
      <c r="S20" s="2591"/>
      <c r="T20" s="2591"/>
      <c r="U20" s="2591"/>
      <c r="V20" s="2599"/>
    </row>
    <row r="21" spans="1:22" s="2603" customFormat="1" ht="13.2" customHeight="1">
      <c r="A21" s="2626"/>
      <c r="B21" s="2627"/>
      <c r="C21" s="2672" t="s">
        <v>2395</v>
      </c>
      <c r="D21" s="2673" t="s">
        <v>2396</v>
      </c>
      <c r="E21" s="2674" t="s">
        <v>2397</v>
      </c>
      <c r="F21" s="2670"/>
      <c r="G21" s="2642"/>
      <c r="H21" s="2598"/>
      <c r="I21" s="2599"/>
      <c r="J21" s="3419"/>
      <c r="K21" s="3421"/>
      <c r="L21" s="2633" t="s">
        <v>2398</v>
      </c>
      <c r="M21" s="2634"/>
      <c r="N21" s="2634"/>
      <c r="O21" s="2635"/>
      <c r="P21" s="2636">
        <v>365</v>
      </c>
      <c r="Q21" s="2610"/>
      <c r="R21" s="2675">
        <f>ROUND(M21*N21*O21*P21/10000,0)</f>
        <v>0</v>
      </c>
      <c r="S21" s="2591"/>
      <c r="T21" s="2591"/>
      <c r="U21" s="2591"/>
      <c r="V21" s="2599"/>
    </row>
    <row r="22" spans="1:22" s="2603" customFormat="1" ht="13.2" customHeight="1">
      <c r="A22" s="2626"/>
      <c r="B22" s="2627"/>
      <c r="C22" s="2676" t="s">
        <v>2399</v>
      </c>
      <c r="D22" s="2677" t="s">
        <v>2400</v>
      </c>
      <c r="E22" s="2678" t="s">
        <v>2401</v>
      </c>
      <c r="F22" s="2670"/>
      <c r="G22" s="2591"/>
      <c r="H22" s="2598"/>
      <c r="I22" s="2599"/>
      <c r="J22" s="3419"/>
      <c r="K22" s="3421"/>
      <c r="L22" s="2633" t="s">
        <v>2402</v>
      </c>
      <c r="M22" s="2634"/>
      <c r="N22" s="2634"/>
      <c r="O22" s="2635"/>
      <c r="P22" s="2636">
        <v>365</v>
      </c>
      <c r="Q22" s="2610"/>
      <c r="R22" s="2675">
        <f>ROUND(M22*N22*O22*P22/10000,0)</f>
        <v>0</v>
      </c>
      <c r="S22" s="2591"/>
      <c r="T22" s="2591"/>
      <c r="U22" s="2591"/>
      <c r="V22" s="2599"/>
    </row>
    <row r="23" spans="1:22" s="2603" customFormat="1" ht="13.2" customHeight="1">
      <c r="A23" s="2679">
        <v>1</v>
      </c>
      <c r="B23" s="2680" t="s">
        <v>2403</v>
      </c>
      <c r="C23" s="2681">
        <f>D6</f>
        <v>0</v>
      </c>
      <c r="D23" s="2682">
        <f>C23*(1+D24)</f>
        <v>0</v>
      </c>
      <c r="E23" s="2683">
        <f>D23*(1+E24)</f>
        <v>0</v>
      </c>
      <c r="F23" s="2684"/>
      <c r="G23" s="2685"/>
      <c r="H23" s="2598"/>
      <c r="I23" s="2599"/>
      <c r="J23" s="3419"/>
      <c r="K23" s="3421"/>
      <c r="L23" s="2633" t="s">
        <v>2404</v>
      </c>
      <c r="M23" s="2634"/>
      <c r="N23" s="2634"/>
      <c r="O23" s="2635"/>
      <c r="P23" s="2636">
        <v>365</v>
      </c>
      <c r="Q23" s="2610"/>
      <c r="R23" s="2675">
        <f>ROUND(M23*N23*O23*P23/10000,0)</f>
        <v>0</v>
      </c>
      <c r="S23" s="2591"/>
      <c r="T23" s="2591"/>
      <c r="U23" s="2591"/>
      <c r="V23" s="2599"/>
    </row>
    <row r="24" spans="1:22" s="2603" customFormat="1" ht="13.2" customHeight="1">
      <c r="A24" s="2686"/>
      <c r="B24" s="2687" t="s">
        <v>2405</v>
      </c>
      <c r="C24" s="2688"/>
      <c r="D24" s="2689"/>
      <c r="E24" s="2690"/>
      <c r="F24" s="2691"/>
      <c r="G24" s="2685"/>
      <c r="H24" s="2598"/>
      <c r="I24" s="2599"/>
      <c r="J24" s="3419"/>
      <c r="K24" s="3422"/>
      <c r="L24" s="2653" t="s">
        <v>2366</v>
      </c>
      <c r="M24" s="2654">
        <f>SUM(M21:M23)</f>
        <v>0</v>
      </c>
      <c r="N24" s="2654"/>
      <c r="O24" s="2655"/>
      <c r="P24" s="2668" t="s">
        <v>2430</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2406</v>
      </c>
      <c r="L25" s="2694"/>
      <c r="M25" s="2694"/>
      <c r="N25" s="2694"/>
      <c r="O25" s="2694"/>
      <c r="P25" s="2695"/>
      <c r="Q25" s="2696">
        <v>0</v>
      </c>
      <c r="R25" s="2669">
        <f>ROUND(R14*Q25,0)</f>
        <v>0</v>
      </c>
      <c r="S25" s="2591"/>
      <c r="T25" s="2591"/>
      <c r="U25" s="2591"/>
      <c r="V25" s="2697"/>
    </row>
    <row r="26" spans="1:22" s="2698" customFormat="1" ht="13.2" customHeight="1">
      <c r="A26" s="2679">
        <v>2</v>
      </c>
      <c r="B26" s="2680" t="s">
        <v>2407</v>
      </c>
      <c r="C26" s="2681">
        <f>D7</f>
        <v>0</v>
      </c>
      <c r="D26" s="2682">
        <f>D23*D27</f>
        <v>0</v>
      </c>
      <c r="E26" s="2683">
        <f>E23*E27</f>
        <v>0</v>
      </c>
      <c r="F26" s="2684"/>
      <c r="G26" s="2685"/>
      <c r="H26" s="2598"/>
      <c r="I26" s="2599"/>
      <c r="J26" s="3423">
        <v>5</v>
      </c>
      <c r="K26" s="2699" t="s">
        <v>2408</v>
      </c>
      <c r="L26" s="2700"/>
      <c r="M26" s="2701"/>
      <c r="N26" s="2702" t="s">
        <v>2409</v>
      </c>
      <c r="O26" s="2702" t="s">
        <v>2410</v>
      </c>
      <c r="P26" s="2703" t="s">
        <v>2411</v>
      </c>
      <c r="Q26" s="2703" t="s">
        <v>2412</v>
      </c>
      <c r="R26" s="2608" t="s">
        <v>2337</v>
      </c>
      <c r="S26" s="2642"/>
      <c r="T26" s="2642"/>
      <c r="U26" s="2642"/>
      <c r="V26" s="2697"/>
    </row>
    <row r="27" spans="1:22" s="2603" customFormat="1" ht="13.2" customHeight="1">
      <c r="A27" s="2686"/>
      <c r="B27" s="2687" t="s">
        <v>2413</v>
      </c>
      <c r="C27" s="2704" t="e">
        <f>E7</f>
        <v>#DIV/0!</v>
      </c>
      <c r="D27" s="2689"/>
      <c r="E27" s="2690"/>
      <c r="F27" s="2691"/>
      <c r="G27" s="2685"/>
      <c r="H27" s="2705"/>
      <c r="I27" s="2697"/>
      <c r="J27" s="3424"/>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2414</v>
      </c>
      <c r="F28" s="2691"/>
      <c r="G28" s="2591"/>
      <c r="H28" s="2705"/>
      <c r="I28" s="2697"/>
      <c r="J28" s="2711">
        <v>6</v>
      </c>
      <c r="K28" s="2712" t="s">
        <v>2415</v>
      </c>
      <c r="L28" s="2713" t="s">
        <v>2416</v>
      </c>
      <c r="M28" s="2714"/>
      <c r="N28" s="2713" t="s">
        <v>2417</v>
      </c>
      <c r="O28" s="2715"/>
      <c r="P28" s="2713" t="s">
        <v>2418</v>
      </c>
      <c r="Q28" s="2716">
        <v>1.4999999999999999E-2</v>
      </c>
      <c r="R28" s="2717"/>
      <c r="S28" s="2591"/>
      <c r="T28" s="2591"/>
      <c r="U28" s="2591"/>
      <c r="V28" s="2697"/>
    </row>
    <row r="29" spans="1:22" s="2698" customFormat="1" ht="13.2" customHeight="1">
      <c r="A29" s="2679">
        <v>3</v>
      </c>
      <c r="B29" s="2680" t="s">
        <v>2419</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2413</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2420</v>
      </c>
      <c r="K31" s="2589"/>
      <c r="L31" s="2589"/>
      <c r="M31" s="2589"/>
      <c r="N31" s="2589"/>
      <c r="O31" s="2589"/>
      <c r="P31" s="2589"/>
      <c r="Q31" s="2589"/>
      <c r="R31" s="2590"/>
      <c r="S31" s="2591"/>
      <c r="T31" s="2591"/>
      <c r="U31" s="2591"/>
      <c r="V31" s="2697"/>
    </row>
    <row r="32" spans="1:22" s="2698" customFormat="1" ht="13.2" customHeight="1">
      <c r="A32" s="2679">
        <v>4</v>
      </c>
      <c r="B32" s="2680" t="s">
        <v>2421</v>
      </c>
      <c r="C32" s="2681">
        <f>C23-C26-C29</f>
        <v>0</v>
      </c>
      <c r="D32" s="2682">
        <f>D23-D26-D29</f>
        <v>0</v>
      </c>
      <c r="E32" s="2683">
        <f>E23-E26-E29</f>
        <v>0</v>
      </c>
      <c r="F32" s="2684"/>
      <c r="G32" s="2591"/>
      <c r="H32" s="2598"/>
      <c r="I32" s="2599"/>
      <c r="J32" s="3425" t="s">
        <v>2313</v>
      </c>
      <c r="K32" s="3426"/>
      <c r="L32" s="2600" t="s">
        <v>2314</v>
      </c>
      <c r="M32" s="2600" t="s">
        <v>2315</v>
      </c>
      <c r="N32" s="2600" t="s">
        <v>2316</v>
      </c>
      <c r="O32" s="2600" t="s">
        <v>2317</v>
      </c>
      <c r="P32" s="2600" t="s">
        <v>2318</v>
      </c>
      <c r="Q32" s="2601" t="s">
        <v>2319</v>
      </c>
      <c r="R32" s="2720" t="s">
        <v>2320</v>
      </c>
      <c r="S32" s="2591"/>
      <c r="T32" s="2591"/>
      <c r="U32" s="2591"/>
      <c r="V32" s="2697"/>
    </row>
    <row r="33" spans="1:23" s="2603" customFormat="1" ht="13.2" customHeight="1">
      <c r="A33" s="2679"/>
      <c r="B33" s="2680"/>
      <c r="C33" s="2681"/>
      <c r="D33" s="2721"/>
      <c r="E33" s="2722"/>
      <c r="F33" s="2684"/>
      <c r="G33" s="2591"/>
      <c r="H33" s="2705"/>
      <c r="I33" s="2697"/>
      <c r="J33" s="3427" t="s">
        <v>2323</v>
      </c>
      <c r="K33" s="3428"/>
      <c r="L33" s="2606"/>
      <c r="M33" s="2606"/>
      <c r="N33" s="2606"/>
      <c r="O33" s="2606"/>
      <c r="P33" s="2606"/>
      <c r="Q33" s="2607"/>
      <c r="R33" s="2723">
        <f>SUM(L33:Q33)</f>
        <v>0</v>
      </c>
      <c r="S33" s="2591"/>
      <c r="T33" s="2591"/>
      <c r="U33" s="2591"/>
      <c r="V33" s="2599"/>
    </row>
    <row r="34" spans="1:23" s="2603" customFormat="1" ht="13.2" customHeight="1">
      <c r="A34" s="2679">
        <v>5</v>
      </c>
      <c r="B34" s="2680" t="s">
        <v>2422</v>
      </c>
      <c r="C34" s="2724"/>
      <c r="D34" s="2725"/>
      <c r="E34" s="2726"/>
      <c r="F34" s="2684"/>
      <c r="G34" s="2591"/>
      <c r="H34" s="2705"/>
      <c r="I34" s="2697"/>
      <c r="J34" s="3427" t="s">
        <v>2325</v>
      </c>
      <c r="K34" s="3428"/>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2423</v>
      </c>
      <c r="C35" s="2728"/>
      <c r="D35" s="2729"/>
      <c r="E35" s="2730"/>
      <c r="F35" s="2684"/>
      <c r="G35" s="2731"/>
      <c r="H35" s="2598"/>
      <c r="I35" s="2697"/>
      <c r="J35" s="2617" t="s">
        <v>2327</v>
      </c>
      <c r="K35" s="2618"/>
      <c r="L35" s="2618"/>
      <c r="M35" s="2619"/>
      <c r="N35" s="2619"/>
      <c r="O35" s="2619"/>
      <c r="P35" s="2619"/>
      <c r="Q35" s="2619"/>
      <c r="R35" s="2732">
        <f>R40+R41+R43</f>
        <v>0</v>
      </c>
      <c r="S35" s="2591"/>
      <c r="T35" s="2591" t="s">
        <v>2328</v>
      </c>
      <c r="U35" s="2591"/>
      <c r="V35" s="2599"/>
    </row>
    <row r="36" spans="1:23" s="2603" customFormat="1" ht="13.2" customHeight="1" thickBot="1">
      <c r="A36" s="2679">
        <v>7</v>
      </c>
      <c r="B36" s="2733" t="s">
        <v>2424</v>
      </c>
      <c r="C36" s="2734"/>
      <c r="D36" s="2735"/>
      <c r="E36" s="2736"/>
      <c r="F36" s="2737">
        <f>C36+D36+E36</f>
        <v>0</v>
      </c>
      <c r="G36" s="2591"/>
      <c r="H36" s="2598"/>
      <c r="I36" s="2599"/>
      <c r="J36" s="3419">
        <v>1</v>
      </c>
      <c r="K36" s="3420" t="s">
        <v>2425</v>
      </c>
      <c r="L36" s="2624"/>
      <c r="M36" s="2625"/>
      <c r="N36" s="2625"/>
      <c r="O36" s="2625"/>
      <c r="P36" s="2625"/>
      <c r="Q36" s="2625"/>
      <c r="R36" s="2608" t="s">
        <v>2337</v>
      </c>
      <c r="S36" s="2591"/>
      <c r="T36" s="2591" t="s">
        <v>2338</v>
      </c>
      <c r="U36" s="2591"/>
      <c r="V36" s="2599"/>
    </row>
    <row r="37" spans="1:23" s="2603" customFormat="1" ht="13.2" customHeight="1">
      <c r="A37" s="2679"/>
      <c r="B37" s="2680"/>
      <c r="C37" s="2680"/>
      <c r="D37" s="2680"/>
      <c r="E37" s="2680"/>
      <c r="F37" s="2684"/>
      <c r="G37" s="2591"/>
      <c r="H37" s="2598"/>
      <c r="I37" s="2599"/>
      <c r="J37" s="3419"/>
      <c r="K37" s="3421"/>
      <c r="L37" s="2633"/>
      <c r="M37" s="2634"/>
      <c r="N37" s="2610"/>
      <c r="O37" s="2635"/>
      <c r="P37" s="2635"/>
      <c r="Q37" s="2636"/>
      <c r="R37" s="2637"/>
      <c r="S37" s="2591"/>
      <c r="T37" s="2591" t="s">
        <v>2341</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19"/>
      <c r="K38" s="3421"/>
      <c r="L38" s="2633"/>
      <c r="M38" s="2634"/>
      <c r="N38" s="2610"/>
      <c r="O38" s="2635"/>
      <c r="P38" s="2635"/>
      <c r="Q38" s="2636"/>
      <c r="R38" s="2637"/>
      <c r="S38" s="2591"/>
      <c r="T38" s="2591" t="s">
        <v>2348</v>
      </c>
      <c r="U38" s="2591"/>
      <c r="V38" s="2599"/>
    </row>
    <row r="39" spans="1:23" s="2603" customFormat="1" ht="13.2" customHeight="1">
      <c r="A39" s="2679">
        <v>9</v>
      </c>
      <c r="B39" s="2680" t="s">
        <v>2426</v>
      </c>
      <c r="C39" s="2647" t="e">
        <f>C38</f>
        <v>#DIV/0!</v>
      </c>
      <c r="D39" s="2680">
        <f>D38/(1+D34)^C36</f>
        <v>0</v>
      </c>
      <c r="E39" s="2680">
        <f>E38/(1+E34)^(C36+D36)</f>
        <v>0</v>
      </c>
      <c r="F39" s="2684"/>
      <c r="G39" s="2599"/>
      <c r="H39" s="2598"/>
      <c r="I39" s="2599"/>
      <c r="J39" s="3419"/>
      <c r="K39" s="3421"/>
      <c r="L39" s="2633"/>
      <c r="M39" s="2634"/>
      <c r="N39" s="2610"/>
      <c r="O39" s="2635"/>
      <c r="P39" s="2635"/>
      <c r="Q39" s="2636"/>
      <c r="R39" s="2637"/>
      <c r="S39" s="2591"/>
      <c r="T39" s="2591"/>
      <c r="U39" s="2591"/>
      <c r="V39" s="2599"/>
    </row>
    <row r="40" spans="1:23" s="2603" customFormat="1" ht="13.2" customHeight="1">
      <c r="A40" s="2738">
        <v>10</v>
      </c>
      <c r="B40" s="2680" t="s">
        <v>2427</v>
      </c>
      <c r="C40" s="2739" t="e">
        <f>C39+D39+E39</f>
        <v>#DIV/0!</v>
      </c>
      <c r="D40" s="2740"/>
      <c r="E40" s="2740"/>
      <c r="F40" s="2741"/>
      <c r="G40" s="2591"/>
      <c r="H40" s="2598"/>
      <c r="I40" s="2599"/>
      <c r="J40" s="3419"/>
      <c r="K40" s="3422"/>
      <c r="L40" s="2653" t="s">
        <v>2366</v>
      </c>
      <c r="M40" s="2654"/>
      <c r="N40" s="2654"/>
      <c r="O40" s="2655"/>
      <c r="P40" s="2655"/>
      <c r="Q40" s="2656"/>
      <c r="R40" s="2602">
        <f>SUM(R37:R39)</f>
        <v>0</v>
      </c>
      <c r="S40" s="2591"/>
      <c r="T40" s="2591"/>
      <c r="U40" s="2591"/>
      <c r="V40" s="2599"/>
    </row>
    <row r="41" spans="1:23" s="2603" customFormat="1" ht="13.2" customHeight="1" thickBot="1">
      <c r="A41" s="2742">
        <v>11</v>
      </c>
      <c r="B41" s="2743" t="s">
        <v>2428</v>
      </c>
      <c r="C41" s="2743" t="e">
        <f>ROUND(C40*10000/B4,0)</f>
        <v>#DIV/0!</v>
      </c>
      <c r="D41" s="2744"/>
      <c r="E41" s="2744"/>
      <c r="F41" s="2745"/>
      <c r="G41" s="2598"/>
      <c r="H41" s="2598"/>
      <c r="I41" s="2599"/>
      <c r="J41" s="2692">
        <v>2</v>
      </c>
      <c r="K41" s="2693" t="s">
        <v>2406</v>
      </c>
      <c r="L41" s="2694"/>
      <c r="M41" s="2694"/>
      <c r="N41" s="2694"/>
      <c r="O41" s="2694"/>
      <c r="P41" s="2695"/>
      <c r="Q41" s="2696"/>
      <c r="R41" s="2669">
        <f>ROUND(R40*Q41,0)</f>
        <v>0</v>
      </c>
      <c r="S41" s="2591"/>
      <c r="T41" s="2591"/>
      <c r="U41" s="2642"/>
      <c r="V41" s="2599"/>
    </row>
    <row r="42" spans="1:23" s="2603" customFormat="1" ht="13.2" customHeight="1">
      <c r="G42" s="2598"/>
      <c r="H42" s="2598"/>
      <c r="I42" s="2599"/>
      <c r="J42" s="3423">
        <v>3</v>
      </c>
      <c r="K42" s="2699" t="s">
        <v>2408</v>
      </c>
      <c r="L42" s="2700"/>
      <c r="M42" s="2701"/>
      <c r="N42" s="2702" t="s">
        <v>2409</v>
      </c>
      <c r="O42" s="2702" t="s">
        <v>2410</v>
      </c>
      <c r="P42" s="2703" t="s">
        <v>2411</v>
      </c>
      <c r="Q42" s="2703" t="s">
        <v>2412</v>
      </c>
      <c r="R42" s="2608" t="s">
        <v>2337</v>
      </c>
      <c r="S42" s="2642"/>
      <c r="T42" s="2642"/>
      <c r="U42" s="2591"/>
      <c r="V42" s="2599"/>
    </row>
    <row r="43" spans="1:23" ht="13.2" customHeight="1">
      <c r="A43" s="2603"/>
      <c r="B43" s="2603"/>
      <c r="C43" s="2603"/>
      <c r="D43" s="2603"/>
      <c r="E43" s="2603"/>
      <c r="F43" s="2603"/>
      <c r="I43" s="2586"/>
      <c r="J43" s="3424"/>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2415</v>
      </c>
      <c r="L44" s="2748" t="s">
        <v>2416</v>
      </c>
      <c r="M44" s="2714"/>
      <c r="N44" s="2748" t="s">
        <v>2417</v>
      </c>
      <c r="O44" s="2714"/>
      <c r="P44" s="2748" t="s">
        <v>2418</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t="e">
        <f ca="1">SUMIF(B6:B13,"&lt;&gt;#ref!",B6:B13)</f>
        <v>#N/A</v>
      </c>
      <c r="C2" s="1729" t="s">
        <v>1651</v>
      </c>
      <c r="D2" s="1730" t="s">
        <v>1652</v>
      </c>
      <c r="E2" s="2392">
        <f>SUM(E6:E13)</f>
        <v>165.09</v>
      </c>
      <c r="F2" s="2478"/>
      <c r="G2" s="459"/>
      <c r="H2" s="459"/>
      <c r="I2" s="459"/>
      <c r="J2" s="459"/>
      <c r="K2" s="459"/>
      <c r="L2" s="459"/>
      <c r="M2" s="459"/>
      <c r="N2" s="459"/>
      <c r="O2" s="459"/>
      <c r="P2" s="459"/>
      <c r="Q2" s="459"/>
      <c r="R2" s="459"/>
      <c r="S2" s="459"/>
    </row>
    <row r="3" spans="1:22" ht="15.6">
      <c r="A3" s="1728" t="s">
        <v>686</v>
      </c>
      <c r="B3" s="2386" t="e">
        <f ca="1">ROUND(B2*10000/E2,0)</f>
        <v>#N/A</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438" t="s">
        <v>1654</v>
      </c>
      <c r="C5" s="3439"/>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400.10180000000003</v>
      </c>
      <c r="C6" s="1729" t="s">
        <v>1651</v>
      </c>
      <c r="D6" s="2478"/>
      <c r="E6" s="2391">
        <f>IF(OR(A6=0,F6="否"),0,'数据-取费表'!K6+'数据-取费表'!S6)</f>
        <v>165.09</v>
      </c>
      <c r="F6" s="1732" t="s">
        <v>1657</v>
      </c>
      <c r="G6" s="459"/>
      <c r="H6" s="459"/>
      <c r="I6" s="459"/>
      <c r="J6" s="459"/>
      <c r="K6" s="459"/>
      <c r="L6" s="459"/>
      <c r="M6" s="459"/>
      <c r="N6" s="459"/>
      <c r="O6" s="459"/>
      <c r="P6" s="459"/>
      <c r="Q6" s="459"/>
      <c r="R6" s="459"/>
      <c r="S6" s="459"/>
    </row>
    <row r="7" spans="1:22" ht="14.4">
      <c r="A7" s="2389" t="str">
        <f>'数据-取费表'!AN7</f>
        <v>收益法 (元) 2层</v>
      </c>
      <c r="B7" s="2387" t="e">
        <f ca="1">IF(F7="是",'数据-取费表'!AO7,0)</f>
        <v>#N/A</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165.09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84" t="s">
        <v>1667</v>
      </c>
      <c r="D4" s="3385"/>
      <c r="E4" s="3386" t="s">
        <v>1668</v>
      </c>
      <c r="F4" s="3387"/>
      <c r="G4" s="3384" t="s">
        <v>1669</v>
      </c>
      <c r="H4" s="3385"/>
      <c r="I4" s="3384" t="s">
        <v>1670</v>
      </c>
      <c r="J4" s="3385"/>
      <c r="K4" s="1744" t="s">
        <v>1671</v>
      </c>
      <c r="L4" s="2485"/>
      <c r="M4" s="2486"/>
      <c r="N4" s="2486"/>
      <c r="O4" s="2486"/>
      <c r="P4" s="3388" t="s">
        <v>1672</v>
      </c>
      <c r="Q4" s="3389"/>
      <c r="R4" s="3394" t="s">
        <v>1668</v>
      </c>
      <c r="S4" s="3395"/>
      <c r="T4" s="3394" t="s">
        <v>1669</v>
      </c>
      <c r="U4" s="3395"/>
      <c r="V4" s="3367" t="s">
        <v>1670</v>
      </c>
      <c r="W4" s="3367"/>
      <c r="X4" s="1265"/>
      <c r="Y4" s="3394" t="s">
        <v>1672</v>
      </c>
      <c r="Z4" s="3395"/>
      <c r="AA4" s="3381" t="s">
        <v>1668</v>
      </c>
      <c r="AB4" s="3381" t="s">
        <v>1669</v>
      </c>
      <c r="AC4" s="3381" t="s">
        <v>1670</v>
      </c>
    </row>
    <row r="5" spans="1:29">
      <c r="A5" s="348"/>
      <c r="B5" s="349"/>
      <c r="C5" s="3402" t="s">
        <v>1673</v>
      </c>
      <c r="D5" s="3403"/>
      <c r="E5" s="3409" t="s">
        <v>1674</v>
      </c>
      <c r="F5" s="3410"/>
      <c r="G5" s="3402" t="s">
        <v>1675</v>
      </c>
      <c r="H5" s="3403"/>
      <c r="I5" s="3402" t="s">
        <v>1676</v>
      </c>
      <c r="J5" s="3403"/>
      <c r="K5" s="1745"/>
      <c r="L5" s="2485"/>
      <c r="M5" s="2486"/>
      <c r="N5" s="2486"/>
      <c r="O5" s="2486"/>
      <c r="P5" s="3390"/>
      <c r="Q5" s="3391"/>
      <c r="R5" s="3396"/>
      <c r="S5" s="3397"/>
      <c r="T5" s="3396"/>
      <c r="U5" s="3397"/>
      <c r="V5" s="3367"/>
      <c r="W5" s="3367"/>
      <c r="X5" s="1265"/>
      <c r="Y5" s="3396"/>
      <c r="Z5" s="3397"/>
      <c r="AA5" s="3382"/>
      <c r="AB5" s="3382"/>
      <c r="AC5" s="3382"/>
    </row>
    <row r="6" spans="1:29" ht="15" thickBot="1">
      <c r="A6" s="350"/>
      <c r="B6" s="351"/>
      <c r="C6" s="3400" t="s">
        <v>1677</v>
      </c>
      <c r="D6" s="3401"/>
      <c r="E6" s="3407" t="s">
        <v>1677</v>
      </c>
      <c r="F6" s="3408"/>
      <c r="G6" s="3400" t="s">
        <v>1677</v>
      </c>
      <c r="H6" s="3401"/>
      <c r="I6" s="3400" t="s">
        <v>1677</v>
      </c>
      <c r="J6" s="3401"/>
      <c r="K6" s="1745" t="s">
        <v>1678</v>
      </c>
      <c r="L6" s="2485"/>
      <c r="M6" s="2486"/>
      <c r="N6" s="2486"/>
      <c r="O6" s="2486"/>
      <c r="P6" s="3392"/>
      <c r="Q6" s="3393"/>
      <c r="R6" s="3396"/>
      <c r="S6" s="3397"/>
      <c r="T6" s="3398"/>
      <c r="U6" s="3399"/>
      <c r="V6" s="3367"/>
      <c r="W6" s="3367"/>
      <c r="X6" s="1265"/>
      <c r="Y6" s="3398"/>
      <c r="Z6" s="3399"/>
      <c r="AA6" s="3383"/>
      <c r="AB6" s="3383"/>
      <c r="AC6" s="3383"/>
    </row>
    <row r="7" spans="1:29" s="102" customFormat="1" ht="15" thickBot="1">
      <c r="A7" s="352" t="s">
        <v>1679</v>
      </c>
      <c r="B7" s="353"/>
      <c r="C7" s="354">
        <f>'数据-取费表'!B2</f>
        <v>45831</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404" t="s">
        <v>1680</v>
      </c>
      <c r="Q7" s="3406"/>
      <c r="R7" s="664" t="s">
        <v>20</v>
      </c>
      <c r="S7" s="665">
        <f t="shared" ref="S7:S15" si="0">F7</f>
        <v>0</v>
      </c>
      <c r="T7" s="664" t="s">
        <v>20</v>
      </c>
      <c r="U7" s="665">
        <f t="shared" ref="U7:U15" si="1">H7</f>
        <v>0</v>
      </c>
      <c r="V7" s="664" t="s">
        <v>20</v>
      </c>
      <c r="W7" s="665">
        <f t="shared" ref="W7:W15" si="2">J7</f>
        <v>0</v>
      </c>
      <c r="X7" s="666"/>
      <c r="Y7" s="3404" t="s">
        <v>1680</v>
      </c>
      <c r="Z7" s="340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404" t="s">
        <v>1683</v>
      </c>
      <c r="Q8" s="3405"/>
      <c r="R8" s="664" t="s">
        <v>20</v>
      </c>
      <c r="S8" s="665">
        <f t="shared" si="0"/>
        <v>100</v>
      </c>
      <c r="T8" s="664" t="s">
        <v>20</v>
      </c>
      <c r="U8" s="665">
        <f t="shared" si="1"/>
        <v>100</v>
      </c>
      <c r="V8" s="664" t="s">
        <v>20</v>
      </c>
      <c r="W8" s="665">
        <f t="shared" si="2"/>
        <v>100</v>
      </c>
      <c r="X8" s="666"/>
      <c r="Y8" s="3404" t="s">
        <v>1683</v>
      </c>
      <c r="Z8" s="340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0"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0"/>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0"/>
      <c r="Q11" s="530" t="str">
        <f t="shared" si="6"/>
        <v>容积率</v>
      </c>
      <c r="R11" s="664" t="s">
        <v>18</v>
      </c>
      <c r="S11" s="665" t="e">
        <f t="shared" si="0"/>
        <v>#N/A</v>
      </c>
      <c r="T11" s="664" t="s">
        <v>18</v>
      </c>
      <c r="U11" s="665" t="e">
        <f t="shared" si="1"/>
        <v>#N/A</v>
      </c>
      <c r="V11" s="664" t="s">
        <v>18</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0"/>
      <c r="Q12" s="530">
        <f t="shared" si="6"/>
        <v>111</v>
      </c>
      <c r="R12" s="664" t="s">
        <v>18</v>
      </c>
      <c r="S12" s="665">
        <f t="shared" si="0"/>
        <v>100</v>
      </c>
      <c r="T12" s="664" t="s">
        <v>18</v>
      </c>
      <c r="U12" s="665">
        <f t="shared" si="1"/>
        <v>100</v>
      </c>
      <c r="V12" s="664" t="s">
        <v>18</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0"/>
      <c r="Q13" s="530">
        <f t="shared" si="6"/>
        <v>111</v>
      </c>
      <c r="R13" s="664" t="s">
        <v>18</v>
      </c>
      <c r="S13" s="665">
        <f t="shared" si="0"/>
        <v>100</v>
      </c>
      <c r="T13" s="664" t="s">
        <v>18</v>
      </c>
      <c r="U13" s="665">
        <f t="shared" si="1"/>
        <v>100</v>
      </c>
      <c r="V13" s="664" t="s">
        <v>18</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0"/>
      <c r="Q14" s="530">
        <f t="shared" si="6"/>
        <v>111</v>
      </c>
      <c r="R14" s="664" t="s">
        <v>18</v>
      </c>
      <c r="S14" s="665">
        <f t="shared" si="0"/>
        <v>100</v>
      </c>
      <c r="T14" s="664" t="s">
        <v>18</v>
      </c>
      <c r="U14" s="665">
        <f t="shared" si="1"/>
        <v>100</v>
      </c>
      <c r="V14" s="664" t="s">
        <v>18</v>
      </c>
      <c r="W14" s="665">
        <f t="shared" si="2"/>
        <v>100</v>
      </c>
      <c r="X14" s="666"/>
      <c r="Y14" s="3265"/>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71" t="s">
        <v>1691</v>
      </c>
      <c r="Q15" s="1263" t="str">
        <f t="shared" si="6"/>
        <v>居住社区成熟度</v>
      </c>
      <c r="R15" s="667" t="s">
        <v>18</v>
      </c>
      <c r="S15" s="668">
        <f t="shared" si="0"/>
        <v>100</v>
      </c>
      <c r="T15" s="667" t="s">
        <v>18</v>
      </c>
      <c r="U15" s="668">
        <f t="shared" si="1"/>
        <v>100</v>
      </c>
      <c r="V15" s="667" t="s">
        <v>18</v>
      </c>
      <c r="W15" s="668">
        <f t="shared" si="2"/>
        <v>100</v>
      </c>
      <c r="X15" s="1265"/>
      <c r="Y15" s="337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72"/>
      <c r="Q16" s="1263"/>
      <c r="R16" s="667"/>
      <c r="S16" s="668"/>
      <c r="T16" s="667"/>
      <c r="U16" s="668"/>
      <c r="V16" s="667"/>
      <c r="W16" s="668"/>
      <c r="X16" s="1265"/>
      <c r="Y16" s="337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72"/>
      <c r="Q17" s="1263" t="str">
        <f>B17</f>
        <v>交通便捷度</v>
      </c>
      <c r="R17" s="667" t="s">
        <v>18</v>
      </c>
      <c r="S17" s="668">
        <f>F17</f>
        <v>100</v>
      </c>
      <c r="T17" s="667" t="s">
        <v>18</v>
      </c>
      <c r="U17" s="668">
        <f>H17</f>
        <v>100</v>
      </c>
      <c r="V17" s="667" t="s">
        <v>18</v>
      </c>
      <c r="W17" s="668">
        <f>J17</f>
        <v>100</v>
      </c>
      <c r="X17" s="1265"/>
      <c r="Y17" s="337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72"/>
      <c r="Q18" s="1263"/>
      <c r="R18" s="667"/>
      <c r="S18" s="668"/>
      <c r="T18" s="667"/>
      <c r="U18" s="668"/>
      <c r="V18" s="667"/>
      <c r="W18" s="668"/>
      <c r="X18" s="1265"/>
      <c r="Y18" s="337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72"/>
      <c r="Q19" s="1263" t="str">
        <f>B19</f>
        <v>公共配套设施</v>
      </c>
      <c r="R19" s="667" t="s">
        <v>18</v>
      </c>
      <c r="S19" s="668">
        <f>F19</f>
        <v>100</v>
      </c>
      <c r="T19" s="667" t="s">
        <v>18</v>
      </c>
      <c r="U19" s="668">
        <f>H19</f>
        <v>100</v>
      </c>
      <c r="V19" s="667" t="s">
        <v>18</v>
      </c>
      <c r="W19" s="668">
        <f>J19</f>
        <v>100</v>
      </c>
      <c r="X19" s="1265"/>
      <c r="Y19" s="337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72"/>
      <c r="Q20" s="1263"/>
      <c r="R20" s="667"/>
      <c r="S20" s="668"/>
      <c r="T20" s="667"/>
      <c r="U20" s="668"/>
      <c r="V20" s="667"/>
      <c r="W20" s="668"/>
      <c r="X20" s="1265"/>
      <c r="Y20" s="337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72"/>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72"/>
      <c r="Q22" s="1263"/>
      <c r="R22" s="667"/>
      <c r="S22" s="668"/>
      <c r="T22" s="667"/>
      <c r="U22" s="668"/>
      <c r="V22" s="667"/>
      <c r="W22" s="668"/>
      <c r="X22" s="1265"/>
      <c r="Y22" s="337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72"/>
      <c r="Q23" s="1263" t="str">
        <f>B23</f>
        <v>自然及人文环境</v>
      </c>
      <c r="R23" s="667" t="s">
        <v>18</v>
      </c>
      <c r="S23" s="668">
        <f>F23</f>
        <v>100</v>
      </c>
      <c r="T23" s="667" t="s">
        <v>18</v>
      </c>
      <c r="U23" s="668">
        <f>H23</f>
        <v>100</v>
      </c>
      <c r="V23" s="667" t="s">
        <v>18</v>
      </c>
      <c r="W23" s="668">
        <f>J23</f>
        <v>100</v>
      </c>
      <c r="X23" s="1265"/>
      <c r="Y23" s="337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72"/>
      <c r="Q24" s="1263"/>
      <c r="R24" s="667"/>
      <c r="S24" s="668"/>
      <c r="T24" s="667"/>
      <c r="U24" s="668"/>
      <c r="V24" s="667"/>
      <c r="W24" s="668"/>
      <c r="X24" s="1265"/>
      <c r="Y24" s="337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7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72"/>
      <c r="Q26" s="1263" t="str">
        <f t="shared" si="11"/>
        <v>朝向</v>
      </c>
      <c r="R26" s="667" t="s">
        <v>18</v>
      </c>
      <c r="S26" s="668">
        <f t="shared" si="12"/>
        <v>100</v>
      </c>
      <c r="T26" s="667" t="s">
        <v>18</v>
      </c>
      <c r="U26" s="668">
        <f t="shared" si="13"/>
        <v>100</v>
      </c>
      <c r="V26" s="667" t="s">
        <v>18</v>
      </c>
      <c r="W26" s="668">
        <f t="shared" si="14"/>
        <v>100</v>
      </c>
      <c r="X26" s="1265"/>
      <c r="Y26" s="337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72"/>
      <c r="Q27" s="530">
        <f t="shared" si="11"/>
        <v>111</v>
      </c>
      <c r="R27" s="664" t="s">
        <v>18</v>
      </c>
      <c r="S27" s="665">
        <f t="shared" si="12"/>
        <v>100</v>
      </c>
      <c r="T27" s="664" t="s">
        <v>18</v>
      </c>
      <c r="U27" s="665">
        <f t="shared" si="13"/>
        <v>100</v>
      </c>
      <c r="V27" s="664" t="s">
        <v>18</v>
      </c>
      <c r="W27" s="665">
        <f t="shared" si="14"/>
        <v>100</v>
      </c>
      <c r="X27" s="666"/>
      <c r="Y27" s="337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72"/>
      <c r="Q28" s="1263">
        <f t="shared" si="11"/>
        <v>111</v>
      </c>
      <c r="R28" s="667" t="s">
        <v>18</v>
      </c>
      <c r="S28" s="668">
        <f t="shared" si="12"/>
        <v>100</v>
      </c>
      <c r="T28" s="667" t="s">
        <v>18</v>
      </c>
      <c r="U28" s="668">
        <f t="shared" si="13"/>
        <v>100</v>
      </c>
      <c r="V28" s="667" t="s">
        <v>18</v>
      </c>
      <c r="W28" s="668">
        <f t="shared" si="14"/>
        <v>100</v>
      </c>
      <c r="X28" s="1265"/>
      <c r="Y28" s="337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72"/>
      <c r="Q29" s="1263">
        <f t="shared" si="11"/>
        <v>111</v>
      </c>
      <c r="R29" s="667" t="s">
        <v>18</v>
      </c>
      <c r="S29" s="668">
        <f t="shared" si="12"/>
        <v>100</v>
      </c>
      <c r="T29" s="667" t="s">
        <v>18</v>
      </c>
      <c r="U29" s="668">
        <f t="shared" si="13"/>
        <v>100</v>
      </c>
      <c r="V29" s="667" t="s">
        <v>18</v>
      </c>
      <c r="W29" s="668">
        <f t="shared" si="14"/>
        <v>100</v>
      </c>
      <c r="X29" s="1265"/>
      <c r="Y29" s="337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72"/>
      <c r="Q30" s="1263">
        <f t="shared" si="11"/>
        <v>111</v>
      </c>
      <c r="R30" s="667" t="s">
        <v>18</v>
      </c>
      <c r="S30" s="668">
        <f t="shared" si="12"/>
        <v>100</v>
      </c>
      <c r="T30" s="667" t="s">
        <v>18</v>
      </c>
      <c r="U30" s="668">
        <f t="shared" si="13"/>
        <v>100</v>
      </c>
      <c r="V30" s="667" t="s">
        <v>18</v>
      </c>
      <c r="W30" s="668">
        <f t="shared" si="14"/>
        <v>100</v>
      </c>
      <c r="X30" s="1265"/>
      <c r="Y30" s="337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72"/>
      <c r="Q31" s="1263">
        <f t="shared" si="11"/>
        <v>111</v>
      </c>
      <c r="R31" s="667" t="s">
        <v>18</v>
      </c>
      <c r="S31" s="668">
        <f t="shared" si="12"/>
        <v>100</v>
      </c>
      <c r="T31" s="667" t="s">
        <v>18</v>
      </c>
      <c r="U31" s="668">
        <f t="shared" si="13"/>
        <v>100</v>
      </c>
      <c r="V31" s="667" t="s">
        <v>18</v>
      </c>
      <c r="W31" s="668">
        <f t="shared" si="14"/>
        <v>100</v>
      </c>
      <c r="X31" s="1265"/>
      <c r="Y31" s="337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75" t="s">
        <v>1696</v>
      </c>
      <c r="Q32" s="1263" t="str">
        <f t="shared" si="11"/>
        <v>建筑类型</v>
      </c>
      <c r="R32" s="667" t="s">
        <v>18</v>
      </c>
      <c r="S32" s="668">
        <f t="shared" si="12"/>
        <v>100</v>
      </c>
      <c r="T32" s="667" t="s">
        <v>18</v>
      </c>
      <c r="U32" s="668">
        <f t="shared" si="13"/>
        <v>100</v>
      </c>
      <c r="V32" s="667" t="s">
        <v>18</v>
      </c>
      <c r="W32" s="668">
        <f t="shared" si="14"/>
        <v>100</v>
      </c>
      <c r="X32" s="1265"/>
      <c r="Y32" s="337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76"/>
      <c r="Q33" s="531" t="str">
        <f t="shared" si="11"/>
        <v>项目建筑规模</v>
      </c>
      <c r="R33" s="669" t="s">
        <v>18</v>
      </c>
      <c r="S33" s="670" t="e">
        <f t="shared" si="12"/>
        <v>#N/A</v>
      </c>
      <c r="T33" s="669" t="s">
        <v>18</v>
      </c>
      <c r="U33" s="670" t="e">
        <f t="shared" si="13"/>
        <v>#N/A</v>
      </c>
      <c r="V33" s="669" t="s">
        <v>18</v>
      </c>
      <c r="W33" s="670" t="e">
        <f t="shared" si="14"/>
        <v>#N/A</v>
      </c>
      <c r="X33" s="671"/>
      <c r="Y33" s="337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76"/>
      <c r="Q34" s="1263" t="str">
        <f t="shared" si="11"/>
        <v>建筑结构</v>
      </c>
      <c r="R34" s="667" t="s">
        <v>18</v>
      </c>
      <c r="S34" s="668">
        <f t="shared" si="12"/>
        <v>100</v>
      </c>
      <c r="T34" s="667" t="s">
        <v>18</v>
      </c>
      <c r="U34" s="668">
        <f t="shared" si="13"/>
        <v>100</v>
      </c>
      <c r="V34" s="667" t="s">
        <v>18</v>
      </c>
      <c r="W34" s="668">
        <f t="shared" si="14"/>
        <v>100</v>
      </c>
      <c r="X34" s="1265"/>
      <c r="Y34" s="337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76"/>
      <c r="Q35" s="1263" t="str">
        <f t="shared" si="11"/>
        <v>建筑品质</v>
      </c>
      <c r="R35" s="667" t="s">
        <v>18</v>
      </c>
      <c r="S35" s="668">
        <f t="shared" si="12"/>
        <v>100</v>
      </c>
      <c r="T35" s="667" t="s">
        <v>18</v>
      </c>
      <c r="U35" s="668">
        <f t="shared" si="13"/>
        <v>100</v>
      </c>
      <c r="V35" s="667" t="s">
        <v>18</v>
      </c>
      <c r="W35" s="668">
        <f t="shared" si="14"/>
        <v>100</v>
      </c>
      <c r="X35" s="1265"/>
      <c r="Y35" s="337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76"/>
      <c r="Q36" s="1263" t="str">
        <f t="shared" si="11"/>
        <v>公共部分装修</v>
      </c>
      <c r="R36" s="667" t="s">
        <v>18</v>
      </c>
      <c r="S36" s="668">
        <f t="shared" si="12"/>
        <v>100</v>
      </c>
      <c r="T36" s="667" t="s">
        <v>18</v>
      </c>
      <c r="U36" s="668">
        <f t="shared" si="13"/>
        <v>100</v>
      </c>
      <c r="V36" s="667" t="s">
        <v>18</v>
      </c>
      <c r="W36" s="668">
        <f t="shared" si="14"/>
        <v>100</v>
      </c>
      <c r="X36" s="1265"/>
      <c r="Y36" s="337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76"/>
      <c r="Q37" s="530" t="str">
        <f t="shared" si="11"/>
        <v>成新度</v>
      </c>
      <c r="R37" s="664" t="s">
        <v>18</v>
      </c>
      <c r="S37" s="665" t="e">
        <f t="shared" si="12"/>
        <v>#N/A</v>
      </c>
      <c r="T37" s="664" t="s">
        <v>18</v>
      </c>
      <c r="U37" s="665" t="e">
        <f t="shared" si="13"/>
        <v>#N/A</v>
      </c>
      <c r="V37" s="664" t="s">
        <v>18</v>
      </c>
      <c r="W37" s="665" t="e">
        <f t="shared" si="14"/>
        <v>#N/A</v>
      </c>
      <c r="X37" s="666"/>
      <c r="Y37" s="337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76" t="s">
        <v>1696</v>
      </c>
      <c r="Q38" s="1263" t="str">
        <f t="shared" si="11"/>
        <v>物业管理</v>
      </c>
      <c r="R38" s="667" t="s">
        <v>18</v>
      </c>
      <c r="S38" s="668">
        <f t="shared" si="12"/>
        <v>100</v>
      </c>
      <c r="T38" s="667" t="s">
        <v>18</v>
      </c>
      <c r="U38" s="668">
        <f t="shared" si="13"/>
        <v>100</v>
      </c>
      <c r="V38" s="667" t="s">
        <v>18</v>
      </c>
      <c r="W38" s="668">
        <f t="shared" si="14"/>
        <v>100</v>
      </c>
      <c r="X38" s="1265"/>
      <c r="Y38" s="337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76"/>
      <c r="Q39" s="1263" t="str">
        <f t="shared" si="11"/>
        <v>市政基础设施</v>
      </c>
      <c r="R39" s="667" t="s">
        <v>18</v>
      </c>
      <c r="S39" s="668">
        <f t="shared" si="12"/>
        <v>100</v>
      </c>
      <c r="T39" s="667" t="s">
        <v>18</v>
      </c>
      <c r="U39" s="668">
        <f t="shared" si="13"/>
        <v>100</v>
      </c>
      <c r="V39" s="667" t="s">
        <v>18</v>
      </c>
      <c r="W39" s="668">
        <f t="shared" si="14"/>
        <v>100</v>
      </c>
      <c r="X39" s="1265"/>
      <c r="Y39" s="337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76"/>
      <c r="Q40" s="1263" t="str">
        <f t="shared" si="11"/>
        <v>房型</v>
      </c>
      <c r="R40" s="667" t="s">
        <v>18</v>
      </c>
      <c r="S40" s="668">
        <f t="shared" si="12"/>
        <v>100</v>
      </c>
      <c r="T40" s="667" t="s">
        <v>18</v>
      </c>
      <c r="U40" s="668">
        <f t="shared" si="13"/>
        <v>100</v>
      </c>
      <c r="V40" s="667" t="s">
        <v>18</v>
      </c>
      <c r="W40" s="668">
        <f t="shared" si="14"/>
        <v>100</v>
      </c>
      <c r="X40" s="1265"/>
      <c r="Y40" s="337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76"/>
      <c r="Q41" s="531" t="str">
        <f t="shared" si="11"/>
        <v>单套/主力户型建筑面积</v>
      </c>
      <c r="R41" s="669" t="s">
        <v>18</v>
      </c>
      <c r="S41" s="670">
        <f t="shared" si="12"/>
        <v>100</v>
      </c>
      <c r="T41" s="669" t="s">
        <v>18</v>
      </c>
      <c r="U41" s="670">
        <f t="shared" si="13"/>
        <v>100</v>
      </c>
      <c r="V41" s="669" t="s">
        <v>18</v>
      </c>
      <c r="W41" s="670">
        <f t="shared" si="14"/>
        <v>100</v>
      </c>
      <c r="X41" s="671"/>
      <c r="Y41" s="337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76"/>
      <c r="Q42" s="1263" t="str">
        <f t="shared" si="11"/>
        <v>内部装修</v>
      </c>
      <c r="R42" s="667" t="s">
        <v>18</v>
      </c>
      <c r="S42" s="668">
        <f t="shared" si="12"/>
        <v>100</v>
      </c>
      <c r="T42" s="667" t="s">
        <v>18</v>
      </c>
      <c r="U42" s="668">
        <f t="shared" si="13"/>
        <v>100</v>
      </c>
      <c r="V42" s="667" t="s">
        <v>18</v>
      </c>
      <c r="W42" s="668">
        <f t="shared" si="14"/>
        <v>100</v>
      </c>
      <c r="X42" s="1265"/>
      <c r="Y42" s="337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76"/>
      <c r="Q43" s="1263" t="str">
        <f t="shared" si="11"/>
        <v>内部装修维护情况</v>
      </c>
      <c r="R43" s="667" t="s">
        <v>18</v>
      </c>
      <c r="S43" s="668">
        <f t="shared" si="12"/>
        <v>100</v>
      </c>
      <c r="T43" s="667" t="s">
        <v>18</v>
      </c>
      <c r="U43" s="668">
        <f t="shared" si="13"/>
        <v>100</v>
      </c>
      <c r="V43" s="667" t="s">
        <v>18</v>
      </c>
      <c r="W43" s="668">
        <f t="shared" si="14"/>
        <v>100</v>
      </c>
      <c r="X43" s="1265"/>
      <c r="Y43" s="337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76"/>
      <c r="Q44" s="530">
        <f t="shared" si="11"/>
        <v>111</v>
      </c>
      <c r="R44" s="664" t="s">
        <v>18</v>
      </c>
      <c r="S44" s="665">
        <f t="shared" si="12"/>
        <v>100</v>
      </c>
      <c r="T44" s="664" t="s">
        <v>18</v>
      </c>
      <c r="U44" s="665">
        <f t="shared" si="13"/>
        <v>100</v>
      </c>
      <c r="V44" s="664" t="s">
        <v>18</v>
      </c>
      <c r="W44" s="665">
        <f t="shared" si="14"/>
        <v>100</v>
      </c>
      <c r="X44" s="666"/>
      <c r="Y44" s="337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76"/>
      <c r="Q45" s="1263">
        <f t="shared" si="11"/>
        <v>111</v>
      </c>
      <c r="R45" s="667" t="s">
        <v>18</v>
      </c>
      <c r="S45" s="668">
        <f t="shared" si="12"/>
        <v>100</v>
      </c>
      <c r="T45" s="667" t="s">
        <v>18</v>
      </c>
      <c r="U45" s="668">
        <f t="shared" si="13"/>
        <v>100</v>
      </c>
      <c r="V45" s="667" t="s">
        <v>18</v>
      </c>
      <c r="W45" s="668">
        <f t="shared" si="14"/>
        <v>100</v>
      </c>
      <c r="X45" s="1265"/>
      <c r="Y45" s="337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77"/>
      <c r="Q46" s="1263">
        <f t="shared" si="11"/>
        <v>111</v>
      </c>
      <c r="R46" s="667" t="s">
        <v>17</v>
      </c>
      <c r="S46" s="668">
        <f t="shared" si="12"/>
        <v>100</v>
      </c>
      <c r="T46" s="667" t="s">
        <v>17</v>
      </c>
      <c r="U46" s="668">
        <f t="shared" si="13"/>
        <v>100</v>
      </c>
      <c r="V46" s="667" t="s">
        <v>17</v>
      </c>
      <c r="W46" s="668">
        <f t="shared" si="14"/>
        <v>100</v>
      </c>
      <c r="X46" s="1265"/>
      <c r="Y46" s="337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66" t="str">
        <f>A47</f>
        <v>成交单价（元/平方米）</v>
      </c>
      <c r="Q47" s="3366"/>
      <c r="R47" s="3367">
        <f>E47</f>
        <v>0</v>
      </c>
      <c r="S47" s="3367"/>
      <c r="T47" s="3367">
        <f>G47</f>
        <v>0</v>
      </c>
      <c r="U47" s="3367"/>
      <c r="V47" s="3367">
        <f>I47</f>
        <v>0</v>
      </c>
      <c r="W47" s="3367"/>
      <c r="X47" s="385"/>
      <c r="Y47" s="673"/>
      <c r="Z47" s="385"/>
      <c r="AA47" s="385"/>
      <c r="AB47" s="385"/>
      <c r="AC47" s="385"/>
    </row>
    <row r="48" spans="1:29" ht="15" thickBot="1">
      <c r="A48" s="423" t="s">
        <v>1709</v>
      </c>
      <c r="B48" s="424"/>
      <c r="C48" s="1082" t="e">
        <f>R49</f>
        <v>#DIV/0!</v>
      </c>
      <c r="D48" s="2140" t="s">
        <v>2134</v>
      </c>
      <c r="E48" s="1083" t="e">
        <f>R48</f>
        <v>#DIV/0!</v>
      </c>
      <c r="F48" s="2141"/>
      <c r="G48" s="1082" t="e">
        <f>T48</f>
        <v>#DIV/0!</v>
      </c>
      <c r="H48" s="2141"/>
      <c r="I48" s="1083" t="e">
        <f>V48</f>
        <v>#DIV/0!</v>
      </c>
      <c r="J48" s="2141"/>
      <c r="K48" s="2142">
        <f>F48+H48+J48</f>
        <v>0</v>
      </c>
      <c r="L48" s="2493"/>
      <c r="M48" s="2486"/>
      <c r="N48" s="2486"/>
      <c r="O48" s="2486"/>
      <c r="P48" s="3366" t="str">
        <f>A48</f>
        <v>比较价值（元/平方米）</v>
      </c>
      <c r="Q48" s="3366"/>
      <c r="R48" s="3367" t="e">
        <f>IF(F1="售价",ROUND(PRODUCT(R47,AA7:AA46),0),ROUND(PRODUCT(R47,AA7:AA46),1))</f>
        <v>#DIV/0!</v>
      </c>
      <c r="S48" s="3367"/>
      <c r="T48" s="3367" t="e">
        <f>IF(F1="售价",ROUND(PRODUCT(T47,AB7:AB46),0),ROUND(PRODUCT(T47,AB7:AB46),1))</f>
        <v>#DIV/0!</v>
      </c>
      <c r="U48" s="3367"/>
      <c r="V48" s="3367" t="e">
        <f>IF(F1="售价",ROUND(PRODUCT(V47,AC7:AC46),0),ROUND(PRODUCT(V47,AC7:AC46),1))</f>
        <v>#DIV/0!</v>
      </c>
      <c r="W48" s="336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368" t="str">
        <f>A49</f>
        <v>估价对象XX用房的比较价值（楼面单价，元/平方米）</v>
      </c>
      <c r="Q49" s="3369"/>
      <c r="R49" s="3370" t="e">
        <f>IF(F1="售价",ROUND(IF(D48="简单平均",AVERAGE(R48:V48),R48*F48+T48*H48+V48*J48),0),ROUND(IF(D48="简单平均",AVERAGE(R48:V48),R48*F48+T48*H48+V48*J48),1))</f>
        <v>#DIV/0!</v>
      </c>
      <c r="S49" s="3370"/>
      <c r="T49" s="3370"/>
      <c r="U49" s="3370"/>
      <c r="V49" s="3370"/>
      <c r="W49" s="3370"/>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165.09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84" t="s">
        <v>1770</v>
      </c>
      <c r="D4" s="3385"/>
      <c r="E4" s="3386" t="s">
        <v>1771</v>
      </c>
      <c r="F4" s="3387"/>
      <c r="G4" s="3384" t="s">
        <v>1772</v>
      </c>
      <c r="H4" s="3385"/>
      <c r="I4" s="3384" t="s">
        <v>1773</v>
      </c>
      <c r="J4" s="3385"/>
      <c r="K4" s="537" t="s">
        <v>1774</v>
      </c>
      <c r="L4" s="2485"/>
      <c r="M4" s="2486"/>
      <c r="N4" s="2486"/>
      <c r="O4" s="2486"/>
      <c r="P4" s="3446" t="s">
        <v>1775</v>
      </c>
      <c r="Q4" s="3447"/>
      <c r="R4" s="3450" t="s">
        <v>1771</v>
      </c>
      <c r="S4" s="3451"/>
      <c r="T4" s="3450" t="s">
        <v>1772</v>
      </c>
      <c r="U4" s="3451"/>
      <c r="V4" s="3452" t="s">
        <v>1773</v>
      </c>
      <c r="W4" s="3452"/>
      <c r="X4" s="1809"/>
      <c r="Y4" s="3450" t="s">
        <v>1775</v>
      </c>
      <c r="Z4" s="3451"/>
      <c r="AA4" s="3454" t="s">
        <v>1771</v>
      </c>
      <c r="AB4" s="3454" t="s">
        <v>1772</v>
      </c>
      <c r="AC4" s="3443" t="s">
        <v>1773</v>
      </c>
    </row>
    <row r="5" spans="1:29">
      <c r="A5" s="348"/>
      <c r="B5" s="349"/>
      <c r="C5" s="3402" t="s">
        <v>1673</v>
      </c>
      <c r="D5" s="3403"/>
      <c r="E5" s="3409" t="s">
        <v>1674</v>
      </c>
      <c r="F5" s="3410"/>
      <c r="G5" s="3402" t="s">
        <v>1675</v>
      </c>
      <c r="H5" s="3403"/>
      <c r="I5" s="3402" t="s">
        <v>1676</v>
      </c>
      <c r="J5" s="3403"/>
      <c r="K5" s="537"/>
      <c r="L5" s="2485"/>
      <c r="M5" s="2486"/>
      <c r="N5" s="2486"/>
      <c r="O5" s="2486"/>
      <c r="P5" s="3448"/>
      <c r="Q5" s="3391"/>
      <c r="R5" s="3396"/>
      <c r="S5" s="3397"/>
      <c r="T5" s="3396"/>
      <c r="U5" s="3397"/>
      <c r="V5" s="3367"/>
      <c r="W5" s="3367"/>
      <c r="X5" s="1265"/>
      <c r="Y5" s="3396"/>
      <c r="Z5" s="3397"/>
      <c r="AA5" s="3382"/>
      <c r="AB5" s="3382"/>
      <c r="AC5" s="3444"/>
    </row>
    <row r="6" spans="1:29" ht="15" thickBot="1">
      <c r="A6" s="350"/>
      <c r="B6" s="351"/>
      <c r="C6" s="3400" t="s">
        <v>1677</v>
      </c>
      <c r="D6" s="3401"/>
      <c r="E6" s="3407" t="s">
        <v>1677</v>
      </c>
      <c r="F6" s="3408"/>
      <c r="G6" s="3400" t="s">
        <v>1677</v>
      </c>
      <c r="H6" s="3401"/>
      <c r="I6" s="3400" t="s">
        <v>1677</v>
      </c>
      <c r="J6" s="3401"/>
      <c r="K6" s="537" t="s">
        <v>1678</v>
      </c>
      <c r="L6" s="2485"/>
      <c r="M6" s="2486"/>
      <c r="N6" s="2486"/>
      <c r="O6" s="2486"/>
      <c r="P6" s="3449"/>
      <c r="Q6" s="3393"/>
      <c r="R6" s="3396"/>
      <c r="S6" s="3397"/>
      <c r="T6" s="3398"/>
      <c r="U6" s="3399"/>
      <c r="V6" s="3367"/>
      <c r="W6" s="3367"/>
      <c r="X6" s="1265"/>
      <c r="Y6" s="3398"/>
      <c r="Z6" s="3399"/>
      <c r="AA6" s="3383"/>
      <c r="AB6" s="3383"/>
      <c r="AC6" s="3445"/>
    </row>
    <row r="7" spans="1:29" s="102" customFormat="1" ht="15" thickBot="1">
      <c r="A7" s="352" t="s">
        <v>1679</v>
      </c>
      <c r="B7" s="353"/>
      <c r="C7" s="354">
        <f>'数据-取费表'!B2</f>
        <v>45831</v>
      </c>
      <c r="D7" s="355">
        <v>100</v>
      </c>
      <c r="E7" s="356"/>
      <c r="F7" s="357">
        <f>SUMIF(59:59,YEAR(E7)&amp;"-"&amp;MONTH(E7),60:60)</f>
        <v>0</v>
      </c>
      <c r="G7" s="356"/>
      <c r="H7" s="355">
        <f>SUMIF(59:59,YEAR(G7)&amp;"-"&amp;MONTH(G7),60:60)</f>
        <v>0</v>
      </c>
      <c r="I7" s="356"/>
      <c r="J7" s="355">
        <f>SUMIF(59:59,YEAR(I7)&amp;"-"&amp;MONTH(I7),60:60)</f>
        <v>0</v>
      </c>
      <c r="K7" s="38"/>
      <c r="L7" s="2487"/>
      <c r="M7" s="2439"/>
      <c r="N7" s="2439"/>
      <c r="O7" s="2439"/>
      <c r="P7" s="3453"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802" t="e">
        <f>D7/J7</f>
        <v>#DIV/0!</v>
      </c>
    </row>
    <row r="8" spans="1:29" s="102"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53" t="s">
        <v>1683</v>
      </c>
      <c r="Q8" s="3405"/>
      <c r="R8" s="664" t="s">
        <v>14</v>
      </c>
      <c r="S8" s="665">
        <f t="shared" si="0"/>
        <v>100</v>
      </c>
      <c r="T8" s="664" t="s">
        <v>14</v>
      </c>
      <c r="U8" s="665">
        <f t="shared" si="1"/>
        <v>100</v>
      </c>
      <c r="V8" s="664" t="s">
        <v>14</v>
      </c>
      <c r="W8" s="665">
        <f t="shared" si="2"/>
        <v>100</v>
      </c>
      <c r="X8" s="666"/>
      <c r="Y8" s="3404" t="s">
        <v>1683</v>
      </c>
      <c r="Z8" s="3405"/>
      <c r="AA8" s="50">
        <f t="shared" ref="AA8:AA47" si="3">D8/F8</f>
        <v>1</v>
      </c>
      <c r="AB8" s="50">
        <f t="shared" ref="AB8:AB47" si="4">D8/H8</f>
        <v>1</v>
      </c>
      <c r="AC8" s="802">
        <f t="shared" ref="AC8:AC47" si="5">D8/J8</f>
        <v>1</v>
      </c>
    </row>
    <row r="9" spans="1:29" s="102" customFormat="1" ht="14.4">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380"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80"/>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0"/>
      <c r="Q11" s="530" t="str">
        <f t="shared" si="6"/>
        <v>容积率</v>
      </c>
      <c r="R11" s="664" t="s">
        <v>14</v>
      </c>
      <c r="S11" s="665">
        <f t="shared" si="0"/>
        <v>100</v>
      </c>
      <c r="T11" s="664" t="s">
        <v>14</v>
      </c>
      <c r="U11" s="665">
        <f t="shared" si="1"/>
        <v>100</v>
      </c>
      <c r="V11" s="664" t="s">
        <v>14</v>
      </c>
      <c r="W11" s="665">
        <f t="shared" si="2"/>
        <v>100</v>
      </c>
      <c r="X11" s="666"/>
      <c r="Y11" s="3265"/>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0"/>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0"/>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0"/>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71" t="s">
        <v>1691</v>
      </c>
      <c r="Q15" s="1263" t="str">
        <f t="shared" si="6"/>
        <v>办公集聚程度</v>
      </c>
      <c r="R15" s="667" t="s">
        <v>14</v>
      </c>
      <c r="S15" s="668">
        <f t="shared" si="0"/>
        <v>100</v>
      </c>
      <c r="T15" s="667" t="s">
        <v>14</v>
      </c>
      <c r="U15" s="668">
        <f t="shared" si="1"/>
        <v>100</v>
      </c>
      <c r="V15" s="667" t="s">
        <v>14</v>
      </c>
      <c r="W15" s="668">
        <f t="shared" si="2"/>
        <v>100</v>
      </c>
      <c r="X15" s="1265"/>
      <c r="Y15" s="3373"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372"/>
      <c r="Q16" s="1263"/>
      <c r="R16" s="667"/>
      <c r="S16" s="668"/>
      <c r="T16" s="667"/>
      <c r="U16" s="668"/>
      <c r="V16" s="667"/>
      <c r="W16" s="668"/>
      <c r="X16" s="1265"/>
      <c r="Y16" s="337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72"/>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372"/>
      <c r="Q18" s="1263"/>
      <c r="R18" s="667"/>
      <c r="S18" s="668"/>
      <c r="T18" s="667"/>
      <c r="U18" s="668"/>
      <c r="V18" s="667"/>
      <c r="W18" s="668"/>
      <c r="X18" s="1265"/>
      <c r="Y18" s="337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72"/>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372"/>
      <c r="Q20" s="1263"/>
      <c r="R20" s="667"/>
      <c r="S20" s="668"/>
      <c r="T20" s="667"/>
      <c r="U20" s="668"/>
      <c r="V20" s="667"/>
      <c r="W20" s="668"/>
      <c r="X20" s="1265"/>
      <c r="Y20" s="337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72"/>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372"/>
      <c r="Q22" s="1263"/>
      <c r="R22" s="667"/>
      <c r="S22" s="668"/>
      <c r="T22" s="667"/>
      <c r="U22" s="668"/>
      <c r="V22" s="667"/>
      <c r="W22" s="668"/>
      <c r="X22" s="1265"/>
      <c r="Y22" s="337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72"/>
      <c r="Q23" s="1263" t="str">
        <f>B23</f>
        <v>环境质量</v>
      </c>
      <c r="R23" s="667" t="s">
        <v>14</v>
      </c>
      <c r="S23" s="668">
        <f>F23</f>
        <v>100</v>
      </c>
      <c r="T23" s="667" t="s">
        <v>14</v>
      </c>
      <c r="U23" s="668">
        <f>H23</f>
        <v>100</v>
      </c>
      <c r="V23" s="667" t="s">
        <v>14</v>
      </c>
      <c r="W23" s="668">
        <f>J23</f>
        <v>100</v>
      </c>
      <c r="X23" s="1265"/>
      <c r="Y23" s="3374"/>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372"/>
      <c r="Q24" s="1263"/>
      <c r="R24" s="667"/>
      <c r="S24" s="668"/>
      <c r="T24" s="667"/>
      <c r="U24" s="668"/>
      <c r="V24" s="667"/>
      <c r="W24" s="668"/>
      <c r="X24" s="1265"/>
      <c r="Y24" s="337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72"/>
      <c r="Q25" s="1263" t="str">
        <f>B25</f>
        <v>毗邻道路的类型与等级</v>
      </c>
      <c r="R25" s="667" t="s">
        <v>14</v>
      </c>
      <c r="S25" s="668">
        <f>F25</f>
        <v>100</v>
      </c>
      <c r="T25" s="667" t="s">
        <v>14</v>
      </c>
      <c r="U25" s="668">
        <f>H25</f>
        <v>100</v>
      </c>
      <c r="V25" s="667" t="s">
        <v>14</v>
      </c>
      <c r="W25" s="668">
        <f>J25</f>
        <v>100</v>
      </c>
      <c r="X25" s="1265"/>
      <c r="Y25" s="337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72"/>
      <c r="Q26" s="1263"/>
      <c r="R26" s="667"/>
      <c r="S26" s="668"/>
      <c r="T26" s="667"/>
      <c r="U26" s="668"/>
      <c r="V26" s="667"/>
      <c r="W26" s="668"/>
      <c r="X26" s="1265"/>
      <c r="Y26" s="337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72"/>
      <c r="Q27" s="1263" t="str">
        <f t="shared" ref="Q27:Q47" si="11">B27</f>
        <v>楼层</v>
      </c>
      <c r="R27" s="667" t="s">
        <v>14</v>
      </c>
      <c r="S27" s="668">
        <f>F27</f>
        <v>100</v>
      </c>
      <c r="T27" s="667" t="s">
        <v>14</v>
      </c>
      <c r="U27" s="668">
        <f>H27</f>
        <v>100</v>
      </c>
      <c r="V27" s="667" t="s">
        <v>14</v>
      </c>
      <c r="W27" s="668">
        <f>J27</f>
        <v>100</v>
      </c>
      <c r="X27" s="1265"/>
      <c r="Y27" s="337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72"/>
      <c r="Q28" s="530" t="str">
        <f t="shared" si="11"/>
        <v>朝向</v>
      </c>
      <c r="R28" s="664" t="s">
        <v>14</v>
      </c>
      <c r="S28" s="665">
        <f>F28</f>
        <v>100</v>
      </c>
      <c r="T28" s="664" t="s">
        <v>14</v>
      </c>
      <c r="U28" s="665">
        <f>H28</f>
        <v>100</v>
      </c>
      <c r="V28" s="664" t="s">
        <v>14</v>
      </c>
      <c r="W28" s="665">
        <f>J28</f>
        <v>100</v>
      </c>
      <c r="X28" s="666"/>
      <c r="Y28" s="337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72"/>
      <c r="Q29" s="1263">
        <f t="shared" si="11"/>
        <v>111</v>
      </c>
      <c r="R29" s="667" t="s">
        <v>14</v>
      </c>
      <c r="S29" s="668">
        <f t="shared" ref="S29:S47" si="12">F29</f>
        <v>100</v>
      </c>
      <c r="T29" s="667" t="s">
        <v>14</v>
      </c>
      <c r="U29" s="668">
        <f t="shared" ref="U29:U47" si="13">H29</f>
        <v>100</v>
      </c>
      <c r="V29" s="667" t="s">
        <v>14</v>
      </c>
      <c r="W29" s="668">
        <f t="shared" ref="W29:W47" si="14">J29</f>
        <v>100</v>
      </c>
      <c r="X29" s="1265"/>
      <c r="Y29" s="337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72"/>
      <c r="Q30" s="1263">
        <f t="shared" si="11"/>
        <v>111</v>
      </c>
      <c r="R30" s="667" t="s">
        <v>14</v>
      </c>
      <c r="S30" s="668">
        <f t="shared" si="12"/>
        <v>100</v>
      </c>
      <c r="T30" s="667" t="s">
        <v>14</v>
      </c>
      <c r="U30" s="668">
        <f t="shared" si="13"/>
        <v>100</v>
      </c>
      <c r="V30" s="667" t="s">
        <v>14</v>
      </c>
      <c r="W30" s="668">
        <f t="shared" si="14"/>
        <v>100</v>
      </c>
      <c r="X30" s="1265"/>
      <c r="Y30" s="337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72"/>
      <c r="Q31" s="1263">
        <f t="shared" si="11"/>
        <v>111</v>
      </c>
      <c r="R31" s="667" t="s">
        <v>14</v>
      </c>
      <c r="S31" s="668">
        <f t="shared" si="12"/>
        <v>100</v>
      </c>
      <c r="T31" s="667" t="s">
        <v>14</v>
      </c>
      <c r="U31" s="668">
        <f t="shared" si="13"/>
        <v>100</v>
      </c>
      <c r="V31" s="667" t="s">
        <v>14</v>
      </c>
      <c r="W31" s="668">
        <f t="shared" si="14"/>
        <v>100</v>
      </c>
      <c r="X31" s="1265"/>
      <c r="Y31" s="337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72"/>
      <c r="Q32" s="1263">
        <f t="shared" si="11"/>
        <v>111</v>
      </c>
      <c r="R32" s="667" t="s">
        <v>14</v>
      </c>
      <c r="S32" s="668">
        <f t="shared" si="12"/>
        <v>100</v>
      </c>
      <c r="T32" s="667" t="s">
        <v>14</v>
      </c>
      <c r="U32" s="668">
        <f t="shared" si="13"/>
        <v>100</v>
      </c>
      <c r="V32" s="667" t="s">
        <v>14</v>
      </c>
      <c r="W32" s="668">
        <f t="shared" si="14"/>
        <v>100</v>
      </c>
      <c r="X32" s="1265"/>
      <c r="Y32" s="337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75" t="s">
        <v>1696</v>
      </c>
      <c r="Q33" s="1263" t="str">
        <f t="shared" si="11"/>
        <v>建筑类型</v>
      </c>
      <c r="R33" s="667" t="s">
        <v>14</v>
      </c>
      <c r="S33" s="668">
        <f t="shared" si="12"/>
        <v>100</v>
      </c>
      <c r="T33" s="667" t="s">
        <v>14</v>
      </c>
      <c r="U33" s="668">
        <f t="shared" si="13"/>
        <v>100</v>
      </c>
      <c r="V33" s="667" t="s">
        <v>14</v>
      </c>
      <c r="W33" s="668">
        <f t="shared" si="14"/>
        <v>100</v>
      </c>
      <c r="X33" s="1265"/>
      <c r="Y33" s="3378"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76"/>
      <c r="Q34" s="531" t="str">
        <f t="shared" si="11"/>
        <v>项目建筑规模</v>
      </c>
      <c r="R34" s="669" t="s">
        <v>14</v>
      </c>
      <c r="S34" s="670" t="e">
        <f t="shared" si="12"/>
        <v>#N/A</v>
      </c>
      <c r="T34" s="669" t="s">
        <v>14</v>
      </c>
      <c r="U34" s="670" t="e">
        <f t="shared" si="13"/>
        <v>#N/A</v>
      </c>
      <c r="V34" s="669" t="s">
        <v>14</v>
      </c>
      <c r="W34" s="670" t="e">
        <f t="shared" si="14"/>
        <v>#N/A</v>
      </c>
      <c r="X34" s="671"/>
      <c r="Y34" s="3378"/>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76"/>
      <c r="Q35" s="1263" t="str">
        <f t="shared" si="11"/>
        <v>建筑结构</v>
      </c>
      <c r="R35" s="667" t="s">
        <v>14</v>
      </c>
      <c r="S35" s="668">
        <f t="shared" si="12"/>
        <v>100</v>
      </c>
      <c r="T35" s="667" t="s">
        <v>14</v>
      </c>
      <c r="U35" s="668">
        <f t="shared" si="13"/>
        <v>100</v>
      </c>
      <c r="V35" s="667" t="s">
        <v>14</v>
      </c>
      <c r="W35" s="668">
        <f t="shared" si="14"/>
        <v>100</v>
      </c>
      <c r="X35" s="1265"/>
      <c r="Y35" s="337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76"/>
      <c r="Q36" s="1263" t="str">
        <f t="shared" si="11"/>
        <v>公共部分装修</v>
      </c>
      <c r="R36" s="667" t="s">
        <v>14</v>
      </c>
      <c r="S36" s="668">
        <f t="shared" si="12"/>
        <v>100</v>
      </c>
      <c r="T36" s="667" t="s">
        <v>14</v>
      </c>
      <c r="U36" s="668">
        <f t="shared" si="13"/>
        <v>100</v>
      </c>
      <c r="V36" s="667" t="s">
        <v>14</v>
      </c>
      <c r="W36" s="668">
        <f t="shared" si="14"/>
        <v>100</v>
      </c>
      <c r="X36" s="1265"/>
      <c r="Y36" s="3378"/>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76"/>
      <c r="Q37" s="1263" t="str">
        <f t="shared" si="11"/>
        <v>成新度</v>
      </c>
      <c r="R37" s="667" t="s">
        <v>14</v>
      </c>
      <c r="S37" s="668" t="e">
        <f t="shared" si="12"/>
        <v>#N/A</v>
      </c>
      <c r="T37" s="667" t="s">
        <v>14</v>
      </c>
      <c r="U37" s="668" t="e">
        <f t="shared" si="13"/>
        <v>#N/A</v>
      </c>
      <c r="V37" s="667" t="s">
        <v>14</v>
      </c>
      <c r="W37" s="668" t="e">
        <f t="shared" si="14"/>
        <v>#N/A</v>
      </c>
      <c r="X37" s="1265"/>
      <c r="Y37" s="3378"/>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76"/>
      <c r="Q38" s="530" t="str">
        <f t="shared" si="11"/>
        <v>写字楼等级</v>
      </c>
      <c r="R38" s="664" t="s">
        <v>14</v>
      </c>
      <c r="S38" s="665">
        <f t="shared" si="12"/>
        <v>100</v>
      </c>
      <c r="T38" s="664" t="s">
        <v>14</v>
      </c>
      <c r="U38" s="665">
        <f t="shared" si="13"/>
        <v>100</v>
      </c>
      <c r="V38" s="664" t="s">
        <v>14</v>
      </c>
      <c r="W38" s="665">
        <f t="shared" si="14"/>
        <v>100</v>
      </c>
      <c r="X38" s="666"/>
      <c r="Y38" s="3378"/>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76" t="s">
        <v>1696</v>
      </c>
      <c r="Q39" s="1263" t="str">
        <f t="shared" si="11"/>
        <v>物业管理</v>
      </c>
      <c r="R39" s="667" t="s">
        <v>14</v>
      </c>
      <c r="S39" s="668">
        <f t="shared" si="12"/>
        <v>100</v>
      </c>
      <c r="T39" s="667" t="s">
        <v>14</v>
      </c>
      <c r="U39" s="668">
        <f t="shared" si="13"/>
        <v>100</v>
      </c>
      <c r="V39" s="667" t="s">
        <v>14</v>
      </c>
      <c r="W39" s="668">
        <f t="shared" si="14"/>
        <v>100</v>
      </c>
      <c r="X39" s="1265"/>
      <c r="Y39" s="337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76"/>
      <c r="Q40" s="1263" t="str">
        <f t="shared" si="11"/>
        <v>市政基础设施</v>
      </c>
      <c r="R40" s="667" t="s">
        <v>14</v>
      </c>
      <c r="S40" s="668">
        <f t="shared" si="12"/>
        <v>100</v>
      </c>
      <c r="T40" s="667" t="s">
        <v>14</v>
      </c>
      <c r="U40" s="668">
        <f t="shared" si="13"/>
        <v>100</v>
      </c>
      <c r="V40" s="667" t="s">
        <v>14</v>
      </c>
      <c r="W40" s="668">
        <f t="shared" si="14"/>
        <v>100</v>
      </c>
      <c r="X40" s="1265"/>
      <c r="Y40" s="337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76"/>
      <c r="Q41" s="1263" t="str">
        <f t="shared" si="11"/>
        <v>层高</v>
      </c>
      <c r="R41" s="667" t="s">
        <v>14</v>
      </c>
      <c r="S41" s="668">
        <f t="shared" si="12"/>
        <v>100</v>
      </c>
      <c r="T41" s="667" t="s">
        <v>14</v>
      </c>
      <c r="U41" s="668">
        <f t="shared" si="13"/>
        <v>100</v>
      </c>
      <c r="V41" s="667" t="s">
        <v>14</v>
      </c>
      <c r="W41" s="668">
        <f t="shared" si="14"/>
        <v>100</v>
      </c>
      <c r="X41" s="1265"/>
      <c r="Y41" s="337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76"/>
      <c r="Q42" s="531" t="str">
        <f t="shared" si="11"/>
        <v>单套建筑面积</v>
      </c>
      <c r="R42" s="669" t="s">
        <v>14</v>
      </c>
      <c r="S42" s="670">
        <f t="shared" si="12"/>
        <v>100</v>
      </c>
      <c r="T42" s="669" t="s">
        <v>14</v>
      </c>
      <c r="U42" s="670">
        <f t="shared" si="13"/>
        <v>100</v>
      </c>
      <c r="V42" s="669" t="s">
        <v>14</v>
      </c>
      <c r="W42" s="670">
        <f t="shared" si="14"/>
        <v>100</v>
      </c>
      <c r="X42" s="671"/>
      <c r="Y42" s="3378"/>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76"/>
      <c r="Q43" s="1263" t="str">
        <f t="shared" si="11"/>
        <v>内部装修</v>
      </c>
      <c r="R43" s="667" t="s">
        <v>14</v>
      </c>
      <c r="S43" s="668">
        <f t="shared" si="12"/>
        <v>100</v>
      </c>
      <c r="T43" s="667" t="s">
        <v>14</v>
      </c>
      <c r="U43" s="668">
        <f t="shared" si="13"/>
        <v>100</v>
      </c>
      <c r="V43" s="667" t="s">
        <v>14</v>
      </c>
      <c r="W43" s="668">
        <f t="shared" si="14"/>
        <v>100</v>
      </c>
      <c r="X43" s="1265"/>
      <c r="Y43" s="3378"/>
      <c r="Z43" s="1264" t="str">
        <f t="shared" si="15"/>
        <v>内部装修</v>
      </c>
      <c r="AA43" s="1264">
        <f t="shared" si="3"/>
        <v>1</v>
      </c>
      <c r="AB43" s="1264">
        <f t="shared" si="4"/>
        <v>1</v>
      </c>
      <c r="AC43" s="1812">
        <f t="shared" si="5"/>
        <v>1</v>
      </c>
    </row>
    <row r="44" spans="1:29" ht="28.8">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76"/>
      <c r="Q44" s="1263" t="str">
        <f t="shared" si="11"/>
        <v>内部装修维护情况</v>
      </c>
      <c r="R44" s="667" t="s">
        <v>14</v>
      </c>
      <c r="S44" s="668">
        <f t="shared" si="12"/>
        <v>100</v>
      </c>
      <c r="T44" s="667" t="s">
        <v>14</v>
      </c>
      <c r="U44" s="668">
        <f t="shared" si="13"/>
        <v>100</v>
      </c>
      <c r="V44" s="667" t="s">
        <v>14</v>
      </c>
      <c r="W44" s="668">
        <f t="shared" si="14"/>
        <v>100</v>
      </c>
      <c r="X44" s="1265"/>
      <c r="Y44" s="337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76"/>
      <c r="Q45" s="530">
        <f t="shared" si="11"/>
        <v>111</v>
      </c>
      <c r="R45" s="664" t="s">
        <v>14</v>
      </c>
      <c r="S45" s="665">
        <f t="shared" si="12"/>
        <v>100</v>
      </c>
      <c r="T45" s="664" t="s">
        <v>14</v>
      </c>
      <c r="U45" s="665">
        <f t="shared" si="13"/>
        <v>100</v>
      </c>
      <c r="V45" s="664" t="s">
        <v>14</v>
      </c>
      <c r="W45" s="665">
        <f t="shared" si="14"/>
        <v>100</v>
      </c>
      <c r="X45" s="666"/>
      <c r="Y45" s="337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76"/>
      <c r="Q46" s="1263">
        <f t="shared" si="11"/>
        <v>111</v>
      </c>
      <c r="R46" s="667" t="s">
        <v>14</v>
      </c>
      <c r="S46" s="668">
        <f t="shared" si="12"/>
        <v>100</v>
      </c>
      <c r="T46" s="667" t="s">
        <v>14</v>
      </c>
      <c r="U46" s="668">
        <f t="shared" si="13"/>
        <v>100</v>
      </c>
      <c r="V46" s="667" t="s">
        <v>14</v>
      </c>
      <c r="W46" s="668">
        <f t="shared" si="14"/>
        <v>100</v>
      </c>
      <c r="X46" s="1265"/>
      <c r="Y46" s="337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77"/>
      <c r="Q47" s="1263">
        <f t="shared" si="11"/>
        <v>111</v>
      </c>
      <c r="R47" s="667" t="s">
        <v>14</v>
      </c>
      <c r="S47" s="668">
        <f t="shared" si="12"/>
        <v>100</v>
      </c>
      <c r="T47" s="667" t="s">
        <v>14</v>
      </c>
      <c r="U47" s="668">
        <f t="shared" si="13"/>
        <v>100</v>
      </c>
      <c r="V47" s="667" t="s">
        <v>14</v>
      </c>
      <c r="W47" s="668">
        <f t="shared" si="14"/>
        <v>100</v>
      </c>
      <c r="X47" s="1265"/>
      <c r="Y47" s="3379"/>
      <c r="Z47" s="1264">
        <f t="shared" si="15"/>
        <v>111</v>
      </c>
      <c r="AA47" s="1264">
        <f t="shared" si="3"/>
        <v>1</v>
      </c>
      <c r="AB47" s="1264">
        <f t="shared" si="4"/>
        <v>1</v>
      </c>
      <c r="AC47" s="1812">
        <f t="shared" si="5"/>
        <v>1</v>
      </c>
    </row>
    <row r="48" spans="1:29" ht="14.4">
      <c r="A48" s="416" t="s">
        <v>1708</v>
      </c>
      <c r="B48" s="417"/>
      <c r="C48" s="1081" t="s">
        <v>0</v>
      </c>
      <c r="D48" s="418"/>
      <c r="E48" s="419"/>
      <c r="F48" s="420"/>
      <c r="G48" s="421"/>
      <c r="H48" s="422"/>
      <c r="I48" s="419"/>
      <c r="J48" s="422"/>
      <c r="K48" s="674"/>
      <c r="L48" s="2493"/>
      <c r="M48" s="2486"/>
      <c r="N48" s="2486"/>
      <c r="O48" s="2486"/>
      <c r="P48" s="3380" t="str">
        <f>A48</f>
        <v>成交单价（元/平方米）</v>
      </c>
      <c r="Q48" s="3366"/>
      <c r="R48" s="3367">
        <f>E48</f>
        <v>0</v>
      </c>
      <c r="S48" s="3367"/>
      <c r="T48" s="3367">
        <f>G48</f>
        <v>0</v>
      </c>
      <c r="U48" s="3367"/>
      <c r="V48" s="3367">
        <f>I48</f>
        <v>0</v>
      </c>
      <c r="W48" s="3367"/>
      <c r="X48" s="385"/>
      <c r="Y48" s="673"/>
      <c r="Z48" s="385"/>
      <c r="AA48" s="385"/>
      <c r="AB48" s="385"/>
      <c r="AC48" s="555"/>
    </row>
    <row r="49" spans="1:29" ht="15" thickBot="1">
      <c r="A49" s="423" t="s">
        <v>1793</v>
      </c>
      <c r="B49" s="424"/>
      <c r="C49" s="1082" t="e">
        <f>R50</f>
        <v>#DIV/0!</v>
      </c>
      <c r="D49" s="2140" t="s">
        <v>2134</v>
      </c>
      <c r="E49" s="1083" t="e">
        <f>R49</f>
        <v>#DIV/0!</v>
      </c>
      <c r="F49" s="2141"/>
      <c r="G49" s="1082" t="e">
        <f>T49</f>
        <v>#DIV/0!</v>
      </c>
      <c r="H49" s="2141"/>
      <c r="I49" s="1083" t="e">
        <f>V49</f>
        <v>#DIV/0!</v>
      </c>
      <c r="J49" s="2141"/>
      <c r="K49" s="2143">
        <f>F49+H49+J49</f>
        <v>0</v>
      </c>
      <c r="L49" s="2493"/>
      <c r="M49" s="2486"/>
      <c r="N49" s="2486"/>
      <c r="O49" s="2486"/>
      <c r="P49" s="3380" t="str">
        <f>A49</f>
        <v>比较价值（元/平方米）</v>
      </c>
      <c r="Q49" s="3366"/>
      <c r="R49" s="3367" t="e">
        <f>IF(F1="售价",ROUND(PRODUCT(R48,AA7:AA47),0),ROUND(PRODUCT(R48,AA7:AA47),1))</f>
        <v>#DIV/0!</v>
      </c>
      <c r="S49" s="3367"/>
      <c r="T49" s="3367" t="e">
        <f>IF(F1="售价",ROUND(PRODUCT(T48,AB7:AB47),0),ROUND(PRODUCT(T48,AB7:AB47),1))</f>
        <v>#DIV/0!</v>
      </c>
      <c r="U49" s="3367"/>
      <c r="V49" s="3367" t="e">
        <f>IF(F1="售价",ROUND(PRODUCT(V48,AC7:AC47),0),ROUND(PRODUCT(V48,AC7:AC47),1))</f>
        <v>#DIV/0!</v>
      </c>
      <c r="W49" s="3367"/>
      <c r="X49" s="385"/>
      <c r="Y49" s="385"/>
      <c r="Z49" s="385"/>
      <c r="AA49" s="385"/>
      <c r="AB49" s="385"/>
      <c r="AC49" s="555"/>
    </row>
    <row r="50" spans="1:29" ht="15" thickBot="1">
      <c r="A50" s="427" t="s">
        <v>1794</v>
      </c>
      <c r="B50" s="428"/>
      <c r="C50" s="351" t="e">
        <f>R50</f>
        <v>#DIV/0!</v>
      </c>
      <c r="D50" s="351"/>
      <c r="E50" s="351"/>
      <c r="F50" s="351"/>
      <c r="G50" s="351"/>
      <c r="H50" s="351"/>
      <c r="I50" s="351"/>
      <c r="J50" s="429"/>
      <c r="K50" s="675"/>
      <c r="L50" s="2493"/>
      <c r="M50" s="2486"/>
      <c r="N50" s="2486"/>
      <c r="O50" s="2486"/>
      <c r="P50" s="3440" t="str">
        <f>A50</f>
        <v>估价对象XX用房的比较价值（楼面单价，元/平方米）</v>
      </c>
      <c r="Q50" s="3441"/>
      <c r="R50" s="3442" t="e">
        <f>IF(F1="售价",ROUND(IF(D49="简单平均",AVERAGE(R49:V49),R49*F49+T49*H49+V49*J49),0),ROUND(IF(D49="简单平均",AVERAGE(R49:V49),R49*F49+T49*H49+V49*J49),1))</f>
        <v>#DIV/0!</v>
      </c>
      <c r="S50" s="3442"/>
      <c r="T50" s="3442"/>
      <c r="U50" s="3442"/>
      <c r="V50" s="3442"/>
      <c r="W50" s="3442"/>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165.09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84" t="s">
        <v>1770</v>
      </c>
      <c r="D4" s="3385"/>
      <c r="E4" s="3386" t="s">
        <v>1771</v>
      </c>
      <c r="F4" s="3387"/>
      <c r="G4" s="3384" t="s">
        <v>1772</v>
      </c>
      <c r="H4" s="3385"/>
      <c r="I4" s="3384" t="s">
        <v>1773</v>
      </c>
      <c r="J4" s="3385"/>
      <c r="K4" s="537" t="s">
        <v>1774</v>
      </c>
      <c r="L4" s="860"/>
      <c r="M4" s="861"/>
      <c r="N4" s="861"/>
      <c r="O4" s="861"/>
      <c r="P4" s="3388" t="s">
        <v>1775</v>
      </c>
      <c r="Q4" s="3389"/>
      <c r="R4" s="3394" t="s">
        <v>1771</v>
      </c>
      <c r="S4" s="3395"/>
      <c r="T4" s="3394" t="s">
        <v>1772</v>
      </c>
      <c r="U4" s="3395"/>
      <c r="V4" s="3367" t="s">
        <v>1773</v>
      </c>
      <c r="W4" s="3367"/>
      <c r="X4" s="1265"/>
      <c r="Y4" s="3394" t="s">
        <v>1775</v>
      </c>
      <c r="Z4" s="3395"/>
      <c r="AA4" s="3381" t="s">
        <v>1771</v>
      </c>
      <c r="AB4" s="3382" t="s">
        <v>1772</v>
      </c>
      <c r="AC4" s="3381" t="s">
        <v>1773</v>
      </c>
    </row>
    <row r="5" spans="1:29">
      <c r="A5" s="348"/>
      <c r="B5" s="349"/>
      <c r="C5" s="3402" t="s">
        <v>1673</v>
      </c>
      <c r="D5" s="3403"/>
      <c r="E5" s="3409" t="s">
        <v>1674</v>
      </c>
      <c r="F5" s="3410"/>
      <c r="G5" s="3402" t="s">
        <v>1675</v>
      </c>
      <c r="H5" s="3403"/>
      <c r="I5" s="3402" t="s">
        <v>1676</v>
      </c>
      <c r="J5" s="3403"/>
      <c r="K5" s="537"/>
      <c r="L5" s="860"/>
      <c r="M5" s="861"/>
      <c r="N5" s="861"/>
      <c r="O5" s="861"/>
      <c r="P5" s="3390"/>
      <c r="Q5" s="3391"/>
      <c r="R5" s="3396"/>
      <c r="S5" s="3397"/>
      <c r="T5" s="3396"/>
      <c r="U5" s="3397"/>
      <c r="V5" s="3367"/>
      <c r="W5" s="3367"/>
      <c r="X5" s="1265"/>
      <c r="Y5" s="3396"/>
      <c r="Z5" s="3397"/>
      <c r="AA5" s="3382"/>
      <c r="AB5" s="3382"/>
      <c r="AC5" s="3382"/>
    </row>
    <row r="6" spans="1:29" ht="15" thickBot="1">
      <c r="A6" s="350"/>
      <c r="B6" s="351"/>
      <c r="C6" s="3400" t="s">
        <v>1677</v>
      </c>
      <c r="D6" s="3401"/>
      <c r="E6" s="3407" t="s">
        <v>1677</v>
      </c>
      <c r="F6" s="3408"/>
      <c r="G6" s="3400" t="s">
        <v>1677</v>
      </c>
      <c r="H6" s="3401"/>
      <c r="I6" s="3400" t="s">
        <v>1677</v>
      </c>
      <c r="J6" s="3401"/>
      <c r="K6" s="537" t="s">
        <v>1678</v>
      </c>
      <c r="L6" s="860"/>
      <c r="M6" s="861"/>
      <c r="N6" s="861"/>
      <c r="O6" s="861"/>
      <c r="P6" s="3392"/>
      <c r="Q6" s="3393"/>
      <c r="R6" s="3396"/>
      <c r="S6" s="3397"/>
      <c r="T6" s="3398"/>
      <c r="U6" s="3399"/>
      <c r="V6" s="3367"/>
      <c r="W6" s="3367"/>
      <c r="X6" s="1265"/>
      <c r="Y6" s="3398"/>
      <c r="Z6" s="3399"/>
      <c r="AA6" s="3383"/>
      <c r="AB6" s="3383"/>
      <c r="AC6" s="3383"/>
    </row>
    <row r="7" spans="1:29" s="102" customFormat="1" ht="15" thickBot="1">
      <c r="A7" s="352" t="s">
        <v>1679</v>
      </c>
      <c r="B7" s="353"/>
      <c r="C7" s="354">
        <f>'数据-取费表'!B2</f>
        <v>45831</v>
      </c>
      <c r="D7" s="355">
        <v>100</v>
      </c>
      <c r="E7" s="356"/>
      <c r="F7" s="357">
        <f>SUMIF(52:52,YEAR(E7)&amp;"-"&amp;MONTH(E7),53:53)</f>
        <v>0</v>
      </c>
      <c r="G7" s="356"/>
      <c r="H7" s="355">
        <f>SUMIF(52:52,YEAR(G7)&amp;"-"&amp;MONTH(G7),53:53)</f>
        <v>0</v>
      </c>
      <c r="I7" s="356"/>
      <c r="J7" s="355">
        <f>SUMIF(52:52,YEAR(I7)&amp;"-"&amp;MONTH(I7),53:53)</f>
        <v>0</v>
      </c>
      <c r="K7" s="38"/>
      <c r="L7" s="862"/>
      <c r="M7" s="863"/>
      <c r="N7" s="863"/>
      <c r="O7" s="863"/>
      <c r="P7" s="3404"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4" t="s">
        <v>1683</v>
      </c>
      <c r="Q8" s="3405"/>
      <c r="R8" s="664" t="s">
        <v>14</v>
      </c>
      <c r="S8" s="665">
        <f t="shared" si="0"/>
        <v>100</v>
      </c>
      <c r="T8" s="664" t="s">
        <v>14</v>
      </c>
      <c r="U8" s="665">
        <f t="shared" si="1"/>
        <v>100</v>
      </c>
      <c r="V8" s="664" t="s">
        <v>14</v>
      </c>
      <c r="W8" s="665">
        <f t="shared" si="2"/>
        <v>100</v>
      </c>
      <c r="X8" s="666"/>
      <c r="Y8" s="3404" t="s">
        <v>1683</v>
      </c>
      <c r="Z8" s="340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6"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66"/>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6"/>
      <c r="Q11" s="530" t="str">
        <f t="shared" si="6"/>
        <v>容积率</v>
      </c>
      <c r="R11" s="664" t="s">
        <v>14</v>
      </c>
      <c r="S11" s="665">
        <f t="shared" si="0"/>
        <v>100</v>
      </c>
      <c r="T11" s="664" t="s">
        <v>14</v>
      </c>
      <c r="U11" s="665">
        <f t="shared" si="1"/>
        <v>100</v>
      </c>
      <c r="V11" s="664" t="s">
        <v>14</v>
      </c>
      <c r="W11" s="665">
        <f t="shared" si="2"/>
        <v>100</v>
      </c>
      <c r="X11" s="666"/>
      <c r="Y11" s="3265"/>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6"/>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6"/>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6"/>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3" t="s">
        <v>1691</v>
      </c>
      <c r="Q15" s="1263" t="str">
        <f t="shared" si="6"/>
        <v>产业集聚程度</v>
      </c>
      <c r="R15" s="667" t="s">
        <v>14</v>
      </c>
      <c r="S15" s="668">
        <f t="shared" si="0"/>
        <v>100</v>
      </c>
      <c r="T15" s="667" t="s">
        <v>14</v>
      </c>
      <c r="U15" s="668">
        <f t="shared" si="1"/>
        <v>100</v>
      </c>
      <c r="V15" s="667" t="s">
        <v>14</v>
      </c>
      <c r="W15" s="668">
        <f t="shared" si="2"/>
        <v>100</v>
      </c>
      <c r="X15" s="1265"/>
      <c r="Y15" s="337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4"/>
      <c r="Q16" s="1263"/>
      <c r="R16" s="667"/>
      <c r="S16" s="668"/>
      <c r="T16" s="667"/>
      <c r="U16" s="668"/>
      <c r="V16" s="667"/>
      <c r="W16" s="668"/>
      <c r="X16" s="1265"/>
      <c r="Y16" s="337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4"/>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4"/>
      <c r="Q18" s="1263"/>
      <c r="R18" s="667"/>
      <c r="S18" s="668"/>
      <c r="T18" s="667"/>
      <c r="U18" s="668"/>
      <c r="V18" s="667"/>
      <c r="W18" s="668"/>
      <c r="X18" s="1265"/>
      <c r="Y18" s="337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4"/>
      <c r="Q19" s="1263" t="str">
        <f>B19</f>
        <v>公共配套设施</v>
      </c>
      <c r="R19" s="667" t="s">
        <v>14</v>
      </c>
      <c r="S19" s="668">
        <f>F19</f>
        <v>100</v>
      </c>
      <c r="T19" s="667" t="s">
        <v>14</v>
      </c>
      <c r="U19" s="668">
        <f>H19</f>
        <v>100</v>
      </c>
      <c r="V19" s="667" t="s">
        <v>14</v>
      </c>
      <c r="W19" s="668">
        <f>J19</f>
        <v>100</v>
      </c>
      <c r="X19" s="1265"/>
      <c r="Y19" s="337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4"/>
      <c r="Q20" s="1263"/>
      <c r="R20" s="667"/>
      <c r="S20" s="668"/>
      <c r="T20" s="667"/>
      <c r="U20" s="668"/>
      <c r="V20" s="667"/>
      <c r="W20" s="668"/>
      <c r="X20" s="1265"/>
      <c r="Y20" s="337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4"/>
      <c r="Q21" s="1263" t="str">
        <f>B21</f>
        <v>基础设施水平</v>
      </c>
      <c r="R21" s="667" t="s">
        <v>14</v>
      </c>
      <c r="S21" s="668">
        <f>F21</f>
        <v>100</v>
      </c>
      <c r="T21" s="667" t="s">
        <v>14</v>
      </c>
      <c r="U21" s="668">
        <f>H21</f>
        <v>100</v>
      </c>
      <c r="V21" s="667" t="s">
        <v>14</v>
      </c>
      <c r="W21" s="668">
        <f>J21</f>
        <v>100</v>
      </c>
      <c r="X21" s="1265"/>
      <c r="Y21" s="337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4"/>
      <c r="Q22" s="1263"/>
      <c r="R22" s="667"/>
      <c r="S22" s="668"/>
      <c r="T22" s="667"/>
      <c r="U22" s="668"/>
      <c r="V22" s="667"/>
      <c r="W22" s="668"/>
      <c r="X22" s="1265"/>
      <c r="Y22" s="337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4"/>
      <c r="Q23" s="1263" t="str">
        <f>B23</f>
        <v>环境质量</v>
      </c>
      <c r="R23" s="667" t="s">
        <v>14</v>
      </c>
      <c r="S23" s="668">
        <f>F23</f>
        <v>100</v>
      </c>
      <c r="T23" s="667" t="s">
        <v>14</v>
      </c>
      <c r="U23" s="668">
        <f>H23</f>
        <v>100</v>
      </c>
      <c r="V23" s="667" t="s">
        <v>14</v>
      </c>
      <c r="W23" s="668">
        <f>J23</f>
        <v>100</v>
      </c>
      <c r="X23" s="1265"/>
      <c r="Y23" s="337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4"/>
      <c r="Q24" s="1263"/>
      <c r="R24" s="667"/>
      <c r="S24" s="668"/>
      <c r="T24" s="667"/>
      <c r="U24" s="668"/>
      <c r="V24" s="667"/>
      <c r="W24" s="668"/>
      <c r="X24" s="1265"/>
      <c r="Y24" s="337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4"/>
      <c r="Q25" s="1263">
        <f>B25</f>
        <v>111</v>
      </c>
      <c r="R25" s="667" t="s">
        <v>14</v>
      </c>
      <c r="S25" s="668">
        <f>F25</f>
        <v>100</v>
      </c>
      <c r="T25" s="667" t="s">
        <v>14</v>
      </c>
      <c r="U25" s="668">
        <f>H25</f>
        <v>100</v>
      </c>
      <c r="V25" s="667" t="s">
        <v>14</v>
      </c>
      <c r="W25" s="668">
        <f>J25</f>
        <v>100</v>
      </c>
      <c r="X25" s="1265"/>
      <c r="Y25" s="337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4"/>
      <c r="Q26" s="1263">
        <f t="shared" ref="Q26:Q40" si="11">B26</f>
        <v>111</v>
      </c>
      <c r="R26" s="667" t="s">
        <v>14</v>
      </c>
      <c r="S26" s="668">
        <f>F26</f>
        <v>100</v>
      </c>
      <c r="T26" s="667" t="s">
        <v>14</v>
      </c>
      <c r="U26" s="668">
        <f>H26</f>
        <v>100</v>
      </c>
      <c r="V26" s="667" t="s">
        <v>14</v>
      </c>
      <c r="W26" s="668">
        <f>J26</f>
        <v>100</v>
      </c>
      <c r="X26" s="1265"/>
      <c r="Y26" s="337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4"/>
      <c r="Q27" s="530">
        <f t="shared" si="11"/>
        <v>111</v>
      </c>
      <c r="R27" s="664" t="s">
        <v>14</v>
      </c>
      <c r="S27" s="665">
        <f>F27</f>
        <v>100</v>
      </c>
      <c r="T27" s="664" t="s">
        <v>14</v>
      </c>
      <c r="U27" s="665">
        <f>H27</f>
        <v>100</v>
      </c>
      <c r="V27" s="664" t="s">
        <v>14</v>
      </c>
      <c r="W27" s="665">
        <f>J27</f>
        <v>100</v>
      </c>
      <c r="X27" s="666"/>
      <c r="Y27" s="337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4"/>
      <c r="Q28" s="1263">
        <f t="shared" si="11"/>
        <v>111</v>
      </c>
      <c r="R28" s="667" t="s">
        <v>14</v>
      </c>
      <c r="S28" s="668">
        <f t="shared" ref="S28:S40" si="12">F28</f>
        <v>100</v>
      </c>
      <c r="T28" s="667" t="s">
        <v>14</v>
      </c>
      <c r="U28" s="668">
        <f t="shared" ref="U28:U40" si="13">H28</f>
        <v>100</v>
      </c>
      <c r="V28" s="667" t="s">
        <v>14</v>
      </c>
      <c r="W28" s="668">
        <f t="shared" ref="W28:W40" si="14">J28</f>
        <v>100</v>
      </c>
      <c r="X28" s="1265"/>
      <c r="Y28" s="337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5" t="s">
        <v>1696</v>
      </c>
      <c r="Q29" s="1263" t="str">
        <f t="shared" si="11"/>
        <v>建筑类型</v>
      </c>
      <c r="R29" s="667" t="s">
        <v>14</v>
      </c>
      <c r="S29" s="668">
        <f t="shared" si="12"/>
        <v>100</v>
      </c>
      <c r="T29" s="667" t="s">
        <v>14</v>
      </c>
      <c r="U29" s="668">
        <f t="shared" si="13"/>
        <v>100</v>
      </c>
      <c r="V29" s="667" t="s">
        <v>14</v>
      </c>
      <c r="W29" s="668">
        <f t="shared" si="14"/>
        <v>100</v>
      </c>
      <c r="X29" s="1265"/>
      <c r="Y29" s="337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8"/>
      <c r="Q30" s="531" t="str">
        <f t="shared" si="11"/>
        <v>项目建筑规模</v>
      </c>
      <c r="R30" s="669" t="s">
        <v>14</v>
      </c>
      <c r="S30" s="670" t="e">
        <f t="shared" si="12"/>
        <v>#N/A</v>
      </c>
      <c r="T30" s="669" t="s">
        <v>14</v>
      </c>
      <c r="U30" s="670" t="e">
        <f t="shared" si="13"/>
        <v>#N/A</v>
      </c>
      <c r="V30" s="669" t="s">
        <v>14</v>
      </c>
      <c r="W30" s="670" t="e">
        <f t="shared" si="14"/>
        <v>#N/A</v>
      </c>
      <c r="X30" s="671"/>
      <c r="Y30" s="337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8"/>
      <c r="Q31" s="1263" t="str">
        <f t="shared" si="11"/>
        <v>建筑结构</v>
      </c>
      <c r="R31" s="667" t="s">
        <v>14</v>
      </c>
      <c r="S31" s="668">
        <f t="shared" si="12"/>
        <v>100</v>
      </c>
      <c r="T31" s="667" t="s">
        <v>14</v>
      </c>
      <c r="U31" s="668">
        <f t="shared" si="13"/>
        <v>100</v>
      </c>
      <c r="V31" s="667" t="s">
        <v>14</v>
      </c>
      <c r="W31" s="668">
        <f t="shared" si="14"/>
        <v>100</v>
      </c>
      <c r="X31" s="1265"/>
      <c r="Y31" s="337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8"/>
      <c r="Q32" s="1263" t="str">
        <f t="shared" si="11"/>
        <v>公共部分装修</v>
      </c>
      <c r="R32" s="667" t="s">
        <v>14</v>
      </c>
      <c r="S32" s="668">
        <f t="shared" si="12"/>
        <v>100</v>
      </c>
      <c r="T32" s="667" t="s">
        <v>14</v>
      </c>
      <c r="U32" s="668">
        <f t="shared" si="13"/>
        <v>100</v>
      </c>
      <c r="V32" s="667" t="s">
        <v>14</v>
      </c>
      <c r="W32" s="668">
        <f t="shared" si="14"/>
        <v>100</v>
      </c>
      <c r="X32" s="1265"/>
      <c r="Y32" s="337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8"/>
      <c r="Q33" s="1263" t="str">
        <f t="shared" si="11"/>
        <v>成新度</v>
      </c>
      <c r="R33" s="667" t="s">
        <v>14</v>
      </c>
      <c r="S33" s="668" t="e">
        <f t="shared" si="12"/>
        <v>#N/A</v>
      </c>
      <c r="T33" s="667" t="s">
        <v>14</v>
      </c>
      <c r="U33" s="668" t="e">
        <f t="shared" si="13"/>
        <v>#N/A</v>
      </c>
      <c r="V33" s="667" t="s">
        <v>14</v>
      </c>
      <c r="W33" s="668" t="e">
        <f t="shared" si="14"/>
        <v>#N/A</v>
      </c>
      <c r="X33" s="1265"/>
      <c r="Y33" s="337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8"/>
      <c r="Q34" s="530" t="str">
        <f t="shared" si="11"/>
        <v>物业管理</v>
      </c>
      <c r="R34" s="664" t="s">
        <v>14</v>
      </c>
      <c r="S34" s="665">
        <f t="shared" si="12"/>
        <v>100</v>
      </c>
      <c r="T34" s="664" t="s">
        <v>14</v>
      </c>
      <c r="U34" s="665">
        <f t="shared" si="13"/>
        <v>100</v>
      </c>
      <c r="V34" s="664" t="s">
        <v>14</v>
      </c>
      <c r="W34" s="665">
        <f t="shared" si="14"/>
        <v>100</v>
      </c>
      <c r="X34" s="666"/>
      <c r="Y34" s="337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8" t="s">
        <v>1696</v>
      </c>
      <c r="Q35" s="1263" t="str">
        <f t="shared" si="11"/>
        <v>市政基础设施</v>
      </c>
      <c r="R35" s="667" t="s">
        <v>14</v>
      </c>
      <c r="S35" s="668">
        <f t="shared" si="12"/>
        <v>100</v>
      </c>
      <c r="T35" s="667" t="s">
        <v>14</v>
      </c>
      <c r="U35" s="668">
        <f t="shared" si="13"/>
        <v>100</v>
      </c>
      <c r="V35" s="667" t="s">
        <v>14</v>
      </c>
      <c r="W35" s="668">
        <f t="shared" si="14"/>
        <v>100</v>
      </c>
      <c r="X35" s="1265"/>
      <c r="Y35" s="337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8"/>
      <c r="Q36" s="1263" t="str">
        <f t="shared" si="11"/>
        <v>内部装修</v>
      </c>
      <c r="R36" s="667" t="s">
        <v>14</v>
      </c>
      <c r="S36" s="668">
        <f t="shared" si="12"/>
        <v>100</v>
      </c>
      <c r="T36" s="667" t="s">
        <v>14</v>
      </c>
      <c r="U36" s="668">
        <f t="shared" si="13"/>
        <v>100</v>
      </c>
      <c r="V36" s="667" t="s">
        <v>14</v>
      </c>
      <c r="W36" s="668">
        <f t="shared" si="14"/>
        <v>100</v>
      </c>
      <c r="X36" s="1265"/>
      <c r="Y36" s="337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8"/>
      <c r="Q37" s="1263" t="str">
        <f t="shared" si="11"/>
        <v>内部装修状况</v>
      </c>
      <c r="R37" s="667" t="s">
        <v>14</v>
      </c>
      <c r="S37" s="668">
        <f t="shared" si="12"/>
        <v>100</v>
      </c>
      <c r="T37" s="667" t="s">
        <v>14</v>
      </c>
      <c r="U37" s="668">
        <f t="shared" si="13"/>
        <v>100</v>
      </c>
      <c r="V37" s="667" t="s">
        <v>14</v>
      </c>
      <c r="W37" s="668">
        <f t="shared" si="14"/>
        <v>100</v>
      </c>
      <c r="X37" s="1265"/>
      <c r="Y37" s="337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8"/>
      <c r="Q38" s="531">
        <f t="shared" si="11"/>
        <v>111</v>
      </c>
      <c r="R38" s="669" t="s">
        <v>14</v>
      </c>
      <c r="S38" s="670">
        <f t="shared" si="12"/>
        <v>100</v>
      </c>
      <c r="T38" s="669" t="s">
        <v>14</v>
      </c>
      <c r="U38" s="670">
        <f t="shared" si="13"/>
        <v>100</v>
      </c>
      <c r="V38" s="669" t="s">
        <v>14</v>
      </c>
      <c r="W38" s="670">
        <f t="shared" si="14"/>
        <v>100</v>
      </c>
      <c r="X38" s="671"/>
      <c r="Y38" s="337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8"/>
      <c r="Q39" s="1263">
        <f t="shared" si="11"/>
        <v>111</v>
      </c>
      <c r="R39" s="667" t="s">
        <v>14</v>
      </c>
      <c r="S39" s="668">
        <f t="shared" si="12"/>
        <v>100</v>
      </c>
      <c r="T39" s="667" t="s">
        <v>14</v>
      </c>
      <c r="U39" s="668">
        <f t="shared" si="13"/>
        <v>100</v>
      </c>
      <c r="V39" s="667" t="s">
        <v>14</v>
      </c>
      <c r="W39" s="668">
        <f t="shared" si="14"/>
        <v>100</v>
      </c>
      <c r="X39" s="1265"/>
      <c r="Y39" s="337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9"/>
      <c r="Q40" s="1263">
        <f t="shared" si="11"/>
        <v>111</v>
      </c>
      <c r="R40" s="667" t="s">
        <v>14</v>
      </c>
      <c r="S40" s="668">
        <f t="shared" si="12"/>
        <v>100</v>
      </c>
      <c r="T40" s="667" t="s">
        <v>14</v>
      </c>
      <c r="U40" s="668">
        <f t="shared" si="13"/>
        <v>100</v>
      </c>
      <c r="V40" s="667" t="s">
        <v>14</v>
      </c>
      <c r="W40" s="668">
        <f t="shared" si="14"/>
        <v>100</v>
      </c>
      <c r="X40" s="1265"/>
      <c r="Y40" s="337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66" t="str">
        <f>A41</f>
        <v>成交单价（元/平方米）</v>
      </c>
      <c r="Q41" s="3366"/>
      <c r="R41" s="3367">
        <f>E41</f>
        <v>0</v>
      </c>
      <c r="S41" s="3367"/>
      <c r="T41" s="3367">
        <f>G41</f>
        <v>0</v>
      </c>
      <c r="U41" s="3367"/>
      <c r="V41" s="3367">
        <f>I41</f>
        <v>0</v>
      </c>
      <c r="W41" s="3367"/>
      <c r="X41" s="385"/>
      <c r="Y41" s="673"/>
      <c r="Z41" s="385"/>
      <c r="AA41" s="385"/>
      <c r="AB41" s="385"/>
      <c r="AC41" s="385"/>
    </row>
    <row r="42" spans="1:29" ht="15" thickBot="1">
      <c r="A42" s="423" t="s">
        <v>1793</v>
      </c>
      <c r="B42" s="424"/>
      <c r="C42" s="1082" t="e">
        <f>R43</f>
        <v>#DIV/0!</v>
      </c>
      <c r="D42" s="2140" t="s">
        <v>2134</v>
      </c>
      <c r="E42" s="1083" t="e">
        <f>R42</f>
        <v>#DIV/0!</v>
      </c>
      <c r="F42" s="2141"/>
      <c r="G42" s="1082" t="e">
        <f>T42</f>
        <v>#DIV/0!</v>
      </c>
      <c r="H42" s="2141"/>
      <c r="I42" s="1083" t="e">
        <f>V42</f>
        <v>#DIV/0!</v>
      </c>
      <c r="J42" s="2141"/>
      <c r="K42" s="2143">
        <f>F42+H42+J42</f>
        <v>0</v>
      </c>
      <c r="L42" s="873"/>
      <c r="M42" s="861"/>
      <c r="N42" s="861"/>
      <c r="O42" s="861"/>
      <c r="P42" s="3366" t="str">
        <f>A42</f>
        <v>比较价值（元/平方米）</v>
      </c>
      <c r="Q42" s="3366"/>
      <c r="R42" s="3367" t="e">
        <f>IF(F1="售价",ROUND(PRODUCT(R41,AA7:AA40),0),ROUND(PRODUCT(R41,AA7:AA40),1))</f>
        <v>#DIV/0!</v>
      </c>
      <c r="S42" s="3367"/>
      <c r="T42" s="3367" t="e">
        <f>IF(F1="售价",ROUND(PRODUCT(T41,AB7:AB40),0),ROUND(PRODUCT(T41,AB7:AB40),1))</f>
        <v>#DIV/0!</v>
      </c>
      <c r="U42" s="3367"/>
      <c r="V42" s="3367" t="e">
        <f>IF(F1="售价",ROUND(PRODUCT(V41,AC7:AC40),0),ROUND(PRODUCT(V41,AC7:AC40),1))</f>
        <v>#DIV/0!</v>
      </c>
      <c r="W42" s="336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368" t="str">
        <f>A43</f>
        <v>估价对象XX用房的比较价值（楼面单价，元/平方米）</v>
      </c>
      <c r="Q43" s="3369"/>
      <c r="R43" s="3370" t="e">
        <f>IF(F1="售价",ROUND(IF(D42="简单平均",AVERAGE(R42:V42),R42*F42+T42*H42+V42*J42),0),ROUND(IF(D42="简单平均",AVERAGE(R42:V42),R42*F42+T42*H42+V42*J42),1))</f>
        <v>#DIV/0!</v>
      </c>
      <c r="S43" s="3370"/>
      <c r="T43" s="3370"/>
      <c r="U43" s="3370"/>
      <c r="V43" s="3370"/>
      <c r="W43" s="3370"/>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3329</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84" t="s">
        <v>1770</v>
      </c>
      <c r="D4" s="3385"/>
      <c r="E4" s="3386" t="s">
        <v>1771</v>
      </c>
      <c r="F4" s="3387"/>
      <c r="G4" s="3384" t="s">
        <v>1772</v>
      </c>
      <c r="H4" s="3385"/>
      <c r="I4" s="3384" t="s">
        <v>1773</v>
      </c>
      <c r="J4" s="3385"/>
      <c r="K4" s="537" t="s">
        <v>1774</v>
      </c>
      <c r="L4" s="2485"/>
      <c r="M4" s="2486"/>
      <c r="N4" s="2486"/>
      <c r="O4" s="2486"/>
      <c r="P4" s="3388" t="s">
        <v>1775</v>
      </c>
      <c r="Q4" s="3389"/>
      <c r="R4" s="3394" t="s">
        <v>1771</v>
      </c>
      <c r="S4" s="3395"/>
      <c r="T4" s="3394" t="s">
        <v>1772</v>
      </c>
      <c r="U4" s="3395"/>
      <c r="V4" s="3367" t="s">
        <v>1773</v>
      </c>
      <c r="W4" s="3367"/>
      <c r="X4" s="1265"/>
      <c r="Y4" s="3394" t="s">
        <v>1775</v>
      </c>
      <c r="Z4" s="3395"/>
      <c r="AA4" s="3381" t="s">
        <v>1771</v>
      </c>
      <c r="AB4" s="3382" t="s">
        <v>1772</v>
      </c>
      <c r="AC4" s="3381" t="s">
        <v>1773</v>
      </c>
    </row>
    <row r="5" spans="1:29">
      <c r="A5" s="348"/>
      <c r="B5" s="349"/>
      <c r="C5" s="3402" t="s">
        <v>1673</v>
      </c>
      <c r="D5" s="3403"/>
      <c r="E5" s="3409" t="s">
        <v>1674</v>
      </c>
      <c r="F5" s="3410"/>
      <c r="G5" s="3402" t="s">
        <v>1675</v>
      </c>
      <c r="H5" s="3403"/>
      <c r="I5" s="3402" t="s">
        <v>1676</v>
      </c>
      <c r="J5" s="3403"/>
      <c r="K5" s="537"/>
      <c r="L5" s="2485"/>
      <c r="M5" s="2486"/>
      <c r="N5" s="2486"/>
      <c r="O5" s="2486"/>
      <c r="P5" s="3390"/>
      <c r="Q5" s="3391"/>
      <c r="R5" s="3396"/>
      <c r="S5" s="3397"/>
      <c r="T5" s="3396"/>
      <c r="U5" s="3397"/>
      <c r="V5" s="3367"/>
      <c r="W5" s="3367"/>
      <c r="X5" s="1265"/>
      <c r="Y5" s="3396"/>
      <c r="Z5" s="3397"/>
      <c r="AA5" s="3382"/>
      <c r="AB5" s="3382"/>
      <c r="AC5" s="3382"/>
    </row>
    <row r="6" spans="1:29" ht="15" thickBot="1">
      <c r="A6" s="350"/>
      <c r="B6" s="351"/>
      <c r="C6" s="3400" t="s">
        <v>1677</v>
      </c>
      <c r="D6" s="3401"/>
      <c r="E6" s="3407" t="s">
        <v>1677</v>
      </c>
      <c r="F6" s="3408"/>
      <c r="G6" s="3400" t="s">
        <v>1677</v>
      </c>
      <c r="H6" s="3401"/>
      <c r="I6" s="3400" t="s">
        <v>1677</v>
      </c>
      <c r="J6" s="3401"/>
      <c r="K6" s="537" t="s">
        <v>1678</v>
      </c>
      <c r="L6" s="2485"/>
      <c r="M6" s="2486"/>
      <c r="N6" s="2486"/>
      <c r="O6" s="2486"/>
      <c r="P6" s="3392"/>
      <c r="Q6" s="3393"/>
      <c r="R6" s="3396"/>
      <c r="S6" s="3397"/>
      <c r="T6" s="3398"/>
      <c r="U6" s="3399"/>
      <c r="V6" s="3367"/>
      <c r="W6" s="3367"/>
      <c r="X6" s="1265"/>
      <c r="Y6" s="3398"/>
      <c r="Z6" s="3399"/>
      <c r="AA6" s="3383"/>
      <c r="AB6" s="3383"/>
      <c r="AC6" s="3383"/>
    </row>
    <row r="7" spans="1:29" s="102" customFormat="1" ht="15" thickBot="1">
      <c r="A7" s="352" t="s">
        <v>1679</v>
      </c>
      <c r="B7" s="353"/>
      <c r="C7" s="354">
        <f>'数据-取费表'!B2</f>
        <v>45831</v>
      </c>
      <c r="D7" s="355">
        <v>100</v>
      </c>
      <c r="E7" s="356"/>
      <c r="F7" s="357">
        <f>SUMIF(48:48,YEAR(E7)&amp;"-"&amp;MONTH(E7),49:49)</f>
        <v>0</v>
      </c>
      <c r="G7" s="356"/>
      <c r="H7" s="355">
        <f>SUMIF(48:48,YEAR(G7)&amp;"-"&amp;MONTH(G7),49:49)</f>
        <v>0</v>
      </c>
      <c r="I7" s="356"/>
      <c r="J7" s="355">
        <f>SUMIF(48:48,YEAR(I7)&amp;"-"&amp;MONTH(I7),49:49)</f>
        <v>0</v>
      </c>
      <c r="K7" s="38"/>
      <c r="L7" s="2487"/>
      <c r="M7" s="2439"/>
      <c r="N7" s="2439"/>
      <c r="O7" s="2439"/>
      <c r="P7" s="3404" t="s">
        <v>1680</v>
      </c>
      <c r="Q7" s="3406"/>
      <c r="R7" s="664" t="s">
        <v>14</v>
      </c>
      <c r="S7" s="665">
        <f t="shared" ref="S7:S14" si="0">F7</f>
        <v>0</v>
      </c>
      <c r="T7" s="664" t="s">
        <v>14</v>
      </c>
      <c r="U7" s="665">
        <f t="shared" ref="U7:U14" si="1">H7</f>
        <v>0</v>
      </c>
      <c r="V7" s="664" t="s">
        <v>14</v>
      </c>
      <c r="W7" s="665">
        <f t="shared" ref="W7:W14" si="2">J7</f>
        <v>0</v>
      </c>
      <c r="X7" s="666"/>
      <c r="Y7" s="3404" t="s">
        <v>1680</v>
      </c>
      <c r="Z7" s="340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404" t="s">
        <v>1683</v>
      </c>
      <c r="Q8" s="3405"/>
      <c r="R8" s="664" t="s">
        <v>14</v>
      </c>
      <c r="S8" s="665">
        <f t="shared" si="0"/>
        <v>100</v>
      </c>
      <c r="T8" s="664" t="s">
        <v>14</v>
      </c>
      <c r="U8" s="665">
        <f t="shared" si="1"/>
        <v>100</v>
      </c>
      <c r="V8" s="664" t="s">
        <v>14</v>
      </c>
      <c r="W8" s="665">
        <f t="shared" si="2"/>
        <v>100</v>
      </c>
      <c r="X8" s="666"/>
      <c r="Y8" s="3404" t="s">
        <v>1683</v>
      </c>
      <c r="Z8" s="340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66" t="s">
        <v>1686</v>
      </c>
      <c r="Q9" s="530" t="str">
        <f t="shared" ref="Q9:Q14" si="6">B9</f>
        <v>用途</v>
      </c>
      <c r="R9" s="664" t="s">
        <v>14</v>
      </c>
      <c r="S9" s="665">
        <f t="shared" si="0"/>
        <v>100</v>
      </c>
      <c r="T9" s="664" t="s">
        <v>14</v>
      </c>
      <c r="U9" s="665">
        <f t="shared" si="1"/>
        <v>100</v>
      </c>
      <c r="V9" s="664" t="s">
        <v>14</v>
      </c>
      <c r="W9" s="665">
        <f t="shared" si="2"/>
        <v>100</v>
      </c>
      <c r="X9" s="666"/>
      <c r="Y9" s="3265"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66"/>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66"/>
      <c r="Q11" s="530">
        <f t="shared" si="6"/>
        <v>111</v>
      </c>
      <c r="R11" s="664" t="s">
        <v>14</v>
      </c>
      <c r="S11" s="665">
        <f t="shared" si="0"/>
        <v>100</v>
      </c>
      <c r="T11" s="664" t="s">
        <v>14</v>
      </c>
      <c r="U11" s="665">
        <f t="shared" si="1"/>
        <v>100</v>
      </c>
      <c r="V11" s="664" t="s">
        <v>14</v>
      </c>
      <c r="W11" s="665">
        <f t="shared" si="2"/>
        <v>100</v>
      </c>
      <c r="X11" s="666"/>
      <c r="Y11" s="3265"/>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66"/>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66"/>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73" t="s">
        <v>1691</v>
      </c>
      <c r="Q14" s="1263" t="str">
        <f t="shared" si="6"/>
        <v>交通便捷度</v>
      </c>
      <c r="R14" s="667" t="s">
        <v>14</v>
      </c>
      <c r="S14" s="668">
        <f t="shared" si="0"/>
        <v>100</v>
      </c>
      <c r="T14" s="667" t="s">
        <v>14</v>
      </c>
      <c r="U14" s="668">
        <f t="shared" si="1"/>
        <v>100</v>
      </c>
      <c r="V14" s="667" t="s">
        <v>14</v>
      </c>
      <c r="W14" s="668">
        <f t="shared" si="2"/>
        <v>100</v>
      </c>
      <c r="X14" s="1265"/>
      <c r="Y14" s="337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74"/>
      <c r="Q15" s="1263"/>
      <c r="R15" s="667"/>
      <c r="S15" s="668"/>
      <c r="T15" s="667"/>
      <c r="U15" s="668"/>
      <c r="V15" s="667"/>
      <c r="W15" s="668"/>
      <c r="X15" s="1265"/>
      <c r="Y15" s="337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74"/>
      <c r="Q16" s="1263" t="str">
        <f>B16</f>
        <v>公共配套设施</v>
      </c>
      <c r="R16" s="667" t="s">
        <v>14</v>
      </c>
      <c r="S16" s="668">
        <f>F16</f>
        <v>100</v>
      </c>
      <c r="T16" s="667" t="s">
        <v>14</v>
      </c>
      <c r="U16" s="668">
        <f>H16</f>
        <v>100</v>
      </c>
      <c r="V16" s="667" t="s">
        <v>14</v>
      </c>
      <c r="W16" s="668">
        <f>J16</f>
        <v>100</v>
      </c>
      <c r="X16" s="1265"/>
      <c r="Y16" s="337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74"/>
      <c r="Q17" s="1263"/>
      <c r="R17" s="667"/>
      <c r="S17" s="668"/>
      <c r="T17" s="667"/>
      <c r="U17" s="668"/>
      <c r="V17" s="667"/>
      <c r="W17" s="668"/>
      <c r="X17" s="1265"/>
      <c r="Y17" s="337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74"/>
      <c r="Q18" s="1263" t="str">
        <f>B18</f>
        <v>基础设施水平</v>
      </c>
      <c r="R18" s="667" t="s">
        <v>14</v>
      </c>
      <c r="S18" s="668">
        <f>F18</f>
        <v>100</v>
      </c>
      <c r="T18" s="667" t="s">
        <v>14</v>
      </c>
      <c r="U18" s="668">
        <f>H18</f>
        <v>100</v>
      </c>
      <c r="V18" s="667" t="s">
        <v>14</v>
      </c>
      <c r="W18" s="668">
        <f>J18</f>
        <v>100</v>
      </c>
      <c r="X18" s="1265"/>
      <c r="Y18" s="337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74"/>
      <c r="Q19" s="1263"/>
      <c r="R19" s="667"/>
      <c r="S19" s="668"/>
      <c r="T19" s="667"/>
      <c r="U19" s="668"/>
      <c r="V19" s="667"/>
      <c r="W19" s="668"/>
      <c r="X19" s="1265"/>
      <c r="Y19" s="337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74"/>
      <c r="Q20" s="1263" t="str">
        <f>B20</f>
        <v>自然及人文环境</v>
      </c>
      <c r="R20" s="667" t="s">
        <v>14</v>
      </c>
      <c r="S20" s="668">
        <f>F20</f>
        <v>100</v>
      </c>
      <c r="T20" s="667" t="s">
        <v>14</v>
      </c>
      <c r="U20" s="668">
        <f>H20</f>
        <v>100</v>
      </c>
      <c r="V20" s="667" t="s">
        <v>14</v>
      </c>
      <c r="W20" s="668">
        <f>J20</f>
        <v>100</v>
      </c>
      <c r="X20" s="1265"/>
      <c r="Y20" s="337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74"/>
      <c r="Q21" s="1263"/>
      <c r="R21" s="667"/>
      <c r="S21" s="668"/>
      <c r="T21" s="667"/>
      <c r="U21" s="668"/>
      <c r="V21" s="667"/>
      <c r="W21" s="668"/>
      <c r="X21" s="1265"/>
      <c r="Y21" s="337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74"/>
      <c r="Q22" s="1263" t="str">
        <f>B22</f>
        <v>楼层</v>
      </c>
      <c r="R22" s="667" t="s">
        <v>14</v>
      </c>
      <c r="S22" s="668">
        <f>F22</f>
        <v>100</v>
      </c>
      <c r="T22" s="667" t="s">
        <v>14</v>
      </c>
      <c r="U22" s="668">
        <f>H22</f>
        <v>100</v>
      </c>
      <c r="V22" s="667" t="s">
        <v>14</v>
      </c>
      <c r="W22" s="668">
        <f>J22</f>
        <v>100</v>
      </c>
      <c r="X22" s="1265"/>
      <c r="Y22" s="337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74"/>
      <c r="Q23" s="1263">
        <f>B23</f>
        <v>111</v>
      </c>
      <c r="R23" s="667" t="s">
        <v>14</v>
      </c>
      <c r="S23" s="668">
        <f>F23</f>
        <v>100</v>
      </c>
      <c r="T23" s="667" t="s">
        <v>14</v>
      </c>
      <c r="U23" s="668">
        <f>H23</f>
        <v>100</v>
      </c>
      <c r="V23" s="667" t="s">
        <v>14</v>
      </c>
      <c r="W23" s="668">
        <f>J23</f>
        <v>100</v>
      </c>
      <c r="X23" s="1265"/>
      <c r="Y23" s="337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74"/>
      <c r="Q24" s="1263">
        <f t="shared" ref="Q24:Q36" si="11">B24</f>
        <v>111</v>
      </c>
      <c r="R24" s="667" t="s">
        <v>14</v>
      </c>
      <c r="S24" s="668">
        <f>F24</f>
        <v>100</v>
      </c>
      <c r="T24" s="667" t="s">
        <v>14</v>
      </c>
      <c r="U24" s="668">
        <f>H24</f>
        <v>100</v>
      </c>
      <c r="V24" s="667" t="s">
        <v>14</v>
      </c>
      <c r="W24" s="668">
        <f>J24</f>
        <v>100</v>
      </c>
      <c r="X24" s="1265"/>
      <c r="Y24" s="337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74"/>
      <c r="Q25" s="530">
        <f t="shared" si="11"/>
        <v>111</v>
      </c>
      <c r="R25" s="664" t="s">
        <v>14</v>
      </c>
      <c r="S25" s="665">
        <f>F25</f>
        <v>100</v>
      </c>
      <c r="T25" s="664" t="s">
        <v>14</v>
      </c>
      <c r="U25" s="665">
        <f>H25</f>
        <v>100</v>
      </c>
      <c r="V25" s="664" t="s">
        <v>14</v>
      </c>
      <c r="W25" s="665">
        <f>J25</f>
        <v>100</v>
      </c>
      <c r="X25" s="666"/>
      <c r="Y25" s="337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78"/>
      <c r="Q27" s="531" t="str">
        <f t="shared" si="11"/>
        <v>项目停车位配比</v>
      </c>
      <c r="R27" s="669" t="s">
        <v>14</v>
      </c>
      <c r="S27" s="670">
        <f t="shared" si="12"/>
        <v>100</v>
      </c>
      <c r="T27" s="669" t="s">
        <v>14</v>
      </c>
      <c r="U27" s="670">
        <f t="shared" si="13"/>
        <v>100</v>
      </c>
      <c r="V27" s="669" t="s">
        <v>14</v>
      </c>
      <c r="W27" s="670">
        <f t="shared" si="14"/>
        <v>100</v>
      </c>
      <c r="X27" s="671"/>
      <c r="Y27" s="337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78"/>
      <c r="Q28" s="1263" t="str">
        <f t="shared" si="11"/>
        <v>公共部分装修</v>
      </c>
      <c r="R28" s="667" t="s">
        <v>14</v>
      </c>
      <c r="S28" s="668">
        <f t="shared" si="12"/>
        <v>100</v>
      </c>
      <c r="T28" s="667" t="s">
        <v>14</v>
      </c>
      <c r="U28" s="668">
        <f t="shared" si="13"/>
        <v>100</v>
      </c>
      <c r="V28" s="667" t="s">
        <v>14</v>
      </c>
      <c r="W28" s="668">
        <f t="shared" si="14"/>
        <v>100</v>
      </c>
      <c r="X28" s="1265"/>
      <c r="Y28" s="337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78"/>
      <c r="Q29" s="1263" t="str">
        <f t="shared" si="11"/>
        <v>成新率</v>
      </c>
      <c r="R29" s="667" t="s">
        <v>14</v>
      </c>
      <c r="S29" s="668" t="e">
        <f t="shared" si="12"/>
        <v>#N/A</v>
      </c>
      <c r="T29" s="667" t="s">
        <v>14</v>
      </c>
      <c r="U29" s="668" t="e">
        <f t="shared" si="13"/>
        <v>#N/A</v>
      </c>
      <c r="V29" s="667" t="s">
        <v>14</v>
      </c>
      <c r="W29" s="668" t="e">
        <f t="shared" si="14"/>
        <v>#N/A</v>
      </c>
      <c r="X29" s="1265"/>
      <c r="Y29" s="337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78"/>
      <c r="Q30" s="1263" t="str">
        <f t="shared" si="11"/>
        <v>物业等级</v>
      </c>
      <c r="R30" s="667" t="s">
        <v>14</v>
      </c>
      <c r="S30" s="668">
        <f t="shared" si="12"/>
        <v>100</v>
      </c>
      <c r="T30" s="667" t="s">
        <v>14</v>
      </c>
      <c r="U30" s="668">
        <f t="shared" si="13"/>
        <v>100</v>
      </c>
      <c r="V30" s="667" t="s">
        <v>14</v>
      </c>
      <c r="W30" s="668">
        <f t="shared" si="14"/>
        <v>100</v>
      </c>
      <c r="X30" s="1265"/>
      <c r="Y30" s="337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78"/>
      <c r="Q31" s="530" t="str">
        <f t="shared" si="11"/>
        <v>停车位面积</v>
      </c>
      <c r="R31" s="664" t="s">
        <v>14</v>
      </c>
      <c r="S31" s="665" t="e">
        <f t="shared" si="12"/>
        <v>#N/A</v>
      </c>
      <c r="T31" s="664" t="s">
        <v>14</v>
      </c>
      <c r="U31" s="665" t="e">
        <f t="shared" si="13"/>
        <v>#N/A</v>
      </c>
      <c r="V31" s="664" t="s">
        <v>14</v>
      </c>
      <c r="W31" s="665" t="e">
        <f t="shared" si="14"/>
        <v>#N/A</v>
      </c>
      <c r="X31" s="666"/>
      <c r="Y31" s="337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78" t="s">
        <v>1696</v>
      </c>
      <c r="Q32" s="1263" t="str">
        <f t="shared" si="11"/>
        <v>车位类型</v>
      </c>
      <c r="R32" s="667" t="s">
        <v>14</v>
      </c>
      <c r="S32" s="668">
        <f t="shared" si="12"/>
        <v>100</v>
      </c>
      <c r="T32" s="667" t="s">
        <v>14</v>
      </c>
      <c r="U32" s="668">
        <f t="shared" si="13"/>
        <v>100</v>
      </c>
      <c r="V32" s="667" t="s">
        <v>14</v>
      </c>
      <c r="W32" s="668">
        <f t="shared" si="14"/>
        <v>100</v>
      </c>
      <c r="X32" s="1265"/>
      <c r="Y32" s="337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78"/>
      <c r="Q33" s="1263" t="str">
        <f t="shared" si="11"/>
        <v>是否直接入户</v>
      </c>
      <c r="R33" s="667" t="s">
        <v>14</v>
      </c>
      <c r="S33" s="668">
        <f t="shared" si="12"/>
        <v>100</v>
      </c>
      <c r="T33" s="667" t="s">
        <v>14</v>
      </c>
      <c r="U33" s="668">
        <f t="shared" si="13"/>
        <v>100</v>
      </c>
      <c r="V33" s="667" t="s">
        <v>14</v>
      </c>
      <c r="W33" s="668">
        <f t="shared" si="14"/>
        <v>100</v>
      </c>
      <c r="X33" s="1265"/>
      <c r="Y33" s="337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78"/>
      <c r="Q34" s="1263">
        <f t="shared" si="11"/>
        <v>111</v>
      </c>
      <c r="R34" s="667" t="s">
        <v>14</v>
      </c>
      <c r="S34" s="668">
        <f t="shared" si="12"/>
        <v>100</v>
      </c>
      <c r="T34" s="667" t="s">
        <v>14</v>
      </c>
      <c r="U34" s="668">
        <f t="shared" si="13"/>
        <v>100</v>
      </c>
      <c r="V34" s="667" t="s">
        <v>14</v>
      </c>
      <c r="W34" s="668">
        <f t="shared" si="14"/>
        <v>100</v>
      </c>
      <c r="X34" s="1265"/>
      <c r="Y34" s="337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78"/>
      <c r="Q35" s="531">
        <f t="shared" si="11"/>
        <v>111</v>
      </c>
      <c r="R35" s="669" t="s">
        <v>14</v>
      </c>
      <c r="S35" s="670">
        <f t="shared" si="12"/>
        <v>100</v>
      </c>
      <c r="T35" s="669" t="s">
        <v>14</v>
      </c>
      <c r="U35" s="670">
        <f t="shared" si="13"/>
        <v>100</v>
      </c>
      <c r="V35" s="669" t="s">
        <v>14</v>
      </c>
      <c r="W35" s="670">
        <f t="shared" si="14"/>
        <v>100</v>
      </c>
      <c r="X35" s="671"/>
      <c r="Y35" s="337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78"/>
      <c r="Q36" s="1263">
        <f t="shared" si="11"/>
        <v>111</v>
      </c>
      <c r="R36" s="667" t="s">
        <v>14</v>
      </c>
      <c r="S36" s="668">
        <f t="shared" si="12"/>
        <v>100</v>
      </c>
      <c r="T36" s="667" t="s">
        <v>14</v>
      </c>
      <c r="U36" s="668">
        <f t="shared" si="13"/>
        <v>100</v>
      </c>
      <c r="V36" s="667" t="s">
        <v>14</v>
      </c>
      <c r="W36" s="668">
        <f t="shared" si="14"/>
        <v>100</v>
      </c>
      <c r="X36" s="1265"/>
      <c r="Y36" s="3378"/>
      <c r="Z36" s="1264">
        <f t="shared" si="15"/>
        <v>111</v>
      </c>
      <c r="AA36" s="1264">
        <f t="shared" si="3"/>
        <v>1</v>
      </c>
      <c r="AB36" s="1264">
        <f t="shared" si="4"/>
        <v>1</v>
      </c>
      <c r="AC36" s="1264">
        <f t="shared" si="5"/>
        <v>1</v>
      </c>
    </row>
    <row r="37" spans="1:29" ht="14.4">
      <c r="A37" s="416" t="s">
        <v>1844</v>
      </c>
      <c r="B37" s="1821" t="s">
        <v>3349</v>
      </c>
      <c r="C37" s="1081" t="s">
        <v>0</v>
      </c>
      <c r="D37" s="418"/>
      <c r="E37" s="419"/>
      <c r="F37" s="420"/>
      <c r="G37" s="421"/>
      <c r="H37" s="422"/>
      <c r="I37" s="419"/>
      <c r="J37" s="422"/>
      <c r="K37" s="545"/>
      <c r="L37" s="2493"/>
      <c r="M37" s="2486"/>
      <c r="N37" s="2486"/>
      <c r="O37" s="2486"/>
      <c r="P37" s="3366" t="str">
        <f>A37</f>
        <v>成交单价</v>
      </c>
      <c r="Q37" s="3366"/>
      <c r="R37" s="3367">
        <f>E37</f>
        <v>0</v>
      </c>
      <c r="S37" s="3367"/>
      <c r="T37" s="3367">
        <f>G37</f>
        <v>0</v>
      </c>
      <c r="U37" s="3367"/>
      <c r="V37" s="3367">
        <f>I37</f>
        <v>0</v>
      </c>
      <c r="W37" s="3367"/>
      <c r="X37" s="385"/>
      <c r="Y37" s="673"/>
      <c r="Z37" s="385"/>
      <c r="AA37" s="385"/>
      <c r="AB37" s="385"/>
      <c r="AC37" s="385"/>
    </row>
    <row r="38" spans="1:29" ht="15" thickBot="1">
      <c r="A38" s="423" t="s">
        <v>1845</v>
      </c>
      <c r="B38" s="424" t="str">
        <f>B37</f>
        <v>元/平方米</v>
      </c>
      <c r="C38" s="1082" t="e">
        <f>R39</f>
        <v>#DIV/0!</v>
      </c>
      <c r="D38" s="2140" t="s">
        <v>2134</v>
      </c>
      <c r="E38" s="1083" t="e">
        <f>R38</f>
        <v>#DIV/0!</v>
      </c>
      <c r="F38" s="2141"/>
      <c r="G38" s="1082" t="e">
        <f>T38</f>
        <v>#DIV/0!</v>
      </c>
      <c r="H38" s="2141"/>
      <c r="I38" s="1083" t="e">
        <f>V38</f>
        <v>#DIV/0!</v>
      </c>
      <c r="J38" s="2141"/>
      <c r="K38" s="2143">
        <f>F38+H38+J38</f>
        <v>0</v>
      </c>
      <c r="L38" s="2493"/>
      <c r="M38" s="2486"/>
      <c r="N38" s="2486"/>
      <c r="O38" s="2486"/>
      <c r="P38" s="3366" t="str">
        <f>A38</f>
        <v>比较价值（元/平方米）</v>
      </c>
      <c r="Q38" s="3366"/>
      <c r="R38" s="3367" t="e">
        <f>IF(F1="售价",ROUND(PRODUCT(R37,AA7:AA36),0),ROUND(PRODUCT(R37,AA7:AA36),1))</f>
        <v>#DIV/0!</v>
      </c>
      <c r="S38" s="3367"/>
      <c r="T38" s="3367" t="e">
        <f>IF(F1="售价",ROUND(PRODUCT(T37,AB7:AB36),0),ROUND(PRODUCT(T37,AB7:AB36),1))</f>
        <v>#DIV/0!</v>
      </c>
      <c r="U38" s="3367"/>
      <c r="V38" s="3367" t="e">
        <f>IF(F1="售价",ROUND(PRODUCT(V37,AC7:AC36),0),ROUND(PRODUCT(V37,AC7:AC36),1))</f>
        <v>#DIV/0!</v>
      </c>
      <c r="W38" s="336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368" t="str">
        <f>A39</f>
        <v>估价对象XX用房的比较价值（楼面单价，元/平方米）</v>
      </c>
      <c r="Q39" s="3369"/>
      <c r="R39" s="3456" t="e">
        <f>IF(F1="售价",ROUND(IF(D38="简单平均",AVERAGE(R38:W38),R38*F38+T38*H38+V38*J38),0),ROUND(IF(D38="简单平均",AVERAGE(R38:V38),R38*F38+T38*H38+V38*J38),1))</f>
        <v>#DIV/0!</v>
      </c>
      <c r="S39" s="3456"/>
      <c r="T39" s="3456"/>
      <c r="U39" s="3456"/>
      <c r="V39" s="3456"/>
      <c r="W39" s="3456"/>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4" t="s">
        <v>1770</v>
      </c>
      <c r="D4" s="3385"/>
      <c r="E4" s="3386" t="s">
        <v>1771</v>
      </c>
      <c r="F4" s="3387"/>
      <c r="G4" s="3384" t="s">
        <v>1772</v>
      </c>
      <c r="H4" s="3385"/>
      <c r="I4" s="3384" t="s">
        <v>1773</v>
      </c>
      <c r="J4" s="3385"/>
      <c r="K4" s="537" t="s">
        <v>1774</v>
      </c>
      <c r="L4" s="2485"/>
      <c r="M4" s="2486"/>
      <c r="N4" s="2486"/>
      <c r="O4" s="2486"/>
      <c r="P4" s="3388" t="s">
        <v>1775</v>
      </c>
      <c r="Q4" s="3389"/>
      <c r="R4" s="3394" t="s">
        <v>1771</v>
      </c>
      <c r="S4" s="3395"/>
      <c r="T4" s="3394" t="s">
        <v>1772</v>
      </c>
      <c r="U4" s="3395"/>
      <c r="V4" s="3367" t="s">
        <v>1773</v>
      </c>
      <c r="W4" s="3367"/>
      <c r="X4" s="1265"/>
      <c r="Y4" s="3394" t="s">
        <v>1775</v>
      </c>
      <c r="Z4" s="3395"/>
      <c r="AA4" s="3381" t="s">
        <v>1771</v>
      </c>
      <c r="AB4" s="3382" t="s">
        <v>1772</v>
      </c>
      <c r="AC4" s="3381" t="s">
        <v>1773</v>
      </c>
    </row>
    <row r="5" spans="1:29">
      <c r="A5" s="348"/>
      <c r="B5" s="349"/>
      <c r="C5" s="3402" t="s">
        <v>1673</v>
      </c>
      <c r="D5" s="3403"/>
      <c r="E5" s="3409" t="s">
        <v>1674</v>
      </c>
      <c r="F5" s="3410"/>
      <c r="G5" s="3402" t="s">
        <v>1675</v>
      </c>
      <c r="H5" s="3403"/>
      <c r="I5" s="3402" t="s">
        <v>1676</v>
      </c>
      <c r="J5" s="3403"/>
      <c r="K5" s="537"/>
      <c r="L5" s="2485"/>
      <c r="M5" s="2486"/>
      <c r="N5" s="2486"/>
      <c r="O5" s="2486"/>
      <c r="P5" s="3390"/>
      <c r="Q5" s="3391"/>
      <c r="R5" s="3396"/>
      <c r="S5" s="3397"/>
      <c r="T5" s="3396"/>
      <c r="U5" s="3397"/>
      <c r="V5" s="3367"/>
      <c r="W5" s="3367"/>
      <c r="X5" s="1265"/>
      <c r="Y5" s="3396"/>
      <c r="Z5" s="3397"/>
      <c r="AA5" s="3382"/>
      <c r="AB5" s="3382"/>
      <c r="AC5" s="3382"/>
    </row>
    <row r="6" spans="1:29" ht="15" thickBot="1">
      <c r="A6" s="350"/>
      <c r="B6" s="351"/>
      <c r="C6" s="3400" t="s">
        <v>1677</v>
      </c>
      <c r="D6" s="3401"/>
      <c r="E6" s="3407" t="s">
        <v>1677</v>
      </c>
      <c r="F6" s="3408"/>
      <c r="G6" s="3400" t="s">
        <v>1677</v>
      </c>
      <c r="H6" s="3401"/>
      <c r="I6" s="3400" t="s">
        <v>1677</v>
      </c>
      <c r="J6" s="3401"/>
      <c r="K6" s="537" t="s">
        <v>1678</v>
      </c>
      <c r="L6" s="2485"/>
      <c r="M6" s="2486"/>
      <c r="N6" s="2486"/>
      <c r="O6" s="2486"/>
      <c r="P6" s="3392"/>
      <c r="Q6" s="3393"/>
      <c r="R6" s="3396"/>
      <c r="S6" s="3397"/>
      <c r="T6" s="3398"/>
      <c r="U6" s="3399"/>
      <c r="V6" s="3367"/>
      <c r="W6" s="3367"/>
      <c r="X6" s="1265"/>
      <c r="Y6" s="3398"/>
      <c r="Z6" s="3399"/>
      <c r="AA6" s="3383"/>
      <c r="AB6" s="3383"/>
      <c r="AC6" s="3383"/>
    </row>
    <row r="7" spans="1:29" s="102" customFormat="1" ht="15" thickBot="1">
      <c r="A7" s="352" t="s">
        <v>1679</v>
      </c>
      <c r="B7" s="353"/>
      <c r="C7" s="354">
        <f>'数据-取费表'!B2</f>
        <v>45831</v>
      </c>
      <c r="D7" s="355">
        <v>100</v>
      </c>
      <c r="E7" s="356"/>
      <c r="F7" s="357">
        <f>SUMIF(46:46,YEAR(E7)&amp;"-"&amp;MONTH(E7),47:47)</f>
        <v>0</v>
      </c>
      <c r="G7" s="1822"/>
      <c r="H7" s="355">
        <f>SUMIF(46:46,YEAR(G7)&amp;"-"&amp;MONTH(G7),47:47)</f>
        <v>0</v>
      </c>
      <c r="I7" s="356"/>
      <c r="J7" s="355">
        <f>SUMIF(46:46,YEAR(I7)&amp;"-"&amp;MONTH(I7),47:47)</f>
        <v>0</v>
      </c>
      <c r="K7" s="38"/>
      <c r="L7" s="2487"/>
      <c r="M7" s="2439"/>
      <c r="N7" s="2439"/>
      <c r="O7" s="2439"/>
      <c r="P7" s="3404" t="s">
        <v>1680</v>
      </c>
      <c r="Q7" s="3406"/>
      <c r="R7" s="664" t="s">
        <v>14</v>
      </c>
      <c r="S7" s="665">
        <f t="shared" ref="S7:S14" si="0">F7</f>
        <v>0</v>
      </c>
      <c r="T7" s="664" t="s">
        <v>14</v>
      </c>
      <c r="U7" s="665">
        <f t="shared" ref="U7:U14" si="1">H7</f>
        <v>0</v>
      </c>
      <c r="V7" s="664" t="s">
        <v>14</v>
      </c>
      <c r="W7" s="665">
        <f t="shared" ref="W7:W14" si="2">J7</f>
        <v>0</v>
      </c>
      <c r="X7" s="666"/>
      <c r="Y7" s="3404" t="s">
        <v>1680</v>
      </c>
      <c r="Z7" s="340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404" t="s">
        <v>1683</v>
      </c>
      <c r="Q8" s="3405"/>
      <c r="R8" s="664" t="s">
        <v>14</v>
      </c>
      <c r="S8" s="665">
        <f t="shared" si="0"/>
        <v>100</v>
      </c>
      <c r="T8" s="664" t="s">
        <v>14</v>
      </c>
      <c r="U8" s="665">
        <f t="shared" si="1"/>
        <v>100</v>
      </c>
      <c r="V8" s="664" t="s">
        <v>14</v>
      </c>
      <c r="W8" s="665">
        <f t="shared" si="2"/>
        <v>100</v>
      </c>
      <c r="X8" s="666"/>
      <c r="Y8" s="3404" t="s">
        <v>1683</v>
      </c>
      <c r="Z8" s="340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66" t="s">
        <v>1686</v>
      </c>
      <c r="Q9" s="530" t="str">
        <f t="shared" ref="Q9:Q14" si="6">B9</f>
        <v>用途</v>
      </c>
      <c r="R9" s="664" t="s">
        <v>14</v>
      </c>
      <c r="S9" s="665">
        <f t="shared" si="0"/>
        <v>100</v>
      </c>
      <c r="T9" s="664" t="s">
        <v>14</v>
      </c>
      <c r="U9" s="665">
        <f t="shared" si="1"/>
        <v>100</v>
      </c>
      <c r="V9" s="664" t="s">
        <v>14</v>
      </c>
      <c r="W9" s="665">
        <f t="shared" si="2"/>
        <v>100</v>
      </c>
      <c r="X9" s="666"/>
      <c r="Y9" s="3265"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66"/>
      <c r="Q10" s="530" t="str">
        <f t="shared" si="6"/>
        <v>土地使用年限（年）</v>
      </c>
      <c r="R10" s="664" t="s">
        <v>14</v>
      </c>
      <c r="S10" s="665">
        <f t="shared" si="0"/>
        <v>100</v>
      </c>
      <c r="T10" s="664" t="s">
        <v>14</v>
      </c>
      <c r="U10" s="665">
        <f t="shared" si="1"/>
        <v>100</v>
      </c>
      <c r="V10" s="664" t="s">
        <v>14</v>
      </c>
      <c r="W10" s="665">
        <f t="shared" si="2"/>
        <v>100</v>
      </c>
      <c r="X10" s="666"/>
      <c r="Y10" s="3265"/>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66"/>
      <c r="Q11" s="530">
        <f t="shared" si="6"/>
        <v>111</v>
      </c>
      <c r="R11" s="664" t="s">
        <v>14</v>
      </c>
      <c r="S11" s="665">
        <f t="shared" si="0"/>
        <v>100</v>
      </c>
      <c r="T11" s="664" t="s">
        <v>14</v>
      </c>
      <c r="U11" s="665">
        <f t="shared" si="1"/>
        <v>100</v>
      </c>
      <c r="V11" s="664" t="s">
        <v>14</v>
      </c>
      <c r="W11" s="665">
        <f t="shared" si="2"/>
        <v>100</v>
      </c>
      <c r="X11" s="666"/>
      <c r="Y11" s="3265"/>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66"/>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66"/>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73" t="s">
        <v>1691</v>
      </c>
      <c r="Q14" s="1263" t="str">
        <f t="shared" si="6"/>
        <v>交通便捷度</v>
      </c>
      <c r="R14" s="667" t="s">
        <v>14</v>
      </c>
      <c r="S14" s="668">
        <f t="shared" si="0"/>
        <v>100</v>
      </c>
      <c r="T14" s="667" t="s">
        <v>14</v>
      </c>
      <c r="U14" s="668">
        <f t="shared" si="1"/>
        <v>100</v>
      </c>
      <c r="V14" s="667" t="s">
        <v>14</v>
      </c>
      <c r="W14" s="668">
        <f t="shared" si="2"/>
        <v>100</v>
      </c>
      <c r="X14" s="1265"/>
      <c r="Y14" s="337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74"/>
      <c r="Q15" s="1263"/>
      <c r="R15" s="667"/>
      <c r="S15" s="668"/>
      <c r="T15" s="667"/>
      <c r="U15" s="668"/>
      <c r="V15" s="667"/>
      <c r="W15" s="668"/>
      <c r="X15" s="1265"/>
      <c r="Y15" s="337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74"/>
      <c r="Q16" s="1263" t="str">
        <f>B16</f>
        <v>公共配套设施</v>
      </c>
      <c r="R16" s="667" t="s">
        <v>14</v>
      </c>
      <c r="S16" s="668">
        <f>F16</f>
        <v>100</v>
      </c>
      <c r="T16" s="667" t="s">
        <v>14</v>
      </c>
      <c r="U16" s="668">
        <f>H16</f>
        <v>100</v>
      </c>
      <c r="V16" s="667" t="s">
        <v>14</v>
      </c>
      <c r="W16" s="668">
        <f>J16</f>
        <v>100</v>
      </c>
      <c r="X16" s="1265"/>
      <c r="Y16" s="337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74"/>
      <c r="Q17" s="1263"/>
      <c r="R17" s="667"/>
      <c r="S17" s="668"/>
      <c r="T17" s="667"/>
      <c r="U17" s="668"/>
      <c r="V17" s="667"/>
      <c r="W17" s="668"/>
      <c r="X17" s="1265"/>
      <c r="Y17" s="337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74"/>
      <c r="Q18" s="1263" t="str">
        <f>B18</f>
        <v>基础设施水平</v>
      </c>
      <c r="R18" s="667" t="s">
        <v>14</v>
      </c>
      <c r="S18" s="668">
        <f>F18</f>
        <v>100</v>
      </c>
      <c r="T18" s="667" t="s">
        <v>14</v>
      </c>
      <c r="U18" s="668">
        <f>H18</f>
        <v>100</v>
      </c>
      <c r="V18" s="667" t="s">
        <v>14</v>
      </c>
      <c r="W18" s="668">
        <f>J18</f>
        <v>100</v>
      </c>
      <c r="X18" s="1265"/>
      <c r="Y18" s="337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74"/>
      <c r="Q19" s="1263"/>
      <c r="R19" s="667"/>
      <c r="S19" s="668"/>
      <c r="T19" s="667"/>
      <c r="U19" s="668"/>
      <c r="V19" s="667"/>
      <c r="W19" s="668"/>
      <c r="X19" s="1265"/>
      <c r="Y19" s="337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74"/>
      <c r="Q20" s="1263" t="str">
        <f>B20</f>
        <v>自然及人文环境</v>
      </c>
      <c r="R20" s="667" t="s">
        <v>14</v>
      </c>
      <c r="S20" s="668">
        <f>F20</f>
        <v>100</v>
      </c>
      <c r="T20" s="667" t="s">
        <v>14</v>
      </c>
      <c r="U20" s="668">
        <f>H20</f>
        <v>100</v>
      </c>
      <c r="V20" s="667" t="s">
        <v>14</v>
      </c>
      <c r="W20" s="668">
        <f>J20</f>
        <v>100</v>
      </c>
      <c r="X20" s="1265"/>
      <c r="Y20" s="337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74"/>
      <c r="Q21" s="1263"/>
      <c r="R21" s="667"/>
      <c r="S21" s="668"/>
      <c r="T21" s="667"/>
      <c r="U21" s="668"/>
      <c r="V21" s="667"/>
      <c r="W21" s="668"/>
      <c r="X21" s="1265"/>
      <c r="Y21" s="337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74"/>
      <c r="Q22" s="1263" t="str">
        <f>B22</f>
        <v>楼层</v>
      </c>
      <c r="R22" s="667" t="s">
        <v>14</v>
      </c>
      <c r="S22" s="668">
        <f>F22</f>
        <v>100</v>
      </c>
      <c r="T22" s="667" t="s">
        <v>14</v>
      </c>
      <c r="U22" s="668">
        <f>H22</f>
        <v>100</v>
      </c>
      <c r="V22" s="667" t="s">
        <v>14</v>
      </c>
      <c r="W22" s="668">
        <f>J22</f>
        <v>100</v>
      </c>
      <c r="X22" s="1265"/>
      <c r="Y22" s="337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74"/>
      <c r="Q23" s="1263">
        <f>B23</f>
        <v>111</v>
      </c>
      <c r="R23" s="667" t="s">
        <v>14</v>
      </c>
      <c r="S23" s="668">
        <f>F23</f>
        <v>100</v>
      </c>
      <c r="T23" s="667" t="s">
        <v>14</v>
      </c>
      <c r="U23" s="668">
        <f>H23</f>
        <v>100</v>
      </c>
      <c r="V23" s="667" t="s">
        <v>14</v>
      </c>
      <c r="W23" s="668">
        <f>J23</f>
        <v>100</v>
      </c>
      <c r="X23" s="1265"/>
      <c r="Y23" s="337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74"/>
      <c r="Q24" s="1263">
        <f t="shared" ref="Q24:Q34" si="11">B24</f>
        <v>111</v>
      </c>
      <c r="R24" s="667" t="s">
        <v>14</v>
      </c>
      <c r="S24" s="668">
        <f>F24</f>
        <v>100</v>
      </c>
      <c r="T24" s="667" t="s">
        <v>14</v>
      </c>
      <c r="U24" s="668">
        <f>H24</f>
        <v>100</v>
      </c>
      <c r="V24" s="667" t="s">
        <v>14</v>
      </c>
      <c r="W24" s="668">
        <f>J24</f>
        <v>100</v>
      </c>
      <c r="X24" s="1265"/>
      <c r="Y24" s="337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74"/>
      <c r="Q25" s="530">
        <f t="shared" si="11"/>
        <v>111</v>
      </c>
      <c r="R25" s="664" t="s">
        <v>14</v>
      </c>
      <c r="S25" s="665">
        <f>F25</f>
        <v>100</v>
      </c>
      <c r="T25" s="664" t="s">
        <v>14</v>
      </c>
      <c r="U25" s="665">
        <f>H25</f>
        <v>100</v>
      </c>
      <c r="V25" s="664" t="s">
        <v>14</v>
      </c>
      <c r="W25" s="665">
        <f>J25</f>
        <v>100</v>
      </c>
      <c r="X25" s="666"/>
      <c r="Y25" s="337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78"/>
      <c r="Q27" s="531" t="str">
        <f t="shared" si="11"/>
        <v>成新率</v>
      </c>
      <c r="R27" s="669" t="s">
        <v>14</v>
      </c>
      <c r="S27" s="670" t="e">
        <f t="shared" si="12"/>
        <v>#N/A</v>
      </c>
      <c r="T27" s="669" t="s">
        <v>14</v>
      </c>
      <c r="U27" s="670" t="e">
        <f t="shared" si="13"/>
        <v>#N/A</v>
      </c>
      <c r="V27" s="669" t="s">
        <v>14</v>
      </c>
      <c r="W27" s="670" t="e">
        <f t="shared" si="14"/>
        <v>#N/A</v>
      </c>
      <c r="X27" s="671"/>
      <c r="Y27" s="337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78"/>
      <c r="Q28" s="1263" t="str">
        <f t="shared" si="11"/>
        <v>物业等级</v>
      </c>
      <c r="R28" s="667" t="s">
        <v>14</v>
      </c>
      <c r="S28" s="668">
        <f t="shared" si="12"/>
        <v>100</v>
      </c>
      <c r="T28" s="667" t="s">
        <v>14</v>
      </c>
      <c r="U28" s="668">
        <f t="shared" si="13"/>
        <v>100</v>
      </c>
      <c r="V28" s="667" t="s">
        <v>14</v>
      </c>
      <c r="W28" s="668">
        <f t="shared" si="14"/>
        <v>100</v>
      </c>
      <c r="X28" s="1265"/>
      <c r="Y28" s="337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78"/>
      <c r="Q29" s="1263" t="str">
        <f t="shared" si="11"/>
        <v>有无电梯</v>
      </c>
      <c r="R29" s="667" t="s">
        <v>14</v>
      </c>
      <c r="S29" s="668">
        <f t="shared" si="12"/>
        <v>100</v>
      </c>
      <c r="T29" s="667" t="s">
        <v>14</v>
      </c>
      <c r="U29" s="668">
        <f t="shared" si="13"/>
        <v>100</v>
      </c>
      <c r="V29" s="667" t="s">
        <v>14</v>
      </c>
      <c r="W29" s="668">
        <f t="shared" si="14"/>
        <v>100</v>
      </c>
      <c r="X29" s="1265"/>
      <c r="Y29" s="337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78"/>
      <c r="Q30" s="1263" t="str">
        <f t="shared" si="11"/>
        <v>建筑面积</v>
      </c>
      <c r="R30" s="667" t="s">
        <v>14</v>
      </c>
      <c r="S30" s="668" t="e">
        <f t="shared" si="12"/>
        <v>#N/A</v>
      </c>
      <c r="T30" s="667" t="s">
        <v>14</v>
      </c>
      <c r="U30" s="668" t="e">
        <f t="shared" si="13"/>
        <v>#N/A</v>
      </c>
      <c r="V30" s="667" t="s">
        <v>14</v>
      </c>
      <c r="W30" s="668" t="e">
        <f t="shared" si="14"/>
        <v>#N/A</v>
      </c>
      <c r="X30" s="1265"/>
      <c r="Y30" s="337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78"/>
      <c r="Q31" s="530" t="str">
        <f t="shared" si="11"/>
        <v>是否封闭</v>
      </c>
      <c r="R31" s="664" t="s">
        <v>14</v>
      </c>
      <c r="S31" s="665">
        <f t="shared" si="12"/>
        <v>100</v>
      </c>
      <c r="T31" s="664" t="s">
        <v>14</v>
      </c>
      <c r="U31" s="665">
        <f t="shared" si="13"/>
        <v>100</v>
      </c>
      <c r="V31" s="664" t="s">
        <v>14</v>
      </c>
      <c r="W31" s="665">
        <f t="shared" si="14"/>
        <v>100</v>
      </c>
      <c r="X31" s="666"/>
      <c r="Y31" s="337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78" t="s">
        <v>1696</v>
      </c>
      <c r="Q32" s="1263">
        <f t="shared" si="11"/>
        <v>111</v>
      </c>
      <c r="R32" s="667" t="s">
        <v>14</v>
      </c>
      <c r="S32" s="668">
        <f t="shared" si="12"/>
        <v>100</v>
      </c>
      <c r="T32" s="667" t="s">
        <v>14</v>
      </c>
      <c r="U32" s="668">
        <f t="shared" si="13"/>
        <v>100</v>
      </c>
      <c r="V32" s="667" t="s">
        <v>14</v>
      </c>
      <c r="W32" s="668">
        <f t="shared" si="14"/>
        <v>100</v>
      </c>
      <c r="X32" s="1265"/>
      <c r="Y32" s="337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78"/>
      <c r="Q33" s="1263">
        <f t="shared" si="11"/>
        <v>111</v>
      </c>
      <c r="R33" s="667" t="s">
        <v>14</v>
      </c>
      <c r="S33" s="668">
        <f t="shared" si="12"/>
        <v>100</v>
      </c>
      <c r="T33" s="667" t="s">
        <v>14</v>
      </c>
      <c r="U33" s="668">
        <f t="shared" si="13"/>
        <v>100</v>
      </c>
      <c r="V33" s="667" t="s">
        <v>14</v>
      </c>
      <c r="W33" s="668">
        <f t="shared" si="14"/>
        <v>100</v>
      </c>
      <c r="X33" s="1265"/>
      <c r="Y33" s="337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78"/>
      <c r="Q34" s="1263">
        <f t="shared" si="11"/>
        <v>111</v>
      </c>
      <c r="R34" s="667" t="s">
        <v>14</v>
      </c>
      <c r="S34" s="668">
        <f t="shared" si="12"/>
        <v>100</v>
      </c>
      <c r="T34" s="667" t="s">
        <v>14</v>
      </c>
      <c r="U34" s="668">
        <f t="shared" si="13"/>
        <v>100</v>
      </c>
      <c r="V34" s="667" t="s">
        <v>14</v>
      </c>
      <c r="W34" s="668">
        <f t="shared" si="14"/>
        <v>100</v>
      </c>
      <c r="X34" s="1265"/>
      <c r="Y34" s="337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66" t="str">
        <f>A35</f>
        <v>成交单价（元/平方米）</v>
      </c>
      <c r="Q35" s="3366"/>
      <c r="R35" s="3367">
        <f>E35</f>
        <v>0</v>
      </c>
      <c r="S35" s="3367"/>
      <c r="T35" s="3367">
        <f>G35</f>
        <v>0</v>
      </c>
      <c r="U35" s="3367"/>
      <c r="V35" s="3367">
        <f>I35</f>
        <v>0</v>
      </c>
      <c r="W35" s="3367"/>
      <c r="X35" s="385"/>
      <c r="Y35" s="673"/>
      <c r="Z35" s="385"/>
      <c r="AA35" s="385"/>
      <c r="AB35" s="385"/>
      <c r="AC35" s="385"/>
    </row>
    <row r="36" spans="1:30" ht="15" thickBot="1">
      <c r="A36" s="423" t="s">
        <v>1793</v>
      </c>
      <c r="B36" s="424"/>
      <c r="C36" s="1082" t="e">
        <f>R37</f>
        <v>#DIV/0!</v>
      </c>
      <c r="D36" s="2140" t="s">
        <v>2134</v>
      </c>
      <c r="E36" s="1083" t="e">
        <f>R36</f>
        <v>#DIV/0!</v>
      </c>
      <c r="F36" s="2141"/>
      <c r="G36" s="1082" t="e">
        <f>T36</f>
        <v>#DIV/0!</v>
      </c>
      <c r="H36" s="2141"/>
      <c r="I36" s="1083" t="e">
        <f>V36</f>
        <v>#DIV/0!</v>
      </c>
      <c r="J36" s="2141"/>
      <c r="K36" s="2143">
        <f>F36+H36+J36</f>
        <v>0</v>
      </c>
      <c r="L36" s="2493"/>
      <c r="M36" s="2486"/>
      <c r="N36" s="2486"/>
      <c r="O36" s="2486"/>
      <c r="P36" s="3366" t="str">
        <f>A36</f>
        <v>比较价值（元/平方米）</v>
      </c>
      <c r="Q36" s="3366"/>
      <c r="R36" s="3367" t="e">
        <f>IF(F1="售价",ROUND(PRODUCT(R35,AA7:AA34),0),ROUND(PRODUCT(R35,AA7:AA34),1))</f>
        <v>#DIV/0!</v>
      </c>
      <c r="S36" s="3367"/>
      <c r="T36" s="3367" t="e">
        <f>IF(F1="售价",ROUND(PRODUCT(T35,AB7:AB34),0),ROUND(PRODUCT(T35,AB7:AB34),1))</f>
        <v>#DIV/0!</v>
      </c>
      <c r="U36" s="3367"/>
      <c r="V36" s="3367" t="e">
        <f>IF(F1="售价",ROUND(PRODUCT(V35,AC7:AC34),0),ROUND(PRODUCT(V35,AC7:AC34),1))</f>
        <v>#DIV/0!</v>
      </c>
      <c r="W36" s="336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368" t="str">
        <f>A37</f>
        <v>估价对象XX用房的比较价值（楼面单价，元/平方米）</v>
      </c>
      <c r="Q37" s="3369"/>
      <c r="R37" s="3456" t="e">
        <f>IF(F1="售价",ROUND(IF(D36="简单平均",AVERAGE(R36:W36),R36*F36+T36*H36+V36*J36),0),ROUND(IF(D36="简单平均",AVERAGE(R36:V36),R36*F36+T36*H36+V36*J36),1))</f>
        <v>#DIV/0!</v>
      </c>
      <c r="S37" s="3456"/>
      <c r="T37" s="3456"/>
      <c r="U37" s="3456"/>
      <c r="V37" s="3456"/>
      <c r="W37" s="3456"/>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4" t="s">
        <v>1770</v>
      </c>
      <c r="D4" s="3385"/>
      <c r="E4" s="3386" t="s">
        <v>1771</v>
      </c>
      <c r="F4" s="3387"/>
      <c r="G4" s="3384" t="s">
        <v>1772</v>
      </c>
      <c r="H4" s="3385"/>
      <c r="I4" s="3384" t="s">
        <v>1773</v>
      </c>
      <c r="J4" s="3385"/>
      <c r="K4" s="537" t="s">
        <v>1774</v>
      </c>
      <c r="L4" s="2485"/>
      <c r="M4" s="2486"/>
      <c r="N4" s="2486"/>
      <c r="O4" s="2486"/>
      <c r="P4" s="3388" t="s">
        <v>1775</v>
      </c>
      <c r="Q4" s="3389"/>
      <c r="R4" s="3394" t="s">
        <v>1771</v>
      </c>
      <c r="S4" s="3395"/>
      <c r="T4" s="3394" t="s">
        <v>1772</v>
      </c>
      <c r="U4" s="3395"/>
      <c r="V4" s="3367" t="s">
        <v>1773</v>
      </c>
      <c r="W4" s="3367"/>
      <c r="X4" s="1265"/>
      <c r="Y4" s="3394" t="s">
        <v>1775</v>
      </c>
      <c r="Z4" s="3395"/>
      <c r="AA4" s="3381" t="s">
        <v>1771</v>
      </c>
      <c r="AB4" s="3382" t="s">
        <v>1772</v>
      </c>
      <c r="AC4" s="3381" t="s">
        <v>1773</v>
      </c>
    </row>
    <row r="5" spans="1:29">
      <c r="A5" s="348"/>
      <c r="B5" s="349"/>
      <c r="C5" s="3402" t="s">
        <v>1673</v>
      </c>
      <c r="D5" s="3403"/>
      <c r="E5" s="3409" t="s">
        <v>1674</v>
      </c>
      <c r="F5" s="3410"/>
      <c r="G5" s="3402" t="s">
        <v>1675</v>
      </c>
      <c r="H5" s="3403"/>
      <c r="I5" s="3402" t="s">
        <v>1676</v>
      </c>
      <c r="J5" s="3403"/>
      <c r="K5" s="537"/>
      <c r="L5" s="2485"/>
      <c r="M5" s="2486"/>
      <c r="N5" s="2486"/>
      <c r="O5" s="2486"/>
      <c r="P5" s="3390"/>
      <c r="Q5" s="3391"/>
      <c r="R5" s="3396"/>
      <c r="S5" s="3397"/>
      <c r="T5" s="3396"/>
      <c r="U5" s="3397"/>
      <c r="V5" s="3367"/>
      <c r="W5" s="3367"/>
      <c r="X5" s="1265"/>
      <c r="Y5" s="3396"/>
      <c r="Z5" s="3397"/>
      <c r="AA5" s="3382"/>
      <c r="AB5" s="3382"/>
      <c r="AC5" s="3382"/>
    </row>
    <row r="6" spans="1:29" ht="15" thickBot="1">
      <c r="A6" s="350"/>
      <c r="B6" s="351"/>
      <c r="C6" s="3400" t="s">
        <v>1677</v>
      </c>
      <c r="D6" s="3401"/>
      <c r="E6" s="3407" t="s">
        <v>1677</v>
      </c>
      <c r="F6" s="3408"/>
      <c r="G6" s="3400" t="s">
        <v>1677</v>
      </c>
      <c r="H6" s="3401"/>
      <c r="I6" s="3400" t="s">
        <v>1677</v>
      </c>
      <c r="J6" s="3401"/>
      <c r="K6" s="537" t="s">
        <v>1678</v>
      </c>
      <c r="L6" s="2485"/>
      <c r="M6" s="2486"/>
      <c r="N6" s="2486"/>
      <c r="O6" s="2486"/>
      <c r="P6" s="3392"/>
      <c r="Q6" s="3393"/>
      <c r="R6" s="3396"/>
      <c r="S6" s="3397"/>
      <c r="T6" s="3398"/>
      <c r="U6" s="3399"/>
      <c r="V6" s="3367"/>
      <c r="W6" s="3367"/>
      <c r="X6" s="1265"/>
      <c r="Y6" s="3398"/>
      <c r="Z6" s="3399"/>
      <c r="AA6" s="3383"/>
      <c r="AB6" s="3383"/>
      <c r="AC6" s="3383"/>
    </row>
    <row r="7" spans="1:29" s="102" customFormat="1" ht="15" thickBot="1">
      <c r="A7" s="352" t="s">
        <v>1679</v>
      </c>
      <c r="B7" s="353"/>
      <c r="C7" s="354">
        <f>'数据-取费表'!B2</f>
        <v>45831</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404"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404" t="s">
        <v>1683</v>
      </c>
      <c r="Q8" s="3405"/>
      <c r="R8" s="664" t="s">
        <v>14</v>
      </c>
      <c r="S8" s="665">
        <f t="shared" si="0"/>
        <v>0</v>
      </c>
      <c r="T8" s="664" t="s">
        <v>14</v>
      </c>
      <c r="U8" s="665">
        <f t="shared" si="1"/>
        <v>0</v>
      </c>
      <c r="V8" s="664" t="s">
        <v>14</v>
      </c>
      <c r="W8" s="665">
        <f t="shared" si="2"/>
        <v>0</v>
      </c>
      <c r="X8" s="666"/>
      <c r="Y8" s="3404" t="s">
        <v>1683</v>
      </c>
      <c r="Z8" s="3405"/>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66"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148</v>
      </c>
      <c r="G10" s="402"/>
      <c r="H10" s="119">
        <f>ROUND(100/'数据-取费表'!G16,0)</f>
        <v>148</v>
      </c>
      <c r="I10" s="402"/>
      <c r="J10" s="119">
        <f>ROUND(100/'数据-取费表'!G16,0)</f>
        <v>148</v>
      </c>
      <c r="K10" s="592"/>
      <c r="L10" s="2488"/>
      <c r="M10" s="2489"/>
      <c r="N10" s="2489"/>
      <c r="O10" s="2540"/>
      <c r="P10" s="3366"/>
      <c r="Q10" s="530" t="str">
        <f t="shared" si="6"/>
        <v>土地使用年限（年）</v>
      </c>
      <c r="R10" s="664" t="s">
        <v>14</v>
      </c>
      <c r="S10" s="665">
        <f t="shared" si="0"/>
        <v>148</v>
      </c>
      <c r="T10" s="664" t="s">
        <v>14</v>
      </c>
      <c r="U10" s="665">
        <f t="shared" si="1"/>
        <v>148</v>
      </c>
      <c r="V10" s="664" t="s">
        <v>14</v>
      </c>
      <c r="W10" s="665">
        <f t="shared" si="2"/>
        <v>148</v>
      </c>
      <c r="X10" s="666"/>
      <c r="Y10" s="3265"/>
      <c r="Z10" s="50" t="str">
        <f t="shared" si="7"/>
        <v>土地使用年限（年）</v>
      </c>
      <c r="AA10" s="50">
        <f t="shared" si="3"/>
        <v>0.67567567567567566</v>
      </c>
      <c r="AB10" s="50">
        <f t="shared" si="4"/>
        <v>0.67567567567567566</v>
      </c>
      <c r="AC10" s="50">
        <f t="shared" si="5"/>
        <v>0.67567567567567566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66"/>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66"/>
      <c r="Q12" s="530" t="str">
        <f t="shared" si="6"/>
        <v>配建</v>
      </c>
      <c r="R12" s="664" t="s">
        <v>14</v>
      </c>
      <c r="S12" s="665">
        <f t="shared" si="0"/>
        <v>100</v>
      </c>
      <c r="T12" s="664" t="s">
        <v>14</v>
      </c>
      <c r="U12" s="665">
        <f t="shared" si="1"/>
        <v>100</v>
      </c>
      <c r="V12" s="664" t="s">
        <v>14</v>
      </c>
      <c r="W12" s="665">
        <f t="shared" si="2"/>
        <v>100</v>
      </c>
      <c r="X12" s="666"/>
      <c r="Y12" s="3265"/>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66"/>
      <c r="Q13" s="530">
        <f t="shared" si="6"/>
        <v>111</v>
      </c>
      <c r="R13" s="664" t="s">
        <v>14</v>
      </c>
      <c r="S13" s="665">
        <f t="shared" si="0"/>
        <v>100</v>
      </c>
      <c r="T13" s="664" t="s">
        <v>14</v>
      </c>
      <c r="U13" s="665">
        <f t="shared" si="1"/>
        <v>100</v>
      </c>
      <c r="V13" s="664" t="s">
        <v>14</v>
      </c>
      <c r="W13" s="665">
        <f t="shared" si="2"/>
        <v>100</v>
      </c>
      <c r="X13" s="666"/>
      <c r="Y13" s="3265"/>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66"/>
      <c r="Q14" s="530">
        <f t="shared" si="6"/>
        <v>111</v>
      </c>
      <c r="R14" s="664" t="s">
        <v>14</v>
      </c>
      <c r="S14" s="665">
        <f t="shared" si="0"/>
        <v>100</v>
      </c>
      <c r="T14" s="664" t="s">
        <v>14</v>
      </c>
      <c r="U14" s="665">
        <f t="shared" si="1"/>
        <v>100</v>
      </c>
      <c r="V14" s="664" t="s">
        <v>14</v>
      </c>
      <c r="W14" s="665">
        <f t="shared" si="2"/>
        <v>100</v>
      </c>
      <c r="X14" s="666"/>
      <c r="Y14" s="3265"/>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73" t="s">
        <v>1691</v>
      </c>
      <c r="Q15" s="1263" t="str">
        <f t="shared" si="6"/>
        <v>居住社区成熟度</v>
      </c>
      <c r="R15" s="667" t="s">
        <v>14</v>
      </c>
      <c r="S15" s="668">
        <f t="shared" si="0"/>
        <v>100</v>
      </c>
      <c r="T15" s="667" t="s">
        <v>14</v>
      </c>
      <c r="U15" s="668">
        <f t="shared" si="1"/>
        <v>100</v>
      </c>
      <c r="V15" s="667" t="s">
        <v>14</v>
      </c>
      <c r="W15" s="668">
        <f t="shared" si="2"/>
        <v>100</v>
      </c>
      <c r="X15" s="1265"/>
      <c r="Y15" s="337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74"/>
      <c r="Q16" s="1263"/>
      <c r="R16" s="667"/>
      <c r="S16" s="668"/>
      <c r="T16" s="667"/>
      <c r="U16" s="668"/>
      <c r="V16" s="667"/>
      <c r="W16" s="668"/>
      <c r="X16" s="1265"/>
      <c r="Y16" s="337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74"/>
      <c r="Q17" s="1263" t="str">
        <f>B17</f>
        <v>商业繁华度</v>
      </c>
      <c r="R17" s="667" t="s">
        <v>14</v>
      </c>
      <c r="S17" s="668">
        <f>F17</f>
        <v>100</v>
      </c>
      <c r="T17" s="667" t="s">
        <v>14</v>
      </c>
      <c r="U17" s="668">
        <f>H17</f>
        <v>100</v>
      </c>
      <c r="V17" s="667" t="s">
        <v>14</v>
      </c>
      <c r="W17" s="668">
        <f>J17</f>
        <v>100</v>
      </c>
      <c r="X17" s="1265"/>
      <c r="Y17" s="337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74"/>
      <c r="Q18" s="1263"/>
      <c r="R18" s="667"/>
      <c r="S18" s="668"/>
      <c r="T18" s="667"/>
      <c r="U18" s="668"/>
      <c r="V18" s="667"/>
      <c r="W18" s="668"/>
      <c r="X18" s="1265"/>
      <c r="Y18" s="337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74"/>
      <c r="Q19" s="1263" t="str">
        <f>B19</f>
        <v>办公集聚程度</v>
      </c>
      <c r="R19" s="667" t="s">
        <v>14</v>
      </c>
      <c r="S19" s="668">
        <f>F19</f>
        <v>100</v>
      </c>
      <c r="T19" s="667" t="s">
        <v>14</v>
      </c>
      <c r="U19" s="668">
        <f>H19</f>
        <v>100</v>
      </c>
      <c r="V19" s="667" t="s">
        <v>14</v>
      </c>
      <c r="W19" s="668">
        <f>J19</f>
        <v>100</v>
      </c>
      <c r="X19" s="1265"/>
      <c r="Y19" s="337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74"/>
      <c r="Q20" s="1263"/>
      <c r="R20" s="667"/>
      <c r="S20" s="668"/>
      <c r="T20" s="667"/>
      <c r="U20" s="668"/>
      <c r="V20" s="667"/>
      <c r="W20" s="668"/>
      <c r="X20" s="1265"/>
      <c r="Y20" s="337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74"/>
      <c r="Q21" s="1263" t="str">
        <f>B21</f>
        <v>交通便捷度</v>
      </c>
      <c r="R21" s="667" t="s">
        <v>14</v>
      </c>
      <c r="S21" s="668">
        <f>F21</f>
        <v>100</v>
      </c>
      <c r="T21" s="667" t="s">
        <v>14</v>
      </c>
      <c r="U21" s="668">
        <f>H21</f>
        <v>100</v>
      </c>
      <c r="V21" s="667" t="s">
        <v>14</v>
      </c>
      <c r="W21" s="668">
        <f>J21</f>
        <v>100</v>
      </c>
      <c r="X21" s="1265"/>
      <c r="Y21" s="337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74"/>
      <c r="Q22" s="1263"/>
      <c r="R22" s="667"/>
      <c r="S22" s="668"/>
      <c r="T22" s="667"/>
      <c r="U22" s="668"/>
      <c r="V22" s="667"/>
      <c r="W22" s="668"/>
      <c r="X22" s="1265"/>
      <c r="Y22" s="337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74"/>
      <c r="Q23" s="1263" t="str">
        <f t="shared" ref="Q23:Q37" si="8">B23</f>
        <v>区域土地利用方向</v>
      </c>
      <c r="R23" s="667" t="s">
        <v>14</v>
      </c>
      <c r="S23" s="668">
        <f>F23</f>
        <v>100</v>
      </c>
      <c r="T23" s="667" t="s">
        <v>14</v>
      </c>
      <c r="U23" s="668">
        <f>H23</f>
        <v>100</v>
      </c>
      <c r="V23" s="667" t="s">
        <v>14</v>
      </c>
      <c r="W23" s="668">
        <f>J23</f>
        <v>100</v>
      </c>
      <c r="X23" s="1265"/>
      <c r="Y23" s="337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74"/>
      <c r="Q24" s="1263"/>
      <c r="R24" s="667"/>
      <c r="S24" s="668"/>
      <c r="T24" s="667"/>
      <c r="U24" s="668"/>
      <c r="V24" s="667"/>
      <c r="W24" s="668"/>
      <c r="X24" s="1265"/>
      <c r="Y24" s="337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74"/>
      <c r="Q25" s="1263" t="str">
        <f t="shared" si="8"/>
        <v>自然及人文环境状况</v>
      </c>
      <c r="R25" s="667" t="s">
        <v>14</v>
      </c>
      <c r="S25" s="668">
        <f>F25</f>
        <v>100</v>
      </c>
      <c r="T25" s="667" t="s">
        <v>14</v>
      </c>
      <c r="U25" s="668">
        <f>H25</f>
        <v>100</v>
      </c>
      <c r="V25" s="667" t="s">
        <v>14</v>
      </c>
      <c r="W25" s="668">
        <f>J25</f>
        <v>100</v>
      </c>
      <c r="X25" s="1265"/>
      <c r="Y25" s="337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74"/>
      <c r="Q26" s="1263"/>
      <c r="R26" s="667"/>
      <c r="S26" s="668"/>
      <c r="T26" s="667"/>
      <c r="U26" s="668"/>
      <c r="V26" s="667"/>
      <c r="W26" s="668"/>
      <c r="X26" s="1265"/>
      <c r="Y26" s="337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74"/>
      <c r="Q27" s="530" t="str">
        <f t="shared" si="8"/>
        <v>公共配套设施</v>
      </c>
      <c r="R27" s="664" t="s">
        <v>14</v>
      </c>
      <c r="S27" s="665">
        <f>F27</f>
        <v>100</v>
      </c>
      <c r="T27" s="664" t="s">
        <v>14</v>
      </c>
      <c r="U27" s="665">
        <f>H27</f>
        <v>100</v>
      </c>
      <c r="V27" s="664" t="s">
        <v>14</v>
      </c>
      <c r="W27" s="665">
        <f>J27</f>
        <v>100</v>
      </c>
      <c r="X27" s="666"/>
      <c r="Y27" s="337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74"/>
      <c r="Q28" s="530"/>
      <c r="R28" s="664"/>
      <c r="S28" s="665"/>
      <c r="T28" s="664"/>
      <c r="U28" s="665"/>
      <c r="V28" s="664"/>
      <c r="W28" s="665"/>
      <c r="X28" s="666"/>
      <c r="Y28" s="337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74"/>
      <c r="Q29" s="530" t="str">
        <f t="shared" ref="Q29" si="9">B29</f>
        <v>基础设施水平</v>
      </c>
      <c r="R29" s="664" t="s">
        <v>14</v>
      </c>
      <c r="S29" s="665">
        <f>F29</f>
        <v>100</v>
      </c>
      <c r="T29" s="664" t="s">
        <v>14</v>
      </c>
      <c r="U29" s="665">
        <f>H29</f>
        <v>100</v>
      </c>
      <c r="V29" s="664" t="s">
        <v>14</v>
      </c>
      <c r="W29" s="665">
        <f>J29</f>
        <v>100</v>
      </c>
      <c r="X29" s="666"/>
      <c r="Y29" s="337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74"/>
      <c r="Q30" s="530"/>
      <c r="R30" s="664"/>
      <c r="S30" s="665"/>
      <c r="T30" s="664"/>
      <c r="U30" s="665"/>
      <c r="V30" s="664"/>
      <c r="W30" s="665"/>
      <c r="X30" s="666"/>
      <c r="Y30" s="337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7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74"/>
      <c r="Q32" s="1263" t="str">
        <f t="shared" si="8"/>
        <v>毗邻道路的类型与等级</v>
      </c>
      <c r="R32" s="667" t="s">
        <v>14</v>
      </c>
      <c r="S32" s="668">
        <f t="shared" si="10"/>
        <v>100</v>
      </c>
      <c r="T32" s="667" t="s">
        <v>14</v>
      </c>
      <c r="U32" s="668">
        <f t="shared" si="11"/>
        <v>100</v>
      </c>
      <c r="V32" s="667" t="s">
        <v>14</v>
      </c>
      <c r="W32" s="668">
        <f t="shared" si="12"/>
        <v>100</v>
      </c>
      <c r="X32" s="1265"/>
      <c r="Y32" s="337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74"/>
      <c r="Q33" s="1263"/>
      <c r="R33" s="667"/>
      <c r="S33" s="668"/>
      <c r="T33" s="667"/>
      <c r="U33" s="668"/>
      <c r="V33" s="667"/>
      <c r="W33" s="668"/>
      <c r="X33" s="1265"/>
      <c r="Y33" s="337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74"/>
      <c r="Q34" s="1263" t="str">
        <f t="shared" si="8"/>
        <v>土地级别</v>
      </c>
      <c r="R34" s="667" t="s">
        <v>14</v>
      </c>
      <c r="S34" s="668">
        <f t="shared" si="10"/>
        <v>100</v>
      </c>
      <c r="T34" s="667" t="s">
        <v>14</v>
      </c>
      <c r="U34" s="668">
        <f t="shared" si="11"/>
        <v>100</v>
      </c>
      <c r="V34" s="667" t="s">
        <v>14</v>
      </c>
      <c r="W34" s="668">
        <f t="shared" si="12"/>
        <v>100</v>
      </c>
      <c r="X34" s="1265"/>
      <c r="Y34" s="337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74"/>
      <c r="Q35" s="1263">
        <f t="shared" si="8"/>
        <v>111</v>
      </c>
      <c r="R35" s="667" t="s">
        <v>14</v>
      </c>
      <c r="S35" s="668">
        <f t="shared" si="10"/>
        <v>100</v>
      </c>
      <c r="T35" s="667" t="s">
        <v>14</v>
      </c>
      <c r="U35" s="668">
        <f t="shared" si="11"/>
        <v>100</v>
      </c>
      <c r="V35" s="667" t="s">
        <v>14</v>
      </c>
      <c r="W35" s="668">
        <f t="shared" si="12"/>
        <v>100</v>
      </c>
      <c r="X35" s="1265"/>
      <c r="Y35" s="337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5" t="s">
        <v>1696</v>
      </c>
      <c r="Q36" s="1263">
        <f t="shared" si="8"/>
        <v>111</v>
      </c>
      <c r="R36" s="667" t="s">
        <v>14</v>
      </c>
      <c r="S36" s="668">
        <f t="shared" si="10"/>
        <v>100</v>
      </c>
      <c r="T36" s="667" t="s">
        <v>14</v>
      </c>
      <c r="U36" s="668">
        <f t="shared" si="11"/>
        <v>100</v>
      </c>
      <c r="V36" s="667" t="s">
        <v>14</v>
      </c>
      <c r="W36" s="668">
        <f t="shared" si="12"/>
        <v>100</v>
      </c>
      <c r="X36" s="1265"/>
      <c r="Y36" s="337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78"/>
      <c r="Q37" s="1263">
        <f t="shared" si="8"/>
        <v>111</v>
      </c>
      <c r="R37" s="669" t="s">
        <v>14</v>
      </c>
      <c r="S37" s="670">
        <f t="shared" si="10"/>
        <v>100</v>
      </c>
      <c r="T37" s="669" t="s">
        <v>14</v>
      </c>
      <c r="U37" s="670">
        <f t="shared" si="11"/>
        <v>100</v>
      </c>
      <c r="V37" s="669" t="s">
        <v>14</v>
      </c>
      <c r="W37" s="670">
        <f t="shared" si="12"/>
        <v>100</v>
      </c>
      <c r="X37" s="671"/>
      <c r="Y37" s="337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78"/>
      <c r="Q38" s="1263" t="str">
        <f>B38</f>
        <v>宗地面积</v>
      </c>
      <c r="R38" s="667" t="s">
        <v>14</v>
      </c>
      <c r="S38" s="668" t="e">
        <f t="shared" si="10"/>
        <v>#N/A</v>
      </c>
      <c r="T38" s="667" t="s">
        <v>14</v>
      </c>
      <c r="U38" s="668" t="e">
        <f t="shared" si="11"/>
        <v>#N/A</v>
      </c>
      <c r="V38" s="667" t="s">
        <v>14</v>
      </c>
      <c r="W38" s="668" t="e">
        <f t="shared" si="12"/>
        <v>#N/A</v>
      </c>
      <c r="X38" s="1265"/>
      <c r="Y38" s="337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78"/>
      <c r="Q39" s="1263" t="str">
        <f t="shared" ref="Q39:Q45" si="14">B39</f>
        <v>宗地形状</v>
      </c>
      <c r="R39" s="667" t="s">
        <v>14</v>
      </c>
      <c r="S39" s="668">
        <f t="shared" si="10"/>
        <v>100</v>
      </c>
      <c r="T39" s="667" t="s">
        <v>14</v>
      </c>
      <c r="U39" s="668">
        <f t="shared" si="11"/>
        <v>100</v>
      </c>
      <c r="V39" s="667" t="s">
        <v>14</v>
      </c>
      <c r="W39" s="668">
        <f t="shared" si="12"/>
        <v>100</v>
      </c>
      <c r="X39" s="1265"/>
      <c r="Y39" s="337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78"/>
      <c r="Q40" s="1263" t="str">
        <f t="shared" si="14"/>
        <v>临街宽度及深度</v>
      </c>
      <c r="R40" s="667" t="s">
        <v>14</v>
      </c>
      <c r="S40" s="668">
        <f t="shared" si="10"/>
        <v>100</v>
      </c>
      <c r="T40" s="667" t="s">
        <v>14</v>
      </c>
      <c r="U40" s="668">
        <f t="shared" si="11"/>
        <v>100</v>
      </c>
      <c r="V40" s="667" t="s">
        <v>14</v>
      </c>
      <c r="W40" s="668">
        <f t="shared" si="12"/>
        <v>100</v>
      </c>
      <c r="X40" s="1265"/>
      <c r="Y40" s="337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78"/>
      <c r="Q41" s="1263" t="str">
        <f t="shared" si="14"/>
        <v>宗地开发程度</v>
      </c>
      <c r="R41" s="664" t="s">
        <v>14</v>
      </c>
      <c r="S41" s="665">
        <f t="shared" si="10"/>
        <v>100</v>
      </c>
      <c r="T41" s="664" t="s">
        <v>14</v>
      </c>
      <c r="U41" s="665">
        <f t="shared" si="11"/>
        <v>100</v>
      </c>
      <c r="V41" s="664" t="s">
        <v>14</v>
      </c>
      <c r="W41" s="665">
        <f t="shared" si="12"/>
        <v>100</v>
      </c>
      <c r="X41" s="666"/>
      <c r="Y41" s="337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78" t="s">
        <v>1696</v>
      </c>
      <c r="Q42" s="1263" t="str">
        <f t="shared" si="14"/>
        <v>工程地质条件</v>
      </c>
      <c r="R42" s="667" t="s">
        <v>14</v>
      </c>
      <c r="S42" s="668">
        <f t="shared" si="10"/>
        <v>100</v>
      </c>
      <c r="T42" s="667" t="s">
        <v>14</v>
      </c>
      <c r="U42" s="668">
        <f t="shared" si="11"/>
        <v>100</v>
      </c>
      <c r="V42" s="667" t="s">
        <v>14</v>
      </c>
      <c r="W42" s="668">
        <f t="shared" si="12"/>
        <v>100</v>
      </c>
      <c r="X42" s="1265"/>
      <c r="Y42" s="337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78"/>
      <c r="Q43" s="1263">
        <f t="shared" si="14"/>
        <v>111</v>
      </c>
      <c r="R43" s="667" t="s">
        <v>14</v>
      </c>
      <c r="S43" s="668">
        <f t="shared" si="10"/>
        <v>100</v>
      </c>
      <c r="T43" s="667" t="s">
        <v>14</v>
      </c>
      <c r="U43" s="668">
        <f t="shared" si="11"/>
        <v>100</v>
      </c>
      <c r="V43" s="667" t="s">
        <v>14</v>
      </c>
      <c r="W43" s="668">
        <f t="shared" si="12"/>
        <v>100</v>
      </c>
      <c r="X43" s="1265"/>
      <c r="Y43" s="337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78"/>
      <c r="Q44" s="1263">
        <f t="shared" si="14"/>
        <v>111</v>
      </c>
      <c r="R44" s="667" t="s">
        <v>14</v>
      </c>
      <c r="S44" s="668">
        <f t="shared" si="10"/>
        <v>100</v>
      </c>
      <c r="T44" s="667" t="s">
        <v>14</v>
      </c>
      <c r="U44" s="668">
        <f t="shared" si="11"/>
        <v>100</v>
      </c>
      <c r="V44" s="667" t="s">
        <v>14</v>
      </c>
      <c r="W44" s="668">
        <f t="shared" si="12"/>
        <v>100</v>
      </c>
      <c r="X44" s="1265"/>
      <c r="Y44" s="337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78"/>
      <c r="Q45" s="1263">
        <f t="shared" si="14"/>
        <v>111</v>
      </c>
      <c r="R45" s="669" t="s">
        <v>14</v>
      </c>
      <c r="S45" s="670">
        <f t="shared" si="10"/>
        <v>100</v>
      </c>
      <c r="T45" s="669" t="s">
        <v>14</v>
      </c>
      <c r="U45" s="670">
        <f t="shared" si="11"/>
        <v>100</v>
      </c>
      <c r="V45" s="669" t="s">
        <v>14</v>
      </c>
      <c r="W45" s="670">
        <f t="shared" si="12"/>
        <v>100</v>
      </c>
      <c r="X45" s="671"/>
      <c r="Y45" s="337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66" t="str">
        <f>A46</f>
        <v>成交单价</v>
      </c>
      <c r="Q46" s="3366"/>
      <c r="R46" s="3367">
        <f>E46</f>
        <v>0</v>
      </c>
      <c r="S46" s="3367"/>
      <c r="T46" s="3367">
        <f>G46</f>
        <v>0</v>
      </c>
      <c r="U46" s="3367"/>
      <c r="V46" s="3367">
        <f>I46</f>
        <v>0</v>
      </c>
      <c r="W46" s="3367"/>
      <c r="X46" s="385"/>
      <c r="Y46" s="673"/>
      <c r="Z46" s="385"/>
      <c r="AA46" s="385"/>
      <c r="AB46" s="385"/>
      <c r="AC46" s="385"/>
    </row>
    <row r="47" spans="1:29" ht="15" thickBot="1">
      <c r="A47" s="423" t="s">
        <v>1793</v>
      </c>
      <c r="B47" s="603"/>
      <c r="C47" s="426" t="e">
        <f>R48</f>
        <v>#DIV/0!</v>
      </c>
      <c r="D47" s="2140" t="s">
        <v>2134</v>
      </c>
      <c r="E47" s="426" t="e">
        <f>R47</f>
        <v>#DIV/0!</v>
      </c>
      <c r="F47" s="2141"/>
      <c r="G47" s="425" t="e">
        <f>T47</f>
        <v>#DIV/0!</v>
      </c>
      <c r="H47" s="2141"/>
      <c r="I47" s="426" t="e">
        <f>V47</f>
        <v>#DIV/0!</v>
      </c>
      <c r="J47" s="2141"/>
      <c r="K47" s="2143">
        <f>F47+H47+J47</f>
        <v>0</v>
      </c>
      <c r="L47" s="2493"/>
      <c r="M47" s="2486"/>
      <c r="N47" s="2486"/>
      <c r="O47" s="2486"/>
      <c r="P47" s="3366" t="str">
        <f>A47</f>
        <v>比较价值（元/平方米）</v>
      </c>
      <c r="Q47" s="3366"/>
      <c r="R47" s="3457" t="e">
        <f>ROUND(PRODUCT(R46,AA7:AA45),0)</f>
        <v>#DIV/0!</v>
      </c>
      <c r="S47" s="3457"/>
      <c r="T47" s="3457" t="e">
        <f>ROUND(PRODUCT(T46,AB7:AB45),0)</f>
        <v>#DIV/0!</v>
      </c>
      <c r="U47" s="3457"/>
      <c r="V47" s="3457" t="e">
        <f>ROUND(PRODUCT(V46,AC7:AC45),0)</f>
        <v>#DIV/0!</v>
      </c>
      <c r="W47" s="345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368" t="str">
        <f>A48</f>
        <v>估价对象XX用房的比较价值（楼面单价，元/平方米）</v>
      </c>
      <c r="Q48" s="3369"/>
      <c r="R48" s="3458" t="e">
        <f>ROUND(IF(D47="简单平均",AVERAGE(R47:W47),R47*F47+T47*H47+V47*J47),0)</f>
        <v>#DIV/0!</v>
      </c>
      <c r="S48" s="3458"/>
      <c r="T48" s="3458"/>
      <c r="U48" s="3458"/>
      <c r="V48" s="3458"/>
      <c r="W48" s="3458"/>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84" t="s">
        <v>1887</v>
      </c>
      <c r="H55" s="3459"/>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165.09</v>
      </c>
      <c r="F56" s="833" t="e">
        <f t="shared" ref="F56:F64" si="15">ROUND(B56*E56/10000,0)</f>
        <v>#DIV/0!</v>
      </c>
      <c r="G56" s="3380"/>
      <c r="H56" s="336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五级</v>
      </c>
      <c r="I57" s="838">
        <f>SUMIF(修正!A57:A68,H57,修正!B57:B68)</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五级</v>
      </c>
      <c r="I58" s="838">
        <f>SUMIF(修正!A57:A68,H58,修正!C57:C68)</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五级</v>
      </c>
      <c r="I59" s="838">
        <f>SUMIF(修正!A57:A68,H59,修正!D57:D68)</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五级</v>
      </c>
      <c r="I63" s="838">
        <f>SUMIF(修正!A57:A68,H63,修正!G57:G68)</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165.09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"北京市平均增长率"&amp;TEXT(SUMIF(基准地价修正2层!N25:N29,A70,基准地价修正2层!P25:P29),"0.00%")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9" priority="13" stopIfTrue="1">
      <formula>$F$51="超过30%"</formula>
    </cfRule>
  </conditionalFormatting>
  <conditionalFormatting sqref="E52">
    <cfRule type="expression" dxfId="38" priority="11" stopIfTrue="1">
      <formula>$F$52="超过20%"</formula>
    </cfRule>
  </conditionalFormatting>
  <conditionalFormatting sqref="E53">
    <cfRule type="expression" dxfId="37" priority="10" stopIfTrue="1">
      <formula>$F$53="超过30%"</formula>
    </cfRule>
  </conditionalFormatting>
  <conditionalFormatting sqref="F7:F45 H7:H45 J7:J45">
    <cfRule type="cellIs" dxfId="36" priority="1" operator="notEqual">
      <formula>100</formula>
    </cfRule>
  </conditionalFormatting>
  <conditionalFormatting sqref="F47">
    <cfRule type="expression" dxfId="35" priority="4">
      <formula>$D$47="简单平均"</formula>
    </cfRule>
  </conditionalFormatting>
  <conditionalFormatting sqref="F51:F53 H51:H53 J51:J53">
    <cfRule type="containsText" dxfId="34" priority="14" stopIfTrue="1" operator="containsText" text="超过">
      <formula>NOT(ISERROR(SEARCH("超过",F51)))</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G53">
    <cfRule type="expression" dxfId="31" priority="12" stopIfTrue="1">
      <formula>$H$53="超过30%"</formula>
    </cfRule>
  </conditionalFormatting>
  <conditionalFormatting sqref="H47">
    <cfRule type="expression" dxfId="30" priority="3">
      <formula>$D$47="简单平均"</formula>
    </cfRule>
  </conditionalFormatting>
  <conditionalFormatting sqref="I51">
    <cfRule type="expression" dxfId="29" priority="7" stopIfTrue="1">
      <formula>$J$51="超过30%"</formula>
    </cfRule>
  </conditionalFormatting>
  <conditionalFormatting sqref="I52">
    <cfRule type="expression" dxfId="28" priority="6" stopIfTrue="1">
      <formula>$J$52="超过20%"</formula>
    </cfRule>
  </conditionalFormatting>
  <conditionalFormatting sqref="I53">
    <cfRule type="expression" dxfId="27" priority="5" stopIfTrue="1">
      <formula>$J$53="超过30%"</formula>
    </cfRule>
  </conditionalFormatting>
  <conditionalFormatting sqref="J47">
    <cfRule type="expression" dxfId="2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84" t="s">
        <v>1770</v>
      </c>
      <c r="D4" s="3385"/>
      <c r="E4" s="3386" t="s">
        <v>1771</v>
      </c>
      <c r="F4" s="3387"/>
      <c r="G4" s="3384" t="s">
        <v>1772</v>
      </c>
      <c r="H4" s="3385"/>
      <c r="I4" s="3384" t="s">
        <v>1773</v>
      </c>
      <c r="J4" s="3385"/>
      <c r="K4" s="537" t="s">
        <v>1774</v>
      </c>
      <c r="L4" s="2485"/>
      <c r="M4" s="2486"/>
      <c r="N4" s="2486"/>
      <c r="O4" s="2486"/>
      <c r="P4" s="3388" t="s">
        <v>1775</v>
      </c>
      <c r="Q4" s="3389"/>
      <c r="R4" s="3394" t="s">
        <v>1771</v>
      </c>
      <c r="S4" s="3395"/>
      <c r="T4" s="3394" t="s">
        <v>1772</v>
      </c>
      <c r="U4" s="3395"/>
      <c r="V4" s="3367" t="s">
        <v>1773</v>
      </c>
      <c r="W4" s="3367"/>
      <c r="X4" s="1265"/>
      <c r="Y4" s="3394" t="s">
        <v>1775</v>
      </c>
      <c r="Z4" s="3395"/>
      <c r="AA4" s="3381" t="s">
        <v>1771</v>
      </c>
      <c r="AB4" s="3382" t="s">
        <v>1772</v>
      </c>
      <c r="AC4" s="3381" t="s">
        <v>1773</v>
      </c>
    </row>
    <row r="5" spans="1:29">
      <c r="A5" s="348"/>
      <c r="B5" s="349"/>
      <c r="C5" s="3402" t="s">
        <v>1673</v>
      </c>
      <c r="D5" s="3403"/>
      <c r="E5" s="3409" t="s">
        <v>1674</v>
      </c>
      <c r="F5" s="3410"/>
      <c r="G5" s="3402" t="s">
        <v>1675</v>
      </c>
      <c r="H5" s="3403"/>
      <c r="I5" s="3402" t="s">
        <v>1676</v>
      </c>
      <c r="J5" s="3403"/>
      <c r="K5" s="537"/>
      <c r="L5" s="2485"/>
      <c r="M5" s="2486"/>
      <c r="N5" s="2486"/>
      <c r="O5" s="2486"/>
      <c r="P5" s="3390"/>
      <c r="Q5" s="3391"/>
      <c r="R5" s="3396"/>
      <c r="S5" s="3397"/>
      <c r="T5" s="3396"/>
      <c r="U5" s="3397"/>
      <c r="V5" s="3367"/>
      <c r="W5" s="3367"/>
      <c r="X5" s="1265"/>
      <c r="Y5" s="3396"/>
      <c r="Z5" s="3397"/>
      <c r="AA5" s="3382"/>
      <c r="AB5" s="3382"/>
      <c r="AC5" s="3382"/>
    </row>
    <row r="6" spans="1:29" ht="15" thickBot="1">
      <c r="A6" s="350"/>
      <c r="B6" s="351"/>
      <c r="C6" s="3460" t="s">
        <v>1919</v>
      </c>
      <c r="D6" s="3461"/>
      <c r="E6" s="3462" t="s">
        <v>1919</v>
      </c>
      <c r="F6" s="3463"/>
      <c r="G6" s="3460" t="s">
        <v>1919</v>
      </c>
      <c r="H6" s="3461"/>
      <c r="I6" s="3460" t="s">
        <v>1919</v>
      </c>
      <c r="J6" s="3461"/>
      <c r="K6" s="537" t="s">
        <v>1678</v>
      </c>
      <c r="L6" s="2485"/>
      <c r="M6" s="2486"/>
      <c r="N6" s="2486"/>
      <c r="O6" s="2486"/>
      <c r="P6" s="3392"/>
      <c r="Q6" s="3393"/>
      <c r="R6" s="3396"/>
      <c r="S6" s="3397"/>
      <c r="T6" s="3398"/>
      <c r="U6" s="3399"/>
      <c r="V6" s="3367"/>
      <c r="W6" s="3367"/>
      <c r="X6" s="1265"/>
      <c r="Y6" s="3398"/>
      <c r="Z6" s="3399"/>
      <c r="AA6" s="3383"/>
      <c r="AB6" s="3383"/>
      <c r="AC6" s="3383"/>
    </row>
    <row r="7" spans="1:29" s="102" customFormat="1" ht="15" thickBot="1">
      <c r="A7" s="352" t="s">
        <v>1679</v>
      </c>
      <c r="B7" s="353"/>
      <c r="C7" s="354">
        <f>'数据-取费表'!B2</f>
        <v>45831</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404" t="s">
        <v>1680</v>
      </c>
      <c r="Q7" s="3406"/>
      <c r="R7" s="664" t="s">
        <v>14</v>
      </c>
      <c r="S7" s="665">
        <f t="shared" ref="S7:S15" si="0">F7</f>
        <v>0</v>
      </c>
      <c r="T7" s="664" t="s">
        <v>14</v>
      </c>
      <c r="U7" s="665">
        <f t="shared" ref="U7:U15" si="1">H7</f>
        <v>0</v>
      </c>
      <c r="V7" s="664" t="s">
        <v>14</v>
      </c>
      <c r="W7" s="665">
        <f t="shared" ref="W7:W15" si="2">J7</f>
        <v>0</v>
      </c>
      <c r="X7" s="666"/>
      <c r="Y7" s="3404" t="s">
        <v>1680</v>
      </c>
      <c r="Z7" s="340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404" t="s">
        <v>1683</v>
      </c>
      <c r="Q8" s="3405"/>
      <c r="R8" s="664" t="s">
        <v>14</v>
      </c>
      <c r="S8" s="665">
        <f t="shared" si="0"/>
        <v>0</v>
      </c>
      <c r="T8" s="664" t="s">
        <v>14</v>
      </c>
      <c r="U8" s="665">
        <f t="shared" si="1"/>
        <v>0</v>
      </c>
      <c r="V8" s="664" t="s">
        <v>14</v>
      </c>
      <c r="W8" s="665">
        <f t="shared" si="2"/>
        <v>0</v>
      </c>
      <c r="X8" s="666"/>
      <c r="Y8" s="3404" t="s">
        <v>1683</v>
      </c>
      <c r="Z8" s="3405"/>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66" t="s">
        <v>1686</v>
      </c>
      <c r="Q9" s="530" t="str">
        <f t="shared" ref="Q9:Q15" si="6">B9</f>
        <v>用途</v>
      </c>
      <c r="R9" s="664" t="s">
        <v>14</v>
      </c>
      <c r="S9" s="665">
        <f t="shared" si="0"/>
        <v>100</v>
      </c>
      <c r="T9" s="664" t="s">
        <v>14</v>
      </c>
      <c r="U9" s="665">
        <f t="shared" si="1"/>
        <v>100</v>
      </c>
      <c r="V9" s="664" t="s">
        <v>14</v>
      </c>
      <c r="W9" s="665">
        <f t="shared" si="2"/>
        <v>100</v>
      </c>
      <c r="X9" s="666"/>
      <c r="Y9" s="3265"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148</v>
      </c>
      <c r="G10" s="371"/>
      <c r="H10" s="119">
        <f>ROUND(100/'数据-取费表'!G16,0)</f>
        <v>148</v>
      </c>
      <c r="I10" s="371"/>
      <c r="J10" s="119">
        <f>ROUND(100/'数据-取费表'!G16,0)</f>
        <v>148</v>
      </c>
      <c r="K10" s="592"/>
      <c r="L10" s="2488"/>
      <c r="M10" s="2489"/>
      <c r="N10" s="2489"/>
      <c r="O10" s="2540"/>
      <c r="P10" s="3366"/>
      <c r="Q10" s="530" t="str">
        <f t="shared" si="6"/>
        <v>土地使用年限（年）</v>
      </c>
      <c r="R10" s="664" t="s">
        <v>14</v>
      </c>
      <c r="S10" s="665">
        <f t="shared" si="0"/>
        <v>148</v>
      </c>
      <c r="T10" s="664" t="s">
        <v>14</v>
      </c>
      <c r="U10" s="665">
        <f t="shared" si="1"/>
        <v>148</v>
      </c>
      <c r="V10" s="664" t="s">
        <v>14</v>
      </c>
      <c r="W10" s="665">
        <f t="shared" si="2"/>
        <v>148</v>
      </c>
      <c r="X10" s="666"/>
      <c r="Y10" s="3265"/>
      <c r="Z10" s="50" t="str">
        <f t="shared" si="7"/>
        <v>土地使用年限（年）</v>
      </c>
      <c r="AA10" s="50">
        <f t="shared" si="3"/>
        <v>0.67567567567567566</v>
      </c>
      <c r="AB10" s="50">
        <f t="shared" si="4"/>
        <v>0.67567567567567566</v>
      </c>
      <c r="AC10" s="50">
        <f t="shared" si="5"/>
        <v>0.67567567567567566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66"/>
      <c r="Q11" s="530" t="str">
        <f t="shared" si="6"/>
        <v>容积率</v>
      </c>
      <c r="R11" s="664" t="s">
        <v>14</v>
      </c>
      <c r="S11" s="665" t="e">
        <f t="shared" si="0"/>
        <v>#N/A</v>
      </c>
      <c r="T11" s="664" t="s">
        <v>14</v>
      </c>
      <c r="U11" s="665" t="e">
        <f t="shared" si="1"/>
        <v>#N/A</v>
      </c>
      <c r="V11" s="664" t="s">
        <v>14</v>
      </c>
      <c r="W11" s="665" t="e">
        <f t="shared" si="2"/>
        <v>#N/A</v>
      </c>
      <c r="X11" s="666"/>
      <c r="Y11" s="3265"/>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66"/>
      <c r="Q12" s="530">
        <f t="shared" si="6"/>
        <v>111</v>
      </c>
      <c r="R12" s="664" t="s">
        <v>14</v>
      </c>
      <c r="S12" s="665">
        <f t="shared" si="0"/>
        <v>100</v>
      </c>
      <c r="T12" s="664" t="s">
        <v>14</v>
      </c>
      <c r="U12" s="665">
        <f t="shared" si="1"/>
        <v>100</v>
      </c>
      <c r="V12" s="664" t="s">
        <v>14</v>
      </c>
      <c r="W12" s="665">
        <f t="shared" si="2"/>
        <v>100</v>
      </c>
      <c r="X12" s="666"/>
      <c r="Y12" s="3265"/>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66"/>
      <c r="Q13" s="530">
        <f t="shared" si="6"/>
        <v>111</v>
      </c>
      <c r="R13" s="664" t="s">
        <v>14</v>
      </c>
      <c r="S13" s="665">
        <f t="shared" si="0"/>
        <v>100</v>
      </c>
      <c r="T13" s="664" t="s">
        <v>14</v>
      </c>
      <c r="U13" s="665">
        <f t="shared" si="1"/>
        <v>100</v>
      </c>
      <c r="V13" s="664" t="s">
        <v>14</v>
      </c>
      <c r="W13" s="665">
        <f t="shared" si="2"/>
        <v>100</v>
      </c>
      <c r="X13" s="666"/>
      <c r="Y13" s="3265"/>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66"/>
      <c r="Q14" s="530">
        <f t="shared" si="6"/>
        <v>111</v>
      </c>
      <c r="R14" s="664" t="s">
        <v>14</v>
      </c>
      <c r="S14" s="665">
        <f t="shared" si="0"/>
        <v>100</v>
      </c>
      <c r="T14" s="664" t="s">
        <v>14</v>
      </c>
      <c r="U14" s="665">
        <f t="shared" si="1"/>
        <v>100</v>
      </c>
      <c r="V14" s="664" t="s">
        <v>14</v>
      </c>
      <c r="W14" s="665">
        <f t="shared" si="2"/>
        <v>100</v>
      </c>
      <c r="X14" s="666"/>
      <c r="Y14" s="3265"/>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73" t="s">
        <v>1691</v>
      </c>
      <c r="Q15" s="1263" t="str">
        <f t="shared" si="6"/>
        <v>产业集聚程度</v>
      </c>
      <c r="R15" s="667" t="s">
        <v>14</v>
      </c>
      <c r="S15" s="668">
        <f t="shared" si="0"/>
        <v>100</v>
      </c>
      <c r="T15" s="667" t="s">
        <v>14</v>
      </c>
      <c r="U15" s="668">
        <f t="shared" si="1"/>
        <v>100</v>
      </c>
      <c r="V15" s="667" t="s">
        <v>14</v>
      </c>
      <c r="W15" s="668">
        <f t="shared" si="2"/>
        <v>100</v>
      </c>
      <c r="X15" s="1265"/>
      <c r="Y15" s="337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74"/>
      <c r="Q16" s="1263"/>
      <c r="R16" s="667"/>
      <c r="S16" s="668"/>
      <c r="T16" s="667"/>
      <c r="U16" s="668"/>
      <c r="V16" s="667"/>
      <c r="W16" s="668"/>
      <c r="X16" s="1265"/>
      <c r="Y16" s="337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74"/>
      <c r="Q17" s="1263" t="str">
        <f>B17</f>
        <v>交通便捷度</v>
      </c>
      <c r="R17" s="667" t="s">
        <v>14</v>
      </c>
      <c r="S17" s="668">
        <f>F17</f>
        <v>100</v>
      </c>
      <c r="T17" s="667" t="s">
        <v>14</v>
      </c>
      <c r="U17" s="668">
        <f>H17</f>
        <v>100</v>
      </c>
      <c r="V17" s="667" t="s">
        <v>14</v>
      </c>
      <c r="W17" s="668">
        <f>J17</f>
        <v>100</v>
      </c>
      <c r="X17" s="1265"/>
      <c r="Y17" s="337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74"/>
      <c r="Q18" s="1263"/>
      <c r="R18" s="667"/>
      <c r="S18" s="668"/>
      <c r="T18" s="667"/>
      <c r="U18" s="668"/>
      <c r="V18" s="667"/>
      <c r="W18" s="668"/>
      <c r="X18" s="1265"/>
      <c r="Y18" s="337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74"/>
      <c r="Q19" s="1263" t="str">
        <f t="shared" ref="Q19:Q33" si="8">B19</f>
        <v>区域土地利用方向</v>
      </c>
      <c r="R19" s="667" t="s">
        <v>14</v>
      </c>
      <c r="S19" s="668">
        <f>F19</f>
        <v>100</v>
      </c>
      <c r="T19" s="667" t="s">
        <v>14</v>
      </c>
      <c r="U19" s="668">
        <f>H19</f>
        <v>100</v>
      </c>
      <c r="V19" s="667" t="s">
        <v>14</v>
      </c>
      <c r="W19" s="668">
        <f>J19</f>
        <v>100</v>
      </c>
      <c r="X19" s="1265"/>
      <c r="Y19" s="337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74"/>
      <c r="Q20" s="1263"/>
      <c r="R20" s="667"/>
      <c r="S20" s="668"/>
      <c r="T20" s="667"/>
      <c r="U20" s="668"/>
      <c r="V20" s="667"/>
      <c r="W20" s="668"/>
      <c r="X20" s="1265"/>
      <c r="Y20" s="337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74"/>
      <c r="Q21" s="1263" t="str">
        <f t="shared" si="8"/>
        <v>环境状况</v>
      </c>
      <c r="R21" s="667" t="s">
        <v>14</v>
      </c>
      <c r="S21" s="668">
        <f>F21</f>
        <v>100</v>
      </c>
      <c r="T21" s="667" t="s">
        <v>14</v>
      </c>
      <c r="U21" s="668">
        <f>H21</f>
        <v>100</v>
      </c>
      <c r="V21" s="667" t="s">
        <v>14</v>
      </c>
      <c r="W21" s="668">
        <f>J21</f>
        <v>100</v>
      </c>
      <c r="X21" s="1265"/>
      <c r="Y21" s="337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74"/>
      <c r="Q22" s="1263"/>
      <c r="R22" s="667"/>
      <c r="S22" s="668"/>
      <c r="T22" s="667"/>
      <c r="U22" s="668"/>
      <c r="V22" s="667"/>
      <c r="W22" s="668"/>
      <c r="X22" s="1265"/>
      <c r="Y22" s="337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74"/>
      <c r="Q23" s="530" t="str">
        <f t="shared" si="8"/>
        <v>公共配套设施</v>
      </c>
      <c r="R23" s="664" t="s">
        <v>14</v>
      </c>
      <c r="S23" s="665">
        <f>F23</f>
        <v>100</v>
      </c>
      <c r="T23" s="664" t="s">
        <v>14</v>
      </c>
      <c r="U23" s="665">
        <f>H23</f>
        <v>100</v>
      </c>
      <c r="V23" s="664" t="s">
        <v>14</v>
      </c>
      <c r="W23" s="665">
        <f>J23</f>
        <v>100</v>
      </c>
      <c r="X23" s="666"/>
      <c r="Y23" s="337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74"/>
      <c r="Q24" s="530"/>
      <c r="R24" s="664"/>
      <c r="S24" s="665"/>
      <c r="T24" s="664"/>
      <c r="U24" s="665"/>
      <c r="V24" s="664"/>
      <c r="W24" s="665"/>
      <c r="X24" s="666"/>
      <c r="Y24" s="337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74"/>
      <c r="Q25" s="530" t="str">
        <f t="shared" ref="Q25" si="9">B25</f>
        <v>基础设施水平</v>
      </c>
      <c r="R25" s="664" t="s">
        <v>14</v>
      </c>
      <c r="S25" s="665">
        <f>F25</f>
        <v>100</v>
      </c>
      <c r="T25" s="664" t="s">
        <v>14</v>
      </c>
      <c r="U25" s="665">
        <f>H25</f>
        <v>100</v>
      </c>
      <c r="V25" s="664" t="s">
        <v>14</v>
      </c>
      <c r="W25" s="665">
        <f>J25</f>
        <v>100</v>
      </c>
      <c r="X25" s="666"/>
      <c r="Y25" s="337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74"/>
      <c r="Q26" s="530"/>
      <c r="R26" s="664"/>
      <c r="S26" s="665"/>
      <c r="T26" s="664"/>
      <c r="U26" s="665"/>
      <c r="V26" s="664"/>
      <c r="W26" s="665"/>
      <c r="X26" s="666"/>
      <c r="Y26" s="337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7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74"/>
      <c r="Q28" s="1263" t="str">
        <f t="shared" si="8"/>
        <v>毗邻道路的类型与等级</v>
      </c>
      <c r="R28" s="667" t="s">
        <v>14</v>
      </c>
      <c r="S28" s="668">
        <f t="shared" si="10"/>
        <v>100</v>
      </c>
      <c r="T28" s="667" t="s">
        <v>14</v>
      </c>
      <c r="U28" s="668">
        <f t="shared" si="11"/>
        <v>100</v>
      </c>
      <c r="V28" s="667" t="s">
        <v>14</v>
      </c>
      <c r="W28" s="668">
        <f t="shared" si="12"/>
        <v>100</v>
      </c>
      <c r="X28" s="1265"/>
      <c r="Y28" s="337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74"/>
      <c r="Q29" s="1263"/>
      <c r="R29" s="667"/>
      <c r="S29" s="668"/>
      <c r="T29" s="667"/>
      <c r="U29" s="668"/>
      <c r="V29" s="667"/>
      <c r="W29" s="668"/>
      <c r="X29" s="1265"/>
      <c r="Y29" s="337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74"/>
      <c r="Q30" s="1263" t="str">
        <f t="shared" si="8"/>
        <v>土地级别</v>
      </c>
      <c r="R30" s="667" t="s">
        <v>14</v>
      </c>
      <c r="S30" s="668">
        <f t="shared" si="10"/>
        <v>100</v>
      </c>
      <c r="T30" s="667" t="s">
        <v>14</v>
      </c>
      <c r="U30" s="668">
        <f t="shared" si="11"/>
        <v>100</v>
      </c>
      <c r="V30" s="667" t="s">
        <v>14</v>
      </c>
      <c r="W30" s="668">
        <f t="shared" si="12"/>
        <v>100</v>
      </c>
      <c r="X30" s="1265"/>
      <c r="Y30" s="337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74"/>
      <c r="Q31" s="1263">
        <f t="shared" si="8"/>
        <v>111</v>
      </c>
      <c r="R31" s="667" t="s">
        <v>14</v>
      </c>
      <c r="S31" s="668">
        <f t="shared" si="10"/>
        <v>100</v>
      </c>
      <c r="T31" s="667" t="s">
        <v>14</v>
      </c>
      <c r="U31" s="668">
        <f t="shared" si="11"/>
        <v>100</v>
      </c>
      <c r="V31" s="667" t="s">
        <v>14</v>
      </c>
      <c r="W31" s="668">
        <f t="shared" si="12"/>
        <v>100</v>
      </c>
      <c r="X31" s="1265"/>
      <c r="Y31" s="337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5" t="s">
        <v>1696</v>
      </c>
      <c r="Q32" s="1263">
        <f t="shared" si="8"/>
        <v>111</v>
      </c>
      <c r="R32" s="667" t="s">
        <v>14</v>
      </c>
      <c r="S32" s="668">
        <f t="shared" si="10"/>
        <v>100</v>
      </c>
      <c r="T32" s="667" t="s">
        <v>14</v>
      </c>
      <c r="U32" s="668">
        <f t="shared" si="11"/>
        <v>100</v>
      </c>
      <c r="V32" s="667" t="s">
        <v>14</v>
      </c>
      <c r="W32" s="668">
        <f t="shared" si="12"/>
        <v>100</v>
      </c>
      <c r="X32" s="1265"/>
      <c r="Y32" s="337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78"/>
      <c r="Q33" s="1263">
        <f t="shared" si="8"/>
        <v>111</v>
      </c>
      <c r="R33" s="669" t="s">
        <v>14</v>
      </c>
      <c r="S33" s="670">
        <f t="shared" si="10"/>
        <v>100</v>
      </c>
      <c r="T33" s="669" t="s">
        <v>14</v>
      </c>
      <c r="U33" s="670">
        <f t="shared" si="11"/>
        <v>100</v>
      </c>
      <c r="V33" s="669" t="s">
        <v>14</v>
      </c>
      <c r="W33" s="670">
        <f t="shared" si="12"/>
        <v>100</v>
      </c>
      <c r="X33" s="671"/>
      <c r="Y33" s="337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78"/>
      <c r="Q34" s="1263" t="str">
        <f>B34</f>
        <v>宗地面积</v>
      </c>
      <c r="R34" s="667" t="s">
        <v>14</v>
      </c>
      <c r="S34" s="668" t="e">
        <f t="shared" si="10"/>
        <v>#N/A</v>
      </c>
      <c r="T34" s="667" t="s">
        <v>14</v>
      </c>
      <c r="U34" s="668" t="e">
        <f t="shared" si="11"/>
        <v>#N/A</v>
      </c>
      <c r="V34" s="667" t="s">
        <v>14</v>
      </c>
      <c r="W34" s="668" t="e">
        <f t="shared" si="12"/>
        <v>#N/A</v>
      </c>
      <c r="X34" s="1265"/>
      <c r="Y34" s="337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78"/>
      <c r="Q35" s="1263" t="str">
        <f t="shared" ref="Q35:Q40" si="14">B35</f>
        <v>宗地形状</v>
      </c>
      <c r="R35" s="667" t="s">
        <v>14</v>
      </c>
      <c r="S35" s="668">
        <f t="shared" si="10"/>
        <v>100</v>
      </c>
      <c r="T35" s="667" t="s">
        <v>14</v>
      </c>
      <c r="U35" s="668">
        <f t="shared" si="11"/>
        <v>100</v>
      </c>
      <c r="V35" s="667" t="s">
        <v>14</v>
      </c>
      <c r="W35" s="668">
        <f t="shared" si="12"/>
        <v>100</v>
      </c>
      <c r="X35" s="1265"/>
      <c r="Y35" s="337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78"/>
      <c r="Q36" s="1263" t="str">
        <f t="shared" si="14"/>
        <v>宗地开发程度</v>
      </c>
      <c r="R36" s="664" t="s">
        <v>14</v>
      </c>
      <c r="S36" s="665">
        <f t="shared" si="10"/>
        <v>100</v>
      </c>
      <c r="T36" s="664" t="s">
        <v>14</v>
      </c>
      <c r="U36" s="665">
        <f t="shared" si="11"/>
        <v>100</v>
      </c>
      <c r="V36" s="664" t="s">
        <v>14</v>
      </c>
      <c r="W36" s="665">
        <f t="shared" si="12"/>
        <v>100</v>
      </c>
      <c r="X36" s="666"/>
      <c r="Y36" s="337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78" t="s">
        <v>1696</v>
      </c>
      <c r="Q37" s="1263" t="str">
        <f t="shared" si="14"/>
        <v>工程地质条件</v>
      </c>
      <c r="R37" s="667" t="s">
        <v>14</v>
      </c>
      <c r="S37" s="668">
        <f t="shared" si="10"/>
        <v>100</v>
      </c>
      <c r="T37" s="667" t="s">
        <v>14</v>
      </c>
      <c r="U37" s="668">
        <f t="shared" si="11"/>
        <v>100</v>
      </c>
      <c r="V37" s="667" t="s">
        <v>14</v>
      </c>
      <c r="W37" s="668">
        <f t="shared" si="12"/>
        <v>100</v>
      </c>
      <c r="X37" s="1265"/>
      <c r="Y37" s="337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78"/>
      <c r="Q38" s="1263">
        <f t="shared" si="14"/>
        <v>111</v>
      </c>
      <c r="R38" s="667" t="s">
        <v>14</v>
      </c>
      <c r="S38" s="668">
        <f t="shared" si="10"/>
        <v>100</v>
      </c>
      <c r="T38" s="667" t="s">
        <v>14</v>
      </c>
      <c r="U38" s="668">
        <f t="shared" si="11"/>
        <v>100</v>
      </c>
      <c r="V38" s="667" t="s">
        <v>14</v>
      </c>
      <c r="W38" s="668">
        <f t="shared" si="12"/>
        <v>100</v>
      </c>
      <c r="X38" s="1265"/>
      <c r="Y38" s="337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78"/>
      <c r="Q39" s="1263">
        <f t="shared" si="14"/>
        <v>111</v>
      </c>
      <c r="R39" s="667" t="s">
        <v>14</v>
      </c>
      <c r="S39" s="668">
        <f t="shared" si="10"/>
        <v>100</v>
      </c>
      <c r="T39" s="667" t="s">
        <v>14</v>
      </c>
      <c r="U39" s="668">
        <f t="shared" si="11"/>
        <v>100</v>
      </c>
      <c r="V39" s="667" t="s">
        <v>14</v>
      </c>
      <c r="W39" s="668">
        <f t="shared" si="12"/>
        <v>100</v>
      </c>
      <c r="X39" s="1265"/>
      <c r="Y39" s="337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78"/>
      <c r="Q40" s="1263">
        <f t="shared" si="14"/>
        <v>111</v>
      </c>
      <c r="R40" s="669" t="s">
        <v>14</v>
      </c>
      <c r="S40" s="670">
        <f t="shared" si="10"/>
        <v>100</v>
      </c>
      <c r="T40" s="669" t="s">
        <v>14</v>
      </c>
      <c r="U40" s="670">
        <f t="shared" si="11"/>
        <v>100</v>
      </c>
      <c r="V40" s="669" t="s">
        <v>14</v>
      </c>
      <c r="W40" s="670">
        <f t="shared" si="12"/>
        <v>100</v>
      </c>
      <c r="X40" s="671"/>
      <c r="Y40" s="337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66" t="str">
        <f>A41</f>
        <v>成交单价</v>
      </c>
      <c r="Q41" s="3366"/>
      <c r="R41" s="3367">
        <f>E41</f>
        <v>0</v>
      </c>
      <c r="S41" s="3367"/>
      <c r="T41" s="3367">
        <f>G41</f>
        <v>0</v>
      </c>
      <c r="U41" s="3367"/>
      <c r="V41" s="3367">
        <f>I41</f>
        <v>0</v>
      </c>
      <c r="W41" s="3367"/>
      <c r="X41" s="385"/>
      <c r="Y41" s="673"/>
      <c r="Z41" s="385"/>
      <c r="AA41" s="385"/>
      <c r="AB41" s="385"/>
      <c r="AC41" s="385"/>
    </row>
    <row r="42" spans="1:31" ht="15" thickBot="1">
      <c r="A42" s="423" t="s">
        <v>1793</v>
      </c>
      <c r="B42" s="603"/>
      <c r="C42" s="426" t="e">
        <f>R43</f>
        <v>#DIV/0!</v>
      </c>
      <c r="D42" s="2140" t="s">
        <v>2134</v>
      </c>
      <c r="E42" s="426" t="e">
        <f>R42</f>
        <v>#DIV/0!</v>
      </c>
      <c r="F42" s="2141"/>
      <c r="G42" s="425" t="e">
        <f>T42</f>
        <v>#DIV/0!</v>
      </c>
      <c r="H42" s="2141"/>
      <c r="I42" s="426" t="e">
        <f>V42</f>
        <v>#DIV/0!</v>
      </c>
      <c r="J42" s="2141"/>
      <c r="K42" s="2143">
        <f>F42+H42+J42</f>
        <v>0</v>
      </c>
      <c r="L42" s="2493"/>
      <c r="M42" s="2486"/>
      <c r="N42" s="2486"/>
      <c r="O42" s="2486"/>
      <c r="P42" s="3366" t="str">
        <f>A42</f>
        <v>比较价值（元/平方米）</v>
      </c>
      <c r="Q42" s="3366"/>
      <c r="R42" s="3457" t="e">
        <f>ROUND(PRODUCT(R41,AA7:AA40),0)</f>
        <v>#DIV/0!</v>
      </c>
      <c r="S42" s="3457"/>
      <c r="T42" s="3457" t="e">
        <f>ROUND(PRODUCT(T41,AB7:AB40),0)</f>
        <v>#DIV/0!</v>
      </c>
      <c r="U42" s="3457"/>
      <c r="V42" s="3457" t="e">
        <f>ROUND(PRODUCT(V41,AC7:AC40),0)</f>
        <v>#DIV/0!</v>
      </c>
      <c r="W42" s="345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368" t="str">
        <f>A43</f>
        <v>估价对象XX用房的比较价值（楼面单价，元/平方米）</v>
      </c>
      <c r="Q43" s="3369"/>
      <c r="R43" s="3458" t="e">
        <f>ROUND(IF(D42="简单平均",AVERAGE(R42:W42),R42*F42+T42*H42+V42*J42),0)</f>
        <v>#DIV/0!</v>
      </c>
      <c r="S43" s="3458"/>
      <c r="T43" s="3458"/>
      <c r="U43" s="3458"/>
      <c r="V43" s="3458"/>
      <c r="W43" s="3458"/>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84" t="s">
        <v>1887</v>
      </c>
      <c r="H50" s="3459"/>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165.09</v>
      </c>
      <c r="F51" s="611" t="e">
        <f t="shared" ref="F51:F60" si="15">ROUND(B51*E51/10000,0)</f>
        <v>#DIV/0!</v>
      </c>
      <c r="G51" s="3380"/>
      <c r="H51" s="336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五级</v>
      </c>
      <c r="I52" s="727">
        <f>SUMIF(修正!A57:A68,H52,修正!B57:B68)</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五级</v>
      </c>
      <c r="I53" s="727">
        <f>SUMIF(修正!A57:A68,H53,修正!C57:C68)</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五级</v>
      </c>
      <c r="I54" s="727">
        <f>SUMIF(修正!A57:A68,H54,修正!D57:D68)</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五级</v>
      </c>
      <c r="I59" s="727">
        <f>SUMIF(修正!A57:A68,H59,修正!G57:G68)</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"北京市平均增长率"&amp;TEXT(基准地价修正2层!P28,"0.00%")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5" priority="13" stopIfTrue="1">
      <formula>$F$46="超过30%"</formula>
    </cfRule>
  </conditionalFormatting>
  <conditionalFormatting sqref="E47">
    <cfRule type="expression" dxfId="24" priority="53" stopIfTrue="1">
      <formula>#REF!+$F$47="超过20%"</formula>
    </cfRule>
  </conditionalFormatting>
  <conditionalFormatting sqref="E48">
    <cfRule type="expression" dxfId="23" priority="10" stopIfTrue="1">
      <formula>$F$48="超过30%"</formula>
    </cfRule>
  </conditionalFormatting>
  <conditionalFormatting sqref="F7:F40 H7:H40 J7:J40">
    <cfRule type="cellIs" dxfId="22" priority="1" operator="notEqual">
      <formula>100</formula>
    </cfRule>
  </conditionalFormatting>
  <conditionalFormatting sqref="F42">
    <cfRule type="expression" dxfId="21" priority="4">
      <formula>$D$42="简单平均"</formula>
    </cfRule>
  </conditionalFormatting>
  <conditionalFormatting sqref="F46:F48 H46:H48 J46:J48">
    <cfRule type="containsText" dxfId="20" priority="14" stopIfTrue="1" operator="containsText" text="超过">
      <formula>NOT(ISERROR(SEARCH("超过",F46)))</formula>
    </cfRule>
  </conditionalFormatting>
  <conditionalFormatting sqref="G46">
    <cfRule type="expression" dxfId="19" priority="9" stopIfTrue="1">
      <formula>$H$46="超过30%"</formula>
    </cfRule>
  </conditionalFormatting>
  <conditionalFormatting sqref="G47">
    <cfRule type="expression" dxfId="18" priority="8" stopIfTrue="1">
      <formula>$H$47="超过20%"</formula>
    </cfRule>
  </conditionalFormatting>
  <conditionalFormatting sqref="G48">
    <cfRule type="expression" dxfId="17" priority="12" stopIfTrue="1">
      <formula>$H$48="超过30%"</formula>
    </cfRule>
  </conditionalFormatting>
  <conditionalFormatting sqref="H42">
    <cfRule type="expression" dxfId="16" priority="3">
      <formula>$D$42="简单平均"</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J42">
    <cfRule type="expression" dxfId="1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#REF!</v>
      </c>
      <c r="C6" s="1984" t="s">
        <v>2074</v>
      </c>
      <c r="D6" s="2543"/>
      <c r="E6" s="2397" t="e">
        <f ca="1">SUMIF(INDIRECT("'"&amp;A6&amp;"'"&amp;"!C:C"),"建筑面积",INDIRECT("'"&amp;A6&amp;"'"&amp;"!D:D"))</f>
        <v>#REF!</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1"/>
      <c r="C2" s="3181"/>
      <c r="D2" s="3181"/>
      <c r="E2" s="3181"/>
    </row>
    <row r="3" spans="1:5" ht="17.399999999999999">
      <c r="A3" s="3182" t="str">
        <f>IF(项目基本情况!B9="房地产市场价值","估价结果一览表（市场价值不需“结果表-1”）","估价结果一览表")</f>
        <v>估价结果一览表</v>
      </c>
      <c r="B3" s="3182"/>
      <c r="C3" s="3182"/>
      <c r="D3" s="3182"/>
      <c r="E3" s="3182"/>
    </row>
    <row r="4" spans="1:5" ht="18" thickBot="1">
      <c r="A4" s="1391"/>
      <c r="B4" s="3180" t="s">
        <v>917</v>
      </c>
      <c r="C4" s="3180"/>
      <c r="D4" s="3180"/>
      <c r="E4" s="1391"/>
    </row>
    <row r="5" spans="1:5" ht="16.2" thickTop="1">
      <c r="B5" s="3178" t="s">
        <v>909</v>
      </c>
      <c r="C5" s="1392" t="s">
        <v>910</v>
      </c>
      <c r="D5" s="797">
        <f ca="1">结果表1层!H101</f>
        <v>679</v>
      </c>
    </row>
    <row r="6" spans="1:5" ht="15.6">
      <c r="B6" s="3178"/>
      <c r="C6" s="1392" t="s">
        <v>911</v>
      </c>
      <c r="D6" s="797" t="str">
        <f ca="1">NUMBERSTRING(INT(D5*10000),2)&amp;"元整"</f>
        <v>陆佰柒拾玖万元整</v>
      </c>
    </row>
    <row r="7" spans="1:5" ht="15.6">
      <c r="B7" s="3183"/>
      <c r="C7" s="1393" t="s">
        <v>912</v>
      </c>
      <c r="D7" s="798">
        <f ca="1">结果表1层!H102</f>
        <v>41135</v>
      </c>
    </row>
    <row r="8" spans="1:5" ht="15.6">
      <c r="B8" s="3184" t="str">
        <f>结果表1层!E103</f>
        <v>2.估价师知悉的法定优先受偿款</v>
      </c>
      <c r="C8" s="1394" t="s">
        <v>913</v>
      </c>
      <c r="D8" s="798">
        <f>结果表1层!H103</f>
        <v>0</v>
      </c>
    </row>
    <row r="9" spans="1:5" ht="15.6">
      <c r="B9" s="3186"/>
      <c r="C9" s="1392" t="s">
        <v>911</v>
      </c>
      <c r="D9" s="797" t="str">
        <f>NUMBERSTRING(INT(D8*10000),2)&amp;"元整"</f>
        <v>零元整</v>
      </c>
    </row>
    <row r="10" spans="1:5" ht="15.6">
      <c r="B10" s="1395" t="s">
        <v>916</v>
      </c>
      <c r="C10" s="1396" t="s">
        <v>914</v>
      </c>
      <c r="D10" s="799">
        <f>结果表1层!H104</f>
        <v>0</v>
      </c>
    </row>
    <row r="11" spans="1:5" ht="15.6">
      <c r="B11" s="1395" t="s">
        <v>918</v>
      </c>
      <c r="C11" s="1396" t="s">
        <v>919</v>
      </c>
      <c r="D11" s="799">
        <f>结果表1层!H105</f>
        <v>0</v>
      </c>
    </row>
    <row r="12" spans="1:5" ht="15.6">
      <c r="B12" s="1395" t="s">
        <v>920</v>
      </c>
      <c r="C12" s="1396" t="s">
        <v>919</v>
      </c>
      <c r="D12" s="799">
        <f>结果表1层!H106</f>
        <v>0</v>
      </c>
    </row>
    <row r="13" spans="1:5" ht="15.6">
      <c r="B13" s="3177" t="str">
        <f>结果表1层!E107</f>
        <v>3.房地产抵押价值</v>
      </c>
      <c r="C13" s="1397" t="s">
        <v>910</v>
      </c>
      <c r="D13" s="800">
        <f ca="1">结果表1层!H107</f>
        <v>679</v>
      </c>
    </row>
    <row r="14" spans="1:5" ht="15.6">
      <c r="B14" s="3178"/>
      <c r="C14" s="1392" t="s">
        <v>911</v>
      </c>
      <c r="D14" s="797" t="str">
        <f ca="1">NUMBERSTRING(INT(D13*10000),2)&amp;"元整"</f>
        <v>陆佰柒拾玖万元整</v>
      </c>
    </row>
    <row r="15" spans="1:5" ht="15.6">
      <c r="B15" s="3183"/>
      <c r="C15" s="1393" t="s">
        <v>921</v>
      </c>
      <c r="D15" s="806">
        <f ca="1">结果表1层!H108</f>
        <v>41135</v>
      </c>
    </row>
    <row r="16" spans="1:5" ht="15.6">
      <c r="B16" s="3184" t="str">
        <f>结果表1层!E109</f>
        <v>——</v>
      </c>
      <c r="C16" s="1397" t="s">
        <v>922</v>
      </c>
      <c r="D16" s="1398" t="str">
        <f>结果表1层!H109</f>
        <v>——</v>
      </c>
    </row>
    <row r="17" spans="1:5" ht="15.6">
      <c r="B17" s="3185"/>
      <c r="C17" s="1392" t="s">
        <v>923</v>
      </c>
      <c r="D17" s="797" t="e">
        <f>NUMBERSTRING(INT(D16*10000),2)&amp;"元整"</f>
        <v>#VALUE!</v>
      </c>
    </row>
    <row r="18" spans="1:5" ht="15.6">
      <c r="B18" s="3186"/>
      <c r="C18" s="1393" t="s">
        <v>912</v>
      </c>
      <c r="D18" s="806" t="str">
        <f>结果表1层!H110</f>
        <v>——</v>
      </c>
    </row>
    <row r="19" spans="1:5" ht="15.6">
      <c r="B19" s="3177" t="str">
        <f>结果表1层!E111</f>
        <v>——</v>
      </c>
      <c r="C19" s="1397" t="s">
        <v>910</v>
      </c>
      <c r="D19" s="798" t="str">
        <f>结果表1层!H111</f>
        <v>——</v>
      </c>
    </row>
    <row r="20" spans="1:5" ht="15.6">
      <c r="B20" s="3178"/>
      <c r="C20" s="1392" t="s">
        <v>923</v>
      </c>
      <c r="D20" s="797" t="e">
        <f>NUMBERSTRING(INT(D19*10000),2)&amp;"元整"</f>
        <v>#VALUE!</v>
      </c>
    </row>
    <row r="21" spans="1:5" ht="16.2" thickBot="1">
      <c r="B21" s="3179"/>
      <c r="C21" s="1399" t="s">
        <v>921</v>
      </c>
      <c r="D21" s="807" t="str">
        <f>结果表1层!H112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C0005-7527-47C6-A796-6C4EFC1FA94B}">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3417</v>
      </c>
      <c r="C1" s="1717" t="s">
        <v>1563</v>
      </c>
      <c r="D1" s="190"/>
      <c r="E1" s="190"/>
      <c r="F1" s="190"/>
      <c r="G1" s="1062">
        <f>MATCH(B1,'数据-取费表'!A6:A16,0)+5</f>
        <v>6</v>
      </c>
      <c r="H1" s="998" t="str">
        <f>IF(ISERROR(FIND("住宅",B1)),"非住宅","住宅")</f>
        <v>非住宅</v>
      </c>
    </row>
    <row r="2" spans="1:8" s="192" customFormat="1" ht="18" customHeight="1">
      <c r="A2" s="193" t="s">
        <v>685</v>
      </c>
      <c r="B2" s="3121">
        <f ca="1">ROUND(IF(D2="——",C52/10000,C52/10000-E2),4)</f>
        <v>410.59</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f ca="1">ROUND(B2*10000/(IF(B1="",'数据-汇总表'!E3,INDIRECT("'数据-取费表'!k"&amp;$G$1))),0)</f>
        <v>24871</v>
      </c>
      <c r="C3" s="191" t="s">
        <v>1465</v>
      </c>
      <c r="D3" s="191"/>
      <c r="E3" s="191"/>
      <c r="F3" s="191"/>
      <c r="G3" s="191"/>
    </row>
    <row r="4" spans="1:8" s="200" customFormat="1" ht="16.2">
      <c r="A4" s="197" t="s">
        <v>1466</v>
      </c>
      <c r="B4" s="198"/>
      <c r="C4" s="198"/>
      <c r="D4" s="198"/>
      <c r="E4" s="198"/>
      <c r="F4" s="198"/>
      <c r="G4" s="199"/>
    </row>
    <row r="5" spans="1:8" s="206" customFormat="1" ht="13.5" customHeight="1">
      <c r="A5" s="247" t="s">
        <v>337</v>
      </c>
      <c r="B5" s="202" t="s">
        <v>1468</v>
      </c>
      <c r="C5" s="203">
        <f ca="1">C6+C7+C8</f>
        <v>2904902</v>
      </c>
      <c r="D5" s="203" t="s">
        <v>1469</v>
      </c>
      <c r="E5" s="204" t="s">
        <v>1470</v>
      </c>
      <c r="F5" s="204" t="s">
        <v>1471</v>
      </c>
      <c r="G5" s="205"/>
    </row>
    <row r="6" spans="1:8" s="206" customFormat="1" ht="13.5" customHeight="1">
      <c r="A6" s="732" t="s">
        <v>346</v>
      </c>
      <c r="B6" s="207" t="s">
        <v>1473</v>
      </c>
      <c r="C6" s="208">
        <f>ROUND(基准地价修正1层!C33*基准地价修正1层!D33,0)</f>
        <v>2786884</v>
      </c>
      <c r="D6" s="209"/>
      <c r="E6" s="210"/>
      <c r="F6" s="210"/>
      <c r="G6" s="211"/>
    </row>
    <row r="7" spans="1:8" s="206" customFormat="1" ht="13.5" customHeight="1">
      <c r="A7" s="732" t="s">
        <v>347</v>
      </c>
      <c r="B7" s="207" t="s">
        <v>1475</v>
      </c>
      <c r="C7" s="212">
        <f>ROUND(C6*F7,0)</f>
        <v>85000</v>
      </c>
      <c r="D7" s="212"/>
      <c r="E7" s="210"/>
      <c r="F7" s="213">
        <f>IF(项目基本情况!B8="出让",0,'数据-取费表'!B48+'数据-取费表'!B49)</f>
        <v>3.0499999999999999E-2</v>
      </c>
      <c r="G7" s="211"/>
    </row>
    <row r="8" spans="1:8" s="215" customFormat="1">
      <c r="A8" s="732" t="s">
        <v>348</v>
      </c>
      <c r="B8" s="207" t="s">
        <v>1477</v>
      </c>
      <c r="C8" s="212">
        <f ca="1">IF(G8="已包含在土地购买价格中",0,C9+C10)</f>
        <v>33018</v>
      </c>
      <c r="D8" s="214"/>
      <c r="E8" s="212"/>
      <c r="F8" s="213"/>
      <c r="G8" s="1714" t="s">
        <v>3502</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33018</v>
      </c>
      <c r="D10" s="795">
        <f ca="1">IF(B1="",'数据-汇总表'!E6,IF(INDIRECT("'数据-取费表'!c"&amp;$G$1)="住宅",INDIRECT("'数据-取费表'!s"&amp;$G$1),INDIRECT("'数据-取费表'!k"&amp;$G$1)+INDIRECT("'数据-取费表'!s"&amp;$G$1)))</f>
        <v>165.09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165.09</v>
      </c>
      <c r="E19" s="203">
        <f>'数据-取费表'!B31</f>
        <v>200</v>
      </c>
      <c r="F19" s="223"/>
      <c r="G19" s="1714" t="s">
        <v>3503</v>
      </c>
    </row>
    <row r="20" spans="1:7" s="206" customFormat="1" ht="13.5" customHeight="1">
      <c r="A20" s="247" t="s">
        <v>1493</v>
      </c>
      <c r="B20" s="202" t="s">
        <v>1494</v>
      </c>
      <c r="C20" s="224">
        <f ca="1">ROUND((C5+C19)*F20,0)</f>
        <v>58098</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f ca="1">ROUND(SUM(C23:C25),0)</f>
        <v>88018</v>
      </c>
      <c r="D22" s="227">
        <f ca="1">C26</f>
        <v>2.9999999999999997E-4</v>
      </c>
      <c r="E22" s="228" t="s">
        <v>1498</v>
      </c>
      <c r="F22" s="229">
        <f ca="1">'数据-取费表'!B40</f>
        <v>0.03</v>
      </c>
      <c r="G22" s="226" t="str">
        <f>IF('数据-取费表'!B22&lt;=1,"单利计息","复利计息")</f>
        <v>单利计息</v>
      </c>
    </row>
    <row r="23" spans="1:7" s="206" customFormat="1" ht="13.5" customHeight="1">
      <c r="A23" s="734" t="s">
        <v>346</v>
      </c>
      <c r="B23" s="207" t="s">
        <v>1503</v>
      </c>
      <c r="C23" s="230">
        <f ca="1">ROUND(IF('数据-取费表'!B22&lt;=1,C5*F22*'数据-取费表'!B22,C5*(POWER((1+F22),'数据-取费表'!B22)-1)),0)</f>
        <v>87147</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f ca="1">ROUND(IF('数据-取费表'!B22&lt;=1,C20*F22*'数据-取费表'!B22/2,C20*(POWER((1+F22),'数据-取费表'!B22/2)-1)),0)</f>
        <v>871</v>
      </c>
      <c r="D25" s="230"/>
      <c r="E25" s="233"/>
      <c r="F25" s="231"/>
      <c r="G25" s="234" t="s">
        <v>1510</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f ca="1">C28</f>
        <v>296300</v>
      </c>
      <c r="D27" s="227">
        <f ca="1">C29</f>
        <v>2E-3</v>
      </c>
      <c r="E27" s="228" t="s">
        <v>1498</v>
      </c>
      <c r="F27" s="238">
        <f ca="1">IF(B1="",'数据-取费表'!Q16,INDIRECT("'数据-取费表'!q"&amp;$G$1))</f>
        <v>0.1</v>
      </c>
      <c r="G27" s="239" t="s">
        <v>1515</v>
      </c>
    </row>
    <row r="28" spans="1:7" s="206" customFormat="1" ht="13.5" customHeight="1">
      <c r="A28" s="734" t="s">
        <v>346</v>
      </c>
      <c r="B28" s="240" t="s">
        <v>1516</v>
      </c>
      <c r="C28" s="241">
        <f ca="1">ROUND((C5+C19+C20)*F27,0)</f>
        <v>296300</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3621071</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562957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495270</v>
      </c>
      <c r="D34" s="209"/>
      <c r="E34" s="212"/>
      <c r="F34" s="249"/>
      <c r="G34" s="211"/>
    </row>
    <row r="35" spans="1:7" ht="13.5" customHeight="1">
      <c r="A35" s="734" t="s">
        <v>351</v>
      </c>
      <c r="B35" s="207" t="s">
        <v>1527</v>
      </c>
      <c r="C35" s="212">
        <f ca="1">ROUND(C34*F35,0)</f>
        <v>24764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33018</v>
      </c>
      <c r="D37" s="209">
        <f ca="1">D19</f>
        <v>165.09</v>
      </c>
      <c r="E37" s="241">
        <f>'数据-取费表'!B35</f>
        <v>200</v>
      </c>
      <c r="F37" s="251"/>
      <c r="G37" s="253"/>
    </row>
    <row r="38" spans="1:7" ht="13.5" customHeight="1">
      <c r="A38" s="734" t="s">
        <v>354</v>
      </c>
      <c r="B38" s="207" t="s">
        <v>1533</v>
      </c>
      <c r="C38" s="212">
        <f ca="1">ROUND(C34*F38,0)</f>
        <v>9905</v>
      </c>
      <c r="D38" s="212"/>
      <c r="E38" s="212"/>
      <c r="F38" s="251">
        <f>'数据-取费表'!B36</f>
        <v>0.02</v>
      </c>
      <c r="G38" s="211" t="s">
        <v>1528</v>
      </c>
    </row>
    <row r="39" spans="1:7" s="206" customFormat="1" ht="13.5" customHeight="1">
      <c r="A39" s="247" t="s">
        <v>1491</v>
      </c>
      <c r="B39" s="202" t="s">
        <v>1494</v>
      </c>
      <c r="C39" s="224">
        <f ca="1">ROUND(C33*F20,0)</f>
        <v>11259</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8613</v>
      </c>
      <c r="D41" s="227">
        <f ca="1">C44</f>
        <v>2.9999999999999997E-4</v>
      </c>
      <c r="E41" s="228" t="s">
        <v>1539</v>
      </c>
      <c r="F41" s="229">
        <f ca="1">F22</f>
        <v>0.03</v>
      </c>
      <c r="G41" s="226" t="str">
        <f>IF('数据-取费表'!B22&lt;=1,"单利计息","复利计息")</f>
        <v>单利计息</v>
      </c>
    </row>
    <row r="42" spans="1:7" ht="13.5" customHeight="1">
      <c r="A42" s="734" t="s">
        <v>346</v>
      </c>
      <c r="B42" s="207" t="s">
        <v>1503</v>
      </c>
      <c r="C42" s="230">
        <f ca="1">ROUND(IF('数据-取费表'!B22&lt;=1,C33*F22*'数据-取费表'!B20/2,C33*(POWER((1+F22),'数据-取费表'!B20/2)-1)),0)</f>
        <v>8444</v>
      </c>
      <c r="D42" s="230"/>
      <c r="E42" s="230"/>
      <c r="F42" s="231"/>
      <c r="G42" s="3358" t="s">
        <v>1591</v>
      </c>
    </row>
    <row r="43" spans="1:7" ht="13.5" customHeight="1">
      <c r="A43" s="734" t="s">
        <v>347</v>
      </c>
      <c r="B43" s="207" t="s">
        <v>1506</v>
      </c>
      <c r="C43" s="230">
        <f ca="1">ROUND(IF('数据-取费表'!B22&lt;=1,C39*F22*'数据-取费表'!B20/2,C39*(POWER((1+F22),'数据-取费表'!B20/2)-1)),0)</f>
        <v>169</v>
      </c>
      <c r="D43" s="230"/>
      <c r="E43" s="230"/>
      <c r="F43" s="231"/>
      <c r="G43" s="3359"/>
    </row>
    <row r="44" spans="1:7" ht="13.5" customHeight="1">
      <c r="A44" s="734" t="s">
        <v>348</v>
      </c>
      <c r="B44" s="207" t="s">
        <v>1509</v>
      </c>
      <c r="C44" s="230">
        <f ca="1">ROUND(IF('数据-取费表'!B22&lt;=1,C40*F22*'数据-取费表'!B20/2,C40*(POWER((1+F22),'数据-取费表'!B20/2)-1)),4)</f>
        <v>2.9999999999999997E-4</v>
      </c>
      <c r="D44" s="230"/>
      <c r="E44" s="230"/>
      <c r="F44" s="231"/>
      <c r="G44" s="3360"/>
    </row>
    <row r="45" spans="1:7" s="206" customFormat="1" ht="13.5" customHeight="1">
      <c r="A45" s="247" t="s">
        <v>1500</v>
      </c>
      <c r="B45" s="236" t="s">
        <v>1513</v>
      </c>
      <c r="C45" s="237">
        <f ca="1">C46</f>
        <v>57422</v>
      </c>
      <c r="D45" s="227">
        <f ca="1">C47</f>
        <v>2E-3</v>
      </c>
      <c r="E45" s="228" t="s">
        <v>1539</v>
      </c>
      <c r="F45" s="238">
        <f ca="1">F27</f>
        <v>0.1</v>
      </c>
      <c r="G45" s="239" t="s">
        <v>1548</v>
      </c>
    </row>
    <row r="46" spans="1:7" s="206" customFormat="1" ht="13.5" customHeight="1">
      <c r="A46" s="734" t="s">
        <v>346</v>
      </c>
      <c r="B46" s="240" t="s">
        <v>1549</v>
      </c>
      <c r="C46" s="241">
        <f ca="1">ROUND((C33+C39)*F27,0)</f>
        <v>57422</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692613</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f ca="1">ROUND(C49*F50,0)</f>
        <v>484829</v>
      </c>
      <c r="D51" s="224"/>
      <c r="E51" s="224"/>
      <c r="F51" s="256"/>
      <c r="G51" s="226" t="s">
        <v>1560</v>
      </c>
    </row>
    <row r="52" spans="1:7" s="200" customFormat="1" ht="16.8" thickBot="1">
      <c r="A52" s="257" t="s">
        <v>1561</v>
      </c>
      <c r="B52" s="258"/>
      <c r="C52" s="259">
        <f ca="1">C31+C51</f>
        <v>4105900</v>
      </c>
      <c r="D52" s="258"/>
      <c r="E52" s="258"/>
      <c r="F52" s="258"/>
      <c r="G52" s="260"/>
    </row>
    <row r="55" spans="1:7" ht="15">
      <c r="B55" s="262" t="s">
        <v>1562</v>
      </c>
      <c r="C55" s="263"/>
    </row>
    <row r="56" spans="1:7">
      <c r="B56" s="265" t="s">
        <v>802</v>
      </c>
      <c r="C56" s="267">
        <f ca="1">1-C57</f>
        <v>0.88200000000000001</v>
      </c>
    </row>
    <row r="57" spans="1:7">
      <c r="B57" s="265" t="s">
        <v>803</v>
      </c>
      <c r="C57" s="266">
        <f ca="1">ROUND(C51/C52,3)</f>
        <v>0.11799999999999999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D347F506-AFE6-4119-8704-61276A639068}">
      <formula1>"需扣减承租人权益,——"</formula1>
    </dataValidation>
    <dataValidation type="list" allowBlank="1" showInputMessage="1" showErrorMessage="1" sqref="G2" xr:uid="{0BD47732-5BB0-4580-91A8-385CB0B8ECC3}">
      <formula1>估价方法</formula1>
    </dataValidation>
    <dataValidation type="list" allowBlank="1" showInputMessage="1" showErrorMessage="1" sqref="B1" xr:uid="{76AB8BE5-59E7-45A9-BD0D-7602D8384F9A}">
      <formula1>项目类型</formula1>
    </dataValidation>
    <dataValidation type="list" allowBlank="1" showInputMessage="1" showErrorMessage="1" sqref="G19" xr:uid="{489FD373-D13F-43C7-959C-4C46A25FE176}">
      <formula1>"已包含在土地取得成本中,未包含在土地取得成本中"</formula1>
    </dataValidation>
    <dataValidation type="list" allowBlank="1" showInputMessage="1" showErrorMessage="1" sqref="G8" xr:uid="{3531CEF6-501B-4D93-B3F7-804F63642D4D}">
      <formula1>"已包含在土地购买价格中,未包含在土地购买价格中"</formula1>
    </dataValidation>
  </dataValidations>
  <pageMargins left="0.7" right="0.7" top="0.75" bottom="0.75" header="0.3" footer="0.3"/>
  <pageSetup paperSize="9" scale="78"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13066-31F0-4681-906C-180A58017BCA}">
  <sheetPr>
    <tabColor rgb="FF92D050"/>
  </sheetPr>
  <dimension ref="A1:AK122"/>
  <sheetViews>
    <sheetView view="pageBreakPreview" topLeftCell="A28" zoomScaleNormal="80" zoomScaleSheetLayoutView="100" workbookViewId="0">
      <selection activeCell="A4" sqref="A4:J4"/>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165.09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9"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Ⅴ-32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16881</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0</v>
      </c>
      <c r="C3" s="1846" t="s">
        <v>1941</v>
      </c>
      <c r="D3" s="162" t="s">
        <v>1942</v>
      </c>
      <c r="E3" s="3117" t="s">
        <v>2435</v>
      </c>
      <c r="F3" s="1848"/>
      <c r="G3" s="708">
        <f>IF(F3="宗地容积率",'数据-汇总表'!I4,IF(F3="估价对象容积率",'数据-汇总表'!I6,'数据-汇总表'!I7))</f>
        <v>0</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13306</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70"/>
      <c r="B4" s="3471"/>
      <c r="C4" s="3471"/>
      <c r="D4" s="3472"/>
      <c r="E4" s="3472"/>
      <c r="F4" s="3472"/>
      <c r="G4" s="3472"/>
      <c r="H4" s="3472"/>
      <c r="I4" s="3472"/>
      <c r="J4" s="347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11245</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14860</v>
      </c>
      <c r="D5" s="1252">
        <f>ROUND(C6*C17+C20,0)</f>
        <v>14860</v>
      </c>
      <c r="E5" s="1252"/>
      <c r="F5" s="1851"/>
      <c r="G5" s="1852"/>
      <c r="H5" s="1852"/>
      <c r="I5" s="1852"/>
      <c r="J5" s="1853"/>
      <c r="K5" s="1854"/>
      <c r="L5" s="1847" t="s">
        <v>1948</v>
      </c>
      <c r="M5" s="811">
        <f>SUMPRODUCT((区片价!B87:B126=I2)*(区片价!C3:G3=E2)*(区片价!C87:G126))</f>
        <v>14860</v>
      </c>
      <c r="N5" s="813">
        <f>SUMPRODUCT((因素修正幅度!B87:B126=I2)*(因素修正幅度!C3:G3=E2)*(因素修正幅度!C87:G126))</f>
        <v>0.1</v>
      </c>
      <c r="O5" s="1056"/>
      <c r="P5" s="1056"/>
      <c r="Q5" s="1056"/>
      <c r="R5" s="1129">
        <v>4</v>
      </c>
      <c r="S5" s="3062">
        <f>ROUND(SUMPRODUCT((B106:B110=R5)*(C105:N105=G2)*(C106:N110)),4)</f>
        <v>0.88239999999999996</v>
      </c>
      <c r="T5" s="3062">
        <f t="shared" si="0"/>
        <v>9918</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14860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9531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3233</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五级</v>
      </c>
      <c r="Y7" s="1131" t="s">
        <v>1956</v>
      </c>
      <c r="Z7" s="1132">
        <f>G3</f>
        <v>0</v>
      </c>
      <c r="AA7" s="1133"/>
      <c r="AB7" s="1133"/>
      <c r="AC7" s="1134"/>
      <c r="AD7" s="1135"/>
      <c r="AE7" s="1135"/>
      <c r="AF7" s="1135"/>
      <c r="AG7" s="1135"/>
      <c r="AH7" s="1135"/>
      <c r="AI7" s="1135"/>
      <c r="AJ7" s="1136"/>
    </row>
    <row r="8" spans="1:36" ht="26.4">
      <c r="A8" s="3008"/>
      <c r="B8" s="162" t="s">
        <v>1957</v>
      </c>
      <c r="C8" s="1870" t="s">
        <v>3497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4" t="s">
        <v>1960</v>
      </c>
      <c r="X8" s="347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76"/>
      <c r="X9" s="3063" t="s">
        <v>3264</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3234</v>
      </c>
      <c r="B12" s="3012" t="s">
        <v>3235</v>
      </c>
      <c r="C12" s="3013"/>
      <c r="D12" s="3014" t="s">
        <v>3236</v>
      </c>
      <c r="E12" s="3015" t="s">
        <v>3237</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3238</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3239</v>
      </c>
      <c r="G14" s="3019" t="s">
        <v>3239</v>
      </c>
      <c r="H14" s="3019" t="s">
        <v>3239</v>
      </c>
      <c r="I14" s="3019" t="s">
        <v>3239</v>
      </c>
      <c r="J14" s="3019" t="s">
        <v>3239</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3240</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3241</v>
      </c>
      <c r="B17" s="3026" t="s">
        <v>3242</v>
      </c>
      <c r="C17" s="3035">
        <f>ROUND(IF(OR(E2="工业",E2="公共服务"),1,IF(AND(E18=0,E19=0),1,IF(AND(E18=J24,E19=G19),0.8,IF(E19=0,1+E17*(-0.2),1+E17*G17*(-0.2))))),4)</f>
        <v>1</v>
      </c>
      <c r="D17" s="3027" t="s">
        <v>3243</v>
      </c>
      <c r="E17" s="3035">
        <f>ROUND(G18/I18,2)</f>
        <v>0</v>
      </c>
      <c r="F17" s="3027" t="s">
        <v>3246</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3244</v>
      </c>
      <c r="E18" s="2356"/>
      <c r="F18" s="3029" t="s">
        <v>3247</v>
      </c>
      <c r="G18" s="3033">
        <f>ROUND(1-(1/(POWER(1+G24,E18))),4)</f>
        <v>0</v>
      </c>
      <c r="H18" s="3029" t="s">
        <v>3249</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3245</v>
      </c>
      <c r="E19" s="3042"/>
      <c r="F19" s="3043" t="s">
        <v>3248</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77" t="s">
        <v>3250</v>
      </c>
      <c r="B20" s="159" t="s">
        <v>1994</v>
      </c>
      <c r="C20" s="3030">
        <f>ROUND(IF(F21="与级别开发程度一致",0,(G21-E21)/C21),0)</f>
        <v>0</v>
      </c>
      <c r="D20" s="3045" t="s">
        <v>1998</v>
      </c>
      <c r="E20" s="3046"/>
      <c r="F20" s="3479" t="s">
        <v>1995</v>
      </c>
      <c r="G20" s="3480"/>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78"/>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75" t="s">
        <v>3498</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5" t="s">
        <v>363</v>
      </c>
      <c r="B22" s="1996" t="s">
        <v>2000</v>
      </c>
      <c r="C22" s="1997">
        <f>SUMIF(修正!C20:C51,E3,修正!E20:E51)</f>
        <v>1</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45831</v>
      </c>
      <c r="H23" s="3047" t="s">
        <v>3252</v>
      </c>
      <c r="I23" s="3048" t="str">
        <f>IF(H23="季度增幅（自定义）",SUMIF(N25:N28,E2,O25:O28),"")</f>
        <v/>
      </c>
      <c r="J23" s="3140" t="s">
        <v>3251</v>
      </c>
      <c r="K23" s="1061"/>
      <c r="L23" s="1897" t="s">
        <v>2004</v>
      </c>
      <c r="M23" s="1241">
        <f>ROUND(SUMIF(地价!B2:G2,E2,地价!B16:G16),0)</f>
        <v>350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0.69410000000000005</v>
      </c>
      <c r="D24" s="1902" t="s">
        <v>2007</v>
      </c>
      <c r="E24" s="1248">
        <f>存贷款利率!E28/100</f>
        <v>4.3499999999999997E-2</v>
      </c>
      <c r="F24" s="1902" t="s">
        <v>1999</v>
      </c>
      <c r="G24" s="724">
        <f>SUMIF(M30:Q30,E2,M33:Q33)</f>
        <v>5.5E-2</v>
      </c>
      <c r="H24" s="1902" t="s">
        <v>2008</v>
      </c>
      <c r="I24" s="725">
        <f>SUMIF('数据-取费表'!C6:C15,E2,'数据-取费表'!F6:F15)/COUNTIF('数据-取费表'!C6:C15,E2)</f>
        <v>17.71</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3499</v>
      </c>
      <c r="C25" s="461">
        <f>IF(B25="容积率修正",IF(G3&lt;10,D26,J26),C27)</f>
        <v>1.5019</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3254</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1.054</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0</v>
      </c>
      <c r="D30" s="1925"/>
      <c r="E30" s="1842"/>
      <c r="F30" s="1926"/>
      <c r="G30" s="1842"/>
      <c r="H30" s="1842"/>
      <c r="I30" s="1842"/>
      <c r="J30" s="1927"/>
      <c r="K30" s="1056"/>
      <c r="L30" s="3054" t="s">
        <v>1936</v>
      </c>
      <c r="M30" s="3055" t="s">
        <v>1990</v>
      </c>
      <c r="N30" s="3055" t="s">
        <v>1991</v>
      </c>
      <c r="O30" s="3055" t="s">
        <v>1992</v>
      </c>
      <c r="P30" s="3055" t="s">
        <v>1993</v>
      </c>
      <c r="Q30" s="3058"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16881</v>
      </c>
      <c r="D33" s="1940">
        <f>'数据-汇总表'!E19</f>
        <v>165.09</v>
      </c>
      <c r="E33" s="727">
        <f>ROUND(C33*D33/10000,0)</f>
        <v>279</v>
      </c>
      <c r="F33" s="3049" t="s">
        <v>3256</v>
      </c>
      <c r="G33" s="1941"/>
      <c r="H33" s="1941"/>
      <c r="I33" s="1941"/>
      <c r="J33" s="1942"/>
      <c r="K33" s="1056"/>
      <c r="L33" s="3052" t="s">
        <v>3259</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3260</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1"/>
      <c r="B37" s="1955" t="s">
        <v>2036</v>
      </c>
      <c r="C37" s="167">
        <f>ROUND(D5*C22*C23*C24*C28*F37,0)</f>
        <v>6744</v>
      </c>
      <c r="D37" s="1940"/>
      <c r="E37" s="163">
        <f>ROUND(C37*D37/10000,0)</f>
        <v>0</v>
      </c>
      <c r="F37" s="163">
        <f>SUMIF(修正!A57:A68,G2,修正!B57:B68)</f>
        <v>0.6</v>
      </c>
      <c r="G37" s="163">
        <f>ROUND(IF(E2="工业",C37*$M$42,C37*$M$41),0)</f>
        <v>1686</v>
      </c>
      <c r="H37" s="163">
        <f>D37</f>
        <v>0</v>
      </c>
      <c r="I37" s="163">
        <f>ROUND(G37*H37/10000,0)</f>
        <v>0</v>
      </c>
      <c r="J37" s="2753"/>
      <c r="K37" s="3060" t="s">
        <v>3262</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2"/>
      <c r="B38" s="1884" t="s">
        <v>2037</v>
      </c>
      <c r="C38" s="167">
        <f>ROUND(D5*C22*C23*C24*C28*F38,0)</f>
        <v>3372</v>
      </c>
      <c r="D38" s="1940"/>
      <c r="E38" s="163">
        <f t="shared" ref="E38:E42" si="4">ROUND(C38*D38/10000,0)</f>
        <v>0</v>
      </c>
      <c r="F38" s="163">
        <f>SUMIF(修正!A57:A68,G2,修正!C57:C68)</f>
        <v>0.3</v>
      </c>
      <c r="G38" s="163">
        <f>ROUND(IF(E2="工业",C38*$M$42,C38*$M$41),0)</f>
        <v>843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2"/>
      <c r="B39" s="1884" t="s">
        <v>3255</v>
      </c>
      <c r="C39" s="167">
        <f>ROUND(D5*C22*C23*C24*C28*F39,0)</f>
        <v>2810</v>
      </c>
      <c r="D39" s="1940"/>
      <c r="E39" s="163">
        <f t="shared" si="4"/>
        <v>0</v>
      </c>
      <c r="F39" s="163">
        <f>SUMIF(修正!A57:A68,G2,修正!D57:D68)</f>
        <v>0.25</v>
      </c>
      <c r="G39" s="163">
        <f>ROUND(IF(E2="工业",C39*$M$42,C39*$M$41),0)</f>
        <v>703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2810</v>
      </c>
      <c r="D40" s="1940"/>
      <c r="E40" s="163">
        <f t="shared" si="4"/>
        <v>0</v>
      </c>
      <c r="F40" s="167">
        <f>SUMIF(修正!A57:A68,G2,修正!E57:E68)</f>
        <v>0.25</v>
      </c>
      <c r="G40" s="163">
        <f>ROUND(IF(E2="工业",C40*$M$42,C40*$M$41),0)</f>
        <v>703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2118</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1.054</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3500</v>
      </c>
      <c r="D50" s="1002">
        <f t="shared" ref="D50:D58" si="7">SUMIF($J$49:$N$49,C50,J50:N50)</f>
        <v>1.4999999999999999E-2</v>
      </c>
      <c r="E50" s="702">
        <f>ROUND(SUM(D50:D58),4)</f>
        <v>5.3999999999999999E-2</v>
      </c>
      <c r="F50" s="1675">
        <f>IF(E2="商业",SUMIF(L1:L12,G2,N1:N12),"——")</f>
        <v>0.1</v>
      </c>
      <c r="G50" s="1000">
        <v>1.4999999999999999E-2</v>
      </c>
      <c r="H50" s="1003">
        <f t="shared" ref="H50:H58" si="8">IFERROR(ROUNDDOWN($F$50*I50/2,4),"——")</f>
        <v>1.4999999999999999E-2</v>
      </c>
      <c r="I50" s="3067">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3500</v>
      </c>
      <c r="D51" s="1002">
        <f t="shared" si="7"/>
        <v>1.0999999999999999E-2</v>
      </c>
      <c r="E51" s="703"/>
      <c r="F51" s="1675"/>
      <c r="G51" s="1000">
        <v>1.0999999999999999E-2</v>
      </c>
      <c r="H51" s="1003">
        <f t="shared" si="8"/>
        <v>1.0999999999999999E-2</v>
      </c>
      <c r="I51" s="3067">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48">
      <c r="A52" s="3069" t="s">
        <v>3265</v>
      </c>
      <c r="B52" s="1262">
        <f>估价对象房地状况!C19</f>
        <v>0</v>
      </c>
      <c r="C52" s="1887" t="s">
        <v>3500</v>
      </c>
      <c r="D52" s="1002">
        <f t="shared" si="7"/>
        <v>6.0000000000000001E-3</v>
      </c>
      <c r="E52" s="703"/>
      <c r="F52" s="1675"/>
      <c r="G52" s="1000">
        <v>6.0000000000000001E-3</v>
      </c>
      <c r="H52" s="1003">
        <f t="shared" si="8"/>
        <v>6.0000000000000001E-3</v>
      </c>
      <c r="I52" s="3067">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3500</v>
      </c>
      <c r="D53" s="1002">
        <f t="shared" si="7"/>
        <v>2.5000000000000001E-3</v>
      </c>
      <c r="E53" s="703"/>
      <c r="F53" s="1675"/>
      <c r="G53" s="1000">
        <v>2.5000000000000001E-3</v>
      </c>
      <c r="H53" s="1003">
        <f t="shared" si="8"/>
        <v>2.5000000000000001E-3</v>
      </c>
      <c r="I53" s="3067">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3500</v>
      </c>
      <c r="D54" s="1002">
        <f t="shared" si="7"/>
        <v>4.0000000000000001E-3</v>
      </c>
      <c r="E54" s="703"/>
      <c r="F54" s="1675"/>
      <c r="G54" s="1000">
        <v>4.0000000000000001E-3</v>
      </c>
      <c r="H54" s="1003">
        <f t="shared" si="8"/>
        <v>4.0000000000000001E-3</v>
      </c>
      <c r="I54" s="3067">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36">
      <c r="A55" s="1970" t="s">
        <v>2057</v>
      </c>
      <c r="B55" s="1975" t="s">
        <v>2058</v>
      </c>
      <c r="C55" s="1887" t="s">
        <v>3500</v>
      </c>
      <c r="D55" s="1002">
        <f t="shared" si="7"/>
        <v>2.5000000000000001E-3</v>
      </c>
      <c r="E55" s="703"/>
      <c r="F55" s="1675"/>
      <c r="G55" s="1000">
        <v>2.5000000000000001E-3</v>
      </c>
      <c r="H55" s="1003">
        <f t="shared" si="8"/>
        <v>2.5000000000000001E-3</v>
      </c>
      <c r="I55" s="3067">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3500</v>
      </c>
      <c r="D56" s="1002">
        <f t="shared" si="7"/>
        <v>2.5000000000000001E-3</v>
      </c>
      <c r="E56" s="703"/>
      <c r="F56" s="1675"/>
      <c r="G56" s="1000">
        <v>2.5000000000000001E-3</v>
      </c>
      <c r="H56" s="1003">
        <f t="shared" si="8"/>
        <v>2.5000000000000001E-3</v>
      </c>
      <c r="I56" s="3067">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3501</v>
      </c>
      <c r="D57" s="1002">
        <f t="shared" si="7"/>
        <v>8.0000000000000002E-3</v>
      </c>
      <c r="E57" s="703"/>
      <c r="F57" s="1675"/>
      <c r="G57" s="1000">
        <v>4.0000000000000001E-3</v>
      </c>
      <c r="H57" s="1003">
        <f t="shared" si="8"/>
        <v>4.0000000000000001E-3</v>
      </c>
      <c r="I57" s="3067">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3500</v>
      </c>
      <c r="D58" s="1002">
        <f t="shared" si="7"/>
        <v>2.5000000000000001E-3</v>
      </c>
      <c r="E58" s="704"/>
      <c r="F58" s="1675"/>
      <c r="G58" s="1000">
        <v>2.5000000000000001E-3</v>
      </c>
      <c r="H58" s="1003">
        <f t="shared" si="8"/>
        <v>2.5000000000000001E-3</v>
      </c>
      <c r="I58" s="3068">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3265</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3265</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3265</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2608</v>
      </c>
      <c r="B91" s="3078">
        <f>1+E93</f>
        <v>1</v>
      </c>
      <c r="C91" s="3071"/>
      <c r="D91" s="3072"/>
      <c r="E91" s="1675"/>
      <c r="F91" s="1675"/>
      <c r="G91" s="3073"/>
      <c r="H91" s="3074"/>
      <c r="I91" s="3075"/>
      <c r="J91" s="3076"/>
      <c r="K91" s="3076"/>
      <c r="L91" s="3076"/>
      <c r="M91" s="3076"/>
      <c r="N91" s="3076"/>
    </row>
    <row r="92" spans="1:37" ht="25.2">
      <c r="A92" s="3079" t="s">
        <v>2044</v>
      </c>
      <c r="B92" s="2309"/>
      <c r="C92" s="2309" t="s">
        <v>2046</v>
      </c>
      <c r="D92" s="2309" t="s">
        <v>2047</v>
      </c>
      <c r="E92" s="3051" t="s">
        <v>2048</v>
      </c>
      <c r="F92" s="3081" t="s">
        <v>3279</v>
      </c>
      <c r="G92" s="2309" t="s">
        <v>1989</v>
      </c>
      <c r="H92" s="3088" t="s">
        <v>3283</v>
      </c>
      <c r="I92" s="2309" t="s">
        <v>2051</v>
      </c>
      <c r="J92" s="2149" t="s">
        <v>1721</v>
      </c>
      <c r="K92" s="2149" t="s">
        <v>1722</v>
      </c>
      <c r="L92" s="2149" t="s">
        <v>1723</v>
      </c>
      <c r="M92" s="2149" t="s">
        <v>1724</v>
      </c>
      <c r="N92" s="2149" t="s">
        <v>1725</v>
      </c>
    </row>
    <row r="93" spans="1:37" ht="24">
      <c r="A93" s="3069" t="s">
        <v>3268</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2053</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3265</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2054</v>
      </c>
      <c r="B96" s="3085" t="s">
        <v>3281</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2056</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2057</v>
      </c>
      <c r="B98" s="3086" t="s">
        <v>3282</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2059</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2060</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2061</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4" t="s">
        <v>3290</v>
      </c>
      <c r="B103" s="3464"/>
      <c r="C103" s="3464"/>
      <c r="D103" s="3464"/>
      <c r="E103" s="3464"/>
      <c r="F103" s="3464"/>
      <c r="G103" s="3464"/>
      <c r="H103" s="3464"/>
      <c r="I103" s="3464"/>
      <c r="J103" s="3464"/>
      <c r="K103" s="1667"/>
      <c r="L103" s="1667"/>
      <c r="M103" s="1667"/>
      <c r="N103" s="1667"/>
    </row>
    <row r="104" spans="1:14">
      <c r="A104" s="3465" t="s">
        <v>3291</v>
      </c>
      <c r="B104" s="3465" t="s">
        <v>3292</v>
      </c>
      <c r="C104" s="3089" t="s">
        <v>3293</v>
      </c>
      <c r="D104" s="3090"/>
      <c r="E104" s="3090"/>
      <c r="F104" s="3090"/>
      <c r="G104" s="3090"/>
      <c r="H104" s="3090"/>
      <c r="I104" s="3090"/>
      <c r="J104" s="3091"/>
      <c r="K104" s="3092"/>
      <c r="L104" s="3092"/>
      <c r="M104" s="3092"/>
      <c r="N104" s="3092"/>
    </row>
    <row r="105" spans="1:14">
      <c r="A105" s="3465"/>
      <c r="B105" s="3465"/>
      <c r="C105" s="3093" t="s">
        <v>1961</v>
      </c>
      <c r="D105" s="3093" t="s">
        <v>1962</v>
      </c>
      <c r="E105" s="3093" t="s">
        <v>1963</v>
      </c>
      <c r="F105" s="3093" t="s">
        <v>1964</v>
      </c>
      <c r="G105" s="3093" t="s">
        <v>1965</v>
      </c>
      <c r="H105" s="3093" t="s">
        <v>1966</v>
      </c>
      <c r="I105" s="3093" t="s">
        <v>1967</v>
      </c>
      <c r="J105" s="3093" t="s">
        <v>1968</v>
      </c>
      <c r="K105" s="3093" t="s">
        <v>1969</v>
      </c>
      <c r="L105" s="3093" t="s">
        <v>1970</v>
      </c>
      <c r="M105" s="3093" t="s">
        <v>1971</v>
      </c>
      <c r="N105" s="3093" t="s">
        <v>1972</v>
      </c>
    </row>
    <row r="106" spans="1:14">
      <c r="A106" s="3466" t="s">
        <v>3306</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7"/>
      <c r="B111" s="3093" t="s">
        <v>3264</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468"/>
      <c r="B112" s="3093">
        <v>6</v>
      </c>
      <c r="C112" s="3088">
        <f>(-0.5556*(C111^2)-0.2719*C111+8944)*(10^(-4))</f>
        <v>0.89431725000000006</v>
      </c>
      <c r="D112" s="3088">
        <f>(-0.5556*(D111^2)-0.2719*D111+8944)*(10^(-4))</f>
        <v>0.89431725000000006</v>
      </c>
      <c r="E112" s="3088">
        <f>(-0.7912*(E111^2)-11.3794*E111+8482)*(10^(-4))</f>
        <v>0.84698294000000007</v>
      </c>
      <c r="F112" s="3088">
        <f t="shared" ref="F112:I112" si="33">(-0.7912*(F111^2)-11.3794*F111+8482)*(10^(-4))</f>
        <v>0.84698294000000007</v>
      </c>
      <c r="G112" s="3088">
        <f t="shared" si="33"/>
        <v>0.84698294000000007</v>
      </c>
      <c r="H112" s="3088">
        <f t="shared" si="33"/>
        <v>0.84698294000000007</v>
      </c>
      <c r="I112" s="3088">
        <f t="shared" si="33"/>
        <v>0.84698294000000007</v>
      </c>
      <c r="J112" s="3088">
        <f>(-0.989*(J111^2)-63.78*J111+7771)*(10^(-4))</f>
        <v>0.77062310000000001</v>
      </c>
      <c r="K112" s="3088">
        <f t="shared" ref="K112:N112" si="34">(-0.989*(K111^2)-63.78*K111+7771)*(10^(-4))</f>
        <v>0.77062310000000001</v>
      </c>
      <c r="L112" s="3088">
        <f t="shared" si="34"/>
        <v>0.77062310000000001</v>
      </c>
      <c r="M112" s="3088">
        <f t="shared" si="34"/>
        <v>0.77062310000000001</v>
      </c>
      <c r="N112" s="3088">
        <f t="shared" si="34"/>
        <v>0.77062310000000001</v>
      </c>
    </row>
    <row r="113" spans="1:14">
      <c r="A113" s="3469" t="s">
        <v>3307</v>
      </c>
      <c r="B113" s="3469"/>
      <c r="C113" s="3469"/>
      <c r="D113" s="3469"/>
      <c r="E113" s="3469"/>
      <c r="F113" s="3469"/>
      <c r="G113" s="3469"/>
      <c r="H113" s="3469"/>
      <c r="I113" s="3469"/>
      <c r="J113" s="3469"/>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3308</v>
      </c>
      <c r="B116" s="3113">
        <f>G3</f>
        <v>0</v>
      </c>
      <c r="C116" s="3098" t="s">
        <v>3309</v>
      </c>
      <c r="D116" s="3099">
        <f>SUMPRODUCT((A118:A122=F116)*(B117:M117=H116)*B118:M122)</f>
        <v>0.94899999999999995</v>
      </c>
      <c r="E116" s="162" t="s">
        <v>1936</v>
      </c>
      <c r="F116" s="3100" t="str">
        <f>E2</f>
        <v>商业</v>
      </c>
      <c r="G116" s="162" t="s">
        <v>1937</v>
      </c>
      <c r="H116" s="3100" t="str">
        <f>G2</f>
        <v>五级</v>
      </c>
      <c r="I116" s="162"/>
      <c r="J116" s="3101"/>
      <c r="K116" s="3101"/>
      <c r="L116" s="3101"/>
      <c r="M116" s="3101"/>
      <c r="N116" s="3096"/>
    </row>
    <row r="117" spans="1:14">
      <c r="A117" s="3102"/>
      <c r="B117" s="3103" t="s">
        <v>3312</v>
      </c>
      <c r="C117" s="3103" t="s">
        <v>3313</v>
      </c>
      <c r="D117" s="3103" t="s">
        <v>3314</v>
      </c>
      <c r="E117" s="3104" t="s">
        <v>3315</v>
      </c>
      <c r="F117" s="3104" t="s">
        <v>3316</v>
      </c>
      <c r="G117" s="3104" t="s">
        <v>3317</v>
      </c>
      <c r="H117" s="3105" t="s">
        <v>3318</v>
      </c>
      <c r="I117" s="3105" t="s">
        <v>3319</v>
      </c>
      <c r="J117" s="3106" t="s">
        <v>3320</v>
      </c>
      <c r="K117" s="3106" t="s">
        <v>3321</v>
      </c>
      <c r="L117" s="3106" t="s">
        <v>3322</v>
      </c>
      <c r="M117" s="3107" t="s">
        <v>3323</v>
      </c>
      <c r="N117" s="3096"/>
    </row>
    <row r="118" spans="1:14">
      <c r="A118" s="3056" t="s">
        <v>1990</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1991</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1992</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1993</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2608</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2">
    <dataValidation type="list" allowBlank="1" showInputMessage="1" showErrorMessage="1" sqref="J23" xr:uid="{5FE933E5-D7C4-45EE-92F4-0B7248FC891A}">
      <formula1>"不用分区数据,中心城区,中心城区以外"</formula1>
    </dataValidation>
    <dataValidation type="list" allowBlank="1" showInputMessage="1" showErrorMessage="1" sqref="H20:O20" xr:uid="{3200FBF7-CE0D-474F-AB2A-48FCC3D2C98B}">
      <formula1>七通一平</formula1>
    </dataValidation>
    <dataValidation type="list" allowBlank="1" showInputMessage="1" showErrorMessage="1" sqref="H23" xr:uid="{B75808A8-BD0C-4A2F-8EBC-79A710AEE639}">
      <formula1>"地价指数,季度增幅（自定义）,按公示增长率计算"</formula1>
    </dataValidation>
    <dataValidation type="list" allowBlank="1" showInputMessage="1" showErrorMessage="1" sqref="C61:C69 C72:C80 C50:C58 C83:C91 C93:C101" xr:uid="{6BEE9C50-C373-48B7-98E0-25261F558306}">
      <formula1>五等判定</formula1>
    </dataValidation>
    <dataValidation type="list" allowBlank="1" showInputMessage="1" showErrorMessage="1" sqref="E3" xr:uid="{BEF3F0A5-6203-4758-93C7-1CD7D2FDC913}">
      <formula1>二级分类</formula1>
    </dataValidation>
    <dataValidation type="list" allowBlank="1" showInputMessage="1" showErrorMessage="1" sqref="C8" xr:uid="{BC787FBB-716E-43ED-B67B-3565A9B22BBC}">
      <formula1>商业街名称</formula1>
    </dataValidation>
    <dataValidation type="list" allowBlank="1" showInputMessage="1" showErrorMessage="1" sqref="F3" xr:uid="{6CD95327-8F13-4B2F-AC00-FD7BAA4B8D82}">
      <formula1>"宗地容积率,估价对象容积率,自定义容积率"</formula1>
    </dataValidation>
    <dataValidation type="list" allowBlank="1" showInputMessage="1" showErrorMessage="1" sqref="E2" xr:uid="{B685A746-36B9-4AB1-81E1-49090270AB20}">
      <formula1>"商业,办公,住宅,工业,公共服务"</formula1>
    </dataValidation>
    <dataValidation type="list" allowBlank="1" showInputMessage="1" showErrorMessage="1" sqref="F21" xr:uid="{1578BEA7-B1DB-44AF-A524-69BD24BE78A2}">
      <formula1>"与级别开发程度一致,与级别开发程度不一致"</formula1>
    </dataValidation>
    <dataValidation type="list" allowBlank="1" showInputMessage="1" showErrorMessage="1" sqref="B25" xr:uid="{5C5C5FF6-134A-440F-A03B-335D52707C44}">
      <formula1>"容积率修正,楼层修正"</formula1>
    </dataValidation>
    <dataValidation type="list" allowBlank="1" showInputMessage="1" showErrorMessage="1" sqref="C15:D15" xr:uid="{B30521B9-397C-47E5-B16F-9F8DC188C5A9}">
      <formula1>"有,无"</formula1>
    </dataValidation>
    <dataValidation type="list" allowBlank="1" showInputMessage="1" showErrorMessage="1" sqref="E15" xr:uid="{D6661739-A318-4BB5-981F-3E81E197577B}">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J20" sqref="J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3434</v>
      </c>
      <c r="C1" s="1717" t="s">
        <v>1563</v>
      </c>
      <c r="D1" s="190"/>
      <c r="E1" s="190"/>
      <c r="F1" s="190"/>
      <c r="G1" s="1062" t="e">
        <f>MATCH(B1,'数据-取费表'!A6:A16,0)+5</f>
        <v>#N/A</v>
      </c>
      <c r="H1" s="998" t="str">
        <f>IF(ISERROR(FIND("住宅",B1)),"非住宅","住宅")</f>
        <v>非住宅</v>
      </c>
    </row>
    <row r="2" spans="1:8" s="192" customFormat="1" ht="18" customHeight="1">
      <c r="A2" s="193" t="s">
        <v>1462</v>
      </c>
      <c r="B2" s="3121" t="e">
        <f ca="1">ROUND(IF(D2="——",C52/10000,C52/10000-E2),4)</f>
        <v>#N/A</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#N/A</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t="e">
        <f ca="1">C6+C7+C8</f>
        <v>#N/A</v>
      </c>
      <c r="D5" s="203" t="s">
        <v>1469</v>
      </c>
      <c r="E5" s="204" t="s">
        <v>1470</v>
      </c>
      <c r="F5" s="204" t="s">
        <v>1471</v>
      </c>
      <c r="G5" s="205"/>
    </row>
    <row r="6" spans="1:8" s="206" customFormat="1" ht="13.5" customHeight="1">
      <c r="A6" s="732" t="s">
        <v>1472</v>
      </c>
      <c r="B6" s="207" t="s">
        <v>1473</v>
      </c>
      <c r="C6" s="208">
        <f>ROUND(基准地价修正2层!D33*基准地价修正2层!C33,0)</f>
        <v>0</v>
      </c>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t="e">
        <f ca="1">IF(G8="已包含在土地购买价格中",0,C9+C10)</f>
        <v>#N/A</v>
      </c>
      <c r="D8" s="214"/>
      <c r="E8" s="212"/>
      <c r="F8" s="213"/>
      <c r="G8" s="1714" t="s">
        <v>3502</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t="e">
        <f ca="1">D9+D10</f>
        <v>#N/A</v>
      </c>
      <c r="E19" s="203">
        <f>'数据-取费表'!B31</f>
        <v>200</v>
      </c>
      <c r="F19" s="223"/>
      <c r="G19" s="1714" t="s">
        <v>3503</v>
      </c>
    </row>
    <row r="20" spans="1:7" s="206" customFormat="1" ht="13.5" customHeight="1">
      <c r="A20" s="247" t="s">
        <v>1574</v>
      </c>
      <c r="B20" s="202" t="s">
        <v>1575</v>
      </c>
      <c r="C20" s="224" t="e">
        <f ca="1">ROUND((C5+C19)*F20,0)</f>
        <v>#N/A</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t="e">
        <f ca="1">ROUND(SUM(C23:C25),0)</f>
        <v>#N/A</v>
      </c>
      <c r="D22" s="227">
        <f ca="1">C26</f>
        <v>2.9999999999999997E-4</v>
      </c>
      <c r="E22" s="228" t="s">
        <v>1579</v>
      </c>
      <c r="F22" s="229">
        <f ca="1">'数据-取费表'!B40</f>
        <v>0.03</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#N/A</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t="e">
        <f ca="1">ROUND(IF('数据-取费表'!B22&lt;=1,C20*F22*'数据-取费表'!B22/2,C20*(POWER((1+F22),'数据-取费表'!B22/2)-1)),0)</f>
        <v>#N/A</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6.4">
      <c r="A27" s="247" t="s">
        <v>1512</v>
      </c>
      <c r="B27" s="236" t="s">
        <v>1513</v>
      </c>
      <c r="C27" s="237" t="e">
        <f ca="1">C28</f>
        <v>#N/A</v>
      </c>
      <c r="D27" s="227" t="e">
        <f ca="1">C29</f>
        <v>#N/A</v>
      </c>
      <c r="E27" s="228" t="s">
        <v>1514</v>
      </c>
      <c r="F27" s="238" t="e">
        <f ca="1">IF(B1="",'数据-取费表'!Q16,INDIRECT("'数据-取费表'!q"&amp;$G$1))</f>
        <v>#N/A</v>
      </c>
      <c r="G27" s="239" t="s">
        <v>1515</v>
      </c>
    </row>
    <row r="28" spans="1:7" s="206" customFormat="1" ht="13.5" customHeight="1">
      <c r="A28" s="734" t="s">
        <v>346</v>
      </c>
      <c r="B28" s="240" t="s">
        <v>1516</v>
      </c>
      <c r="C28" s="241" t="e">
        <f ca="1">ROUND((C5+C19+C20)*F27,0)</f>
        <v>#N/A</v>
      </c>
      <c r="D28" s="227"/>
      <c r="E28" s="228"/>
      <c r="F28" s="238"/>
      <c r="G28" s="239"/>
    </row>
    <row r="29" spans="1:7" s="206" customFormat="1" ht="13.5" customHeight="1">
      <c r="A29" s="734" t="s">
        <v>347</v>
      </c>
      <c r="B29" s="240" t="s">
        <v>1517</v>
      </c>
      <c r="C29" s="230" t="e">
        <f ca="1">ROUND(C21*F27,4)</f>
        <v>#N/A</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#N/A</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0.05</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0.02</v>
      </c>
      <c r="G38" s="211" t="s">
        <v>1528</v>
      </c>
    </row>
    <row r="39" spans="1:7" s="206" customFormat="1" ht="13.5" customHeight="1">
      <c r="A39" s="247" t="s">
        <v>1534</v>
      </c>
      <c r="B39" s="202" t="s">
        <v>1535</v>
      </c>
      <c r="C39" s="224" t="e">
        <f ca="1">ROUND(C33*F20,0)</f>
        <v>#N/A</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t="e">
        <f ca="1">ROUND(SUM(C42:C43),0)</f>
        <v>#N/A</v>
      </c>
      <c r="D41" s="227">
        <f ca="1">C44</f>
        <v>2.9999999999999997E-4</v>
      </c>
      <c r="E41" s="228" t="s">
        <v>1539</v>
      </c>
      <c r="F41" s="229">
        <f ca="1">F22</f>
        <v>0.03</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#N/A</v>
      </c>
      <c r="D42" s="230"/>
      <c r="E42" s="230"/>
      <c r="F42" s="231"/>
      <c r="G42" s="3358" t="s">
        <v>1591</v>
      </c>
    </row>
    <row r="43" spans="1:7" ht="13.5" customHeight="1">
      <c r="A43" s="734" t="s">
        <v>347</v>
      </c>
      <c r="B43" s="207" t="s">
        <v>1545</v>
      </c>
      <c r="C43" s="230" t="e">
        <f ca="1">ROUND(IF('数据-取费表'!B22&lt;=1,C39*F22*'数据-取费表'!B20/2,C39*(POWER((1+F22),'数据-取费表'!B20/2)-1)),0)</f>
        <v>#N/A</v>
      </c>
      <c r="D43" s="230"/>
      <c r="E43" s="230"/>
      <c r="F43" s="231"/>
      <c r="G43" s="3359"/>
    </row>
    <row r="44" spans="1:7" ht="13.5" customHeight="1">
      <c r="A44" s="734" t="s">
        <v>348</v>
      </c>
      <c r="B44" s="207" t="s">
        <v>1546</v>
      </c>
      <c r="C44" s="230">
        <f ca="1">ROUND(IF('数据-取费表'!B22&lt;=1,C40*F22*'数据-取费表'!B20/2,C40*(POWER((1+F22),'数据-取费表'!B20/2)-1)),4)</f>
        <v>2.9999999999999997E-4</v>
      </c>
      <c r="D44" s="230"/>
      <c r="E44" s="230"/>
      <c r="F44" s="231"/>
      <c r="G44" s="3360"/>
    </row>
    <row r="45" spans="1:7" s="206" customFormat="1" ht="13.5" customHeight="1">
      <c r="A45" s="247" t="s">
        <v>1547</v>
      </c>
      <c r="B45" s="236" t="s">
        <v>1513</v>
      </c>
      <c r="C45" s="237" t="e">
        <f ca="1">C46</f>
        <v>#N/A</v>
      </c>
      <c r="D45" s="227" t="e">
        <f ca="1">C47</f>
        <v>#N/A</v>
      </c>
      <c r="E45" s="228" t="s">
        <v>1539</v>
      </c>
      <c r="F45" s="238" t="e">
        <f ca="1">F27</f>
        <v>#N/A</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t="e">
        <f ca="1">ROUND(C40*F27,4)</f>
        <v>#N/A</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v>
      </c>
      <c r="G50" s="239"/>
    </row>
    <row r="51" spans="1:7" ht="16.5" customHeight="1">
      <c r="A51" s="247" t="s">
        <v>1558</v>
      </c>
      <c r="B51" s="202" t="s">
        <v>1593</v>
      </c>
      <c r="C51" s="224" t="e">
        <f ca="1">ROUND(C49*F50,0)</f>
        <v>#N/A</v>
      </c>
      <c r="D51" s="224"/>
      <c r="E51" s="224"/>
      <c r="F51" s="256"/>
      <c r="G51" s="226" t="s">
        <v>1560</v>
      </c>
    </row>
    <row r="52" spans="1:7" s="200" customFormat="1" ht="16.8" thickBot="1">
      <c r="A52" s="257" t="s">
        <v>1561</v>
      </c>
      <c r="B52" s="258"/>
      <c r="C52" s="259" t="e">
        <f ca="1">C31+C51</f>
        <v>#N/A</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9" zoomScaleNormal="80" zoomScaleSheetLayoutView="100" workbookViewId="0">
      <selection activeCell="G50" sqref="G50:G58"/>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0</v>
      </c>
      <c r="C2" s="1846" t="s">
        <v>1935</v>
      </c>
      <c r="D2" s="162" t="s">
        <v>1936</v>
      </c>
      <c r="E2" s="3119"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Ⅴ-32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16881</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t="s">
        <v>2435</v>
      </c>
      <c r="F3" s="1848"/>
      <c r="G3" s="708">
        <f>IF(F3="宗地容积率",'数据-汇总表'!I4,IF(F3="估价对象容积率",'数据-汇总表'!I6,'数据-汇总表'!I7))</f>
        <v>0</v>
      </c>
      <c r="H3" s="162" t="s">
        <v>1943</v>
      </c>
      <c r="I3" s="729">
        <v>2</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13306</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70"/>
      <c r="B4" s="3471"/>
      <c r="C4" s="3471"/>
      <c r="D4" s="3472"/>
      <c r="E4" s="3472"/>
      <c r="F4" s="3472"/>
      <c r="G4" s="3472"/>
      <c r="H4" s="3472"/>
      <c r="I4" s="3472"/>
      <c r="J4" s="347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11245</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14860</v>
      </c>
      <c r="D5" s="1252">
        <f>ROUND(C6*C17+C20,0)</f>
        <v>14860</v>
      </c>
      <c r="E5" s="1252"/>
      <c r="F5" s="1851"/>
      <c r="G5" s="1852"/>
      <c r="H5" s="1852"/>
      <c r="I5" s="1852"/>
      <c r="J5" s="1853"/>
      <c r="K5" s="1854"/>
      <c r="L5" s="1847" t="s">
        <v>1948</v>
      </c>
      <c r="M5" s="811">
        <f>SUMPRODUCT((区片价!B87:B126=I2)*(区片价!C3:G3=E2)*(区片价!C87:G126))</f>
        <v>14860</v>
      </c>
      <c r="N5" s="813">
        <f>SUMPRODUCT((因素修正幅度!B87:B126=I2)*(因素修正幅度!C3:G3=E2)*(因素修正幅度!C87:G126))</f>
        <v>0.1</v>
      </c>
      <c r="O5" s="1056"/>
      <c r="P5" s="1056"/>
      <c r="Q5" s="1056"/>
      <c r="R5" s="1129">
        <v>4</v>
      </c>
      <c r="S5" s="3062">
        <f>ROUND(SUMPRODUCT((B106:B110=R5)*(C105:N105=G2)*(C106:N110)),4)</f>
        <v>0.88239999999999996</v>
      </c>
      <c r="T5" s="3062">
        <f t="shared" si="0"/>
        <v>9918</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14860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9531</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3233</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五级</v>
      </c>
      <c r="Y7" s="1131" t="s">
        <v>1956</v>
      </c>
      <c r="Z7" s="1132">
        <f>G3</f>
        <v>0</v>
      </c>
      <c r="AA7" s="1133"/>
      <c r="AB7" s="1133"/>
      <c r="AC7" s="1134"/>
      <c r="AD7" s="1135"/>
      <c r="AE7" s="1135"/>
      <c r="AF7" s="1135"/>
      <c r="AG7" s="1135"/>
      <c r="AH7" s="1135"/>
      <c r="AI7" s="1135"/>
      <c r="AJ7" s="1136"/>
    </row>
    <row r="8" spans="1:36" ht="26.4">
      <c r="A8" s="3008"/>
      <c r="B8" s="162" t="s">
        <v>1957</v>
      </c>
      <c r="C8" s="1870" t="s">
        <v>3497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4" t="s">
        <v>1960</v>
      </c>
      <c r="X8" s="347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76"/>
      <c r="X9" s="3063" t="s">
        <v>3264</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3234</v>
      </c>
      <c r="B12" s="3012" t="s">
        <v>3235</v>
      </c>
      <c r="C12" s="3013"/>
      <c r="D12" s="3014" t="s">
        <v>3236</v>
      </c>
      <c r="E12" s="3015" t="s">
        <v>3237</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3238</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3239</v>
      </c>
      <c r="G14" s="3019" t="s">
        <v>3239</v>
      </c>
      <c r="H14" s="3019" t="s">
        <v>3239</v>
      </c>
      <c r="I14" s="3019" t="s">
        <v>3239</v>
      </c>
      <c r="J14" s="3019" t="s">
        <v>3239</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3240</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3241</v>
      </c>
      <c r="B17" s="3026" t="s">
        <v>3242</v>
      </c>
      <c r="C17" s="3035">
        <f>ROUND(IF(OR(E2="工业",E2="公共服务"),1,IF(AND(E18=0,E19=0),1,IF(AND(E18=J24,E19=G19),0.8,IF(E19=0,1+E17*(-0.2),1+E17*G17*(-0.2))))),4)</f>
        <v>1</v>
      </c>
      <c r="D17" s="3027" t="s">
        <v>3243</v>
      </c>
      <c r="E17" s="3035">
        <f>ROUND(G18/I18,2)</f>
        <v>0</v>
      </c>
      <c r="F17" s="3027" t="s">
        <v>3246</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3244</v>
      </c>
      <c r="E18" s="2356"/>
      <c r="F18" s="3029" t="s">
        <v>3247</v>
      </c>
      <c r="G18" s="3033">
        <f>ROUND(1-(1/(POWER(1+G24,E18))),4)</f>
        <v>0</v>
      </c>
      <c r="H18" s="3029" t="s">
        <v>3249</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3245</v>
      </c>
      <c r="E19" s="3042"/>
      <c r="F19" s="3043" t="s">
        <v>3248</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77" t="s">
        <v>3250</v>
      </c>
      <c r="B20" s="159" t="s">
        <v>1994</v>
      </c>
      <c r="C20" s="3030">
        <f>ROUND(IF(F21="与级别开发程度一致",0,(G21-E21)/C21),0)</f>
        <v>0</v>
      </c>
      <c r="D20" s="3045" t="s">
        <v>1998</v>
      </c>
      <c r="E20" s="3046"/>
      <c r="F20" s="3479" t="s">
        <v>1995</v>
      </c>
      <c r="G20" s="3480"/>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78"/>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75" t="s">
        <v>3498</v>
      </c>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5" t="s">
        <v>363</v>
      </c>
      <c r="B22" s="1996" t="s">
        <v>2000</v>
      </c>
      <c r="C22" s="1997">
        <f>SUMIF(修正!C20:C51,E3,修正!E20:E51)</f>
        <v>1</v>
      </c>
      <c r="D22" s="1998"/>
      <c r="E22" s="1999"/>
      <c r="F22" s="1999"/>
      <c r="G22" s="1999"/>
      <c r="H22" s="1999"/>
      <c r="I22" s="1999"/>
      <c r="J22" s="2000"/>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45831</v>
      </c>
      <c r="H23" s="3047" t="s">
        <v>3252</v>
      </c>
      <c r="I23" s="3048" t="str">
        <f>IF(H23="季度增幅（自定义）",SUMIF(N25:N28,E2,O25:O28),"")</f>
        <v/>
      </c>
      <c r="J23" s="3140" t="s">
        <v>3251</v>
      </c>
      <c r="K23" s="1061"/>
      <c r="L23" s="1897" t="s">
        <v>2004</v>
      </c>
      <c r="M23" s="1241">
        <f>ROUND(SUMIF(地价!B2:G2,E2,地价!B16:G16),0)</f>
        <v>350</v>
      </c>
      <c r="N23" s="1898" t="s">
        <v>2005</v>
      </c>
      <c r="O23" s="719">
        <f>ROUNDDOWN(DATEDIF(E23,G23,"M")/3,0)</f>
        <v>17</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0.69410000000000005</v>
      </c>
      <c r="D24" s="1902" t="s">
        <v>2007</v>
      </c>
      <c r="E24" s="1248">
        <f>存贷款利率!E28/100</f>
        <v>4.3499999999999997E-2</v>
      </c>
      <c r="F24" s="1902" t="s">
        <v>1999</v>
      </c>
      <c r="G24" s="724">
        <f>SUMIF(M30:Q30,E2,M33:Q33)</f>
        <v>5.5E-2</v>
      </c>
      <c r="H24" s="1902" t="s">
        <v>2008</v>
      </c>
      <c r="I24" s="725">
        <f>SUMIF('数据-取费表'!C6:C15,E2,'数据-取费表'!F6:F15)/COUNTIF('数据-取费表'!C6:C15,E2)</f>
        <v>17.71</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3499</v>
      </c>
      <c r="C25" s="461">
        <f>IF(B25="容积率修正",IF(G3&lt;10,D26,J26),C27)</f>
        <v>1.1838</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3253</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3254</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1.1838</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1.054</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0</v>
      </c>
      <c r="D30" s="1925"/>
      <c r="E30" s="1842"/>
      <c r="F30" s="1926"/>
      <c r="G30" s="1842"/>
      <c r="H30" s="1842"/>
      <c r="I30" s="1842"/>
      <c r="J30" s="1927"/>
      <c r="K30" s="1056"/>
      <c r="L30" s="3054" t="s">
        <v>1936</v>
      </c>
      <c r="M30" s="3055" t="s">
        <v>1990</v>
      </c>
      <c r="N30" s="3055" t="s">
        <v>1991</v>
      </c>
      <c r="O30" s="3055" t="s">
        <v>1992</v>
      </c>
      <c r="P30" s="3055" t="s">
        <v>1993</v>
      </c>
      <c r="Q30" s="3058" t="s">
        <v>3258</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13306</v>
      </c>
      <c r="D33" s="1940">
        <f>'数据-汇总表'!E20</f>
        <v>0</v>
      </c>
      <c r="E33" s="727">
        <f>ROUND(C33*D33/10000,0)</f>
        <v>0</v>
      </c>
      <c r="F33" s="3049" t="s">
        <v>3256</v>
      </c>
      <c r="G33" s="1941"/>
      <c r="H33" s="1941"/>
      <c r="I33" s="1941"/>
      <c r="J33" s="1942"/>
      <c r="K33" s="1056"/>
      <c r="L33" s="3052" t="s">
        <v>3259</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3260</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3257</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3261</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1"/>
      <c r="B37" s="1955" t="s">
        <v>2036</v>
      </c>
      <c r="C37" s="167">
        <f>ROUND(D5*C22*C23*C24*C28*F37,0)</f>
        <v>6744</v>
      </c>
      <c r="D37" s="1940"/>
      <c r="E37" s="163">
        <f>ROUND(C37*D37/10000,0)</f>
        <v>0</v>
      </c>
      <c r="F37" s="163">
        <f>SUMIF(修正!A57:A68,G2,修正!B57:B68)</f>
        <v>0.6</v>
      </c>
      <c r="G37" s="163">
        <f>ROUND(IF(E2="工业",C37*$M$42,C37*$M$41),0)</f>
        <v>1686</v>
      </c>
      <c r="H37" s="163">
        <f>D37</f>
        <v>0</v>
      </c>
      <c r="I37" s="163">
        <f>ROUND(G37*H37/10000,0)</f>
        <v>0</v>
      </c>
      <c r="J37" s="2753"/>
      <c r="K37" s="3060" t="s">
        <v>3262</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2"/>
      <c r="B38" s="1884" t="s">
        <v>2037</v>
      </c>
      <c r="C38" s="167">
        <f>ROUND(D5*C22*C23*C24*C28*F38,0)</f>
        <v>3372</v>
      </c>
      <c r="D38" s="1940"/>
      <c r="E38" s="163">
        <f t="shared" ref="E38:E42" si="4">ROUND(C38*D38/10000,0)</f>
        <v>0</v>
      </c>
      <c r="F38" s="163">
        <f>SUMIF(修正!A57:A68,G2,修正!C57:C68)</f>
        <v>0.3</v>
      </c>
      <c r="G38" s="163">
        <f>ROUND(IF(E2="工业",C38*$M$42,C38*$M$41),0)</f>
        <v>843</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2"/>
      <c r="B39" s="1884" t="s">
        <v>3255</v>
      </c>
      <c r="C39" s="167">
        <f>ROUND(D5*C22*C23*C24*C28*F39,0)</f>
        <v>2810</v>
      </c>
      <c r="D39" s="1940"/>
      <c r="E39" s="163">
        <f t="shared" si="4"/>
        <v>0</v>
      </c>
      <c r="F39" s="163">
        <f>SUMIF(修正!A57:A68,G2,修正!D57:D68)</f>
        <v>0.25</v>
      </c>
      <c r="G39" s="163">
        <f>ROUND(IF(E2="工业",C39*$M$42,C39*$M$41),0)</f>
        <v>703</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2810</v>
      </c>
      <c r="D40" s="1940"/>
      <c r="E40" s="163">
        <f t="shared" si="4"/>
        <v>0</v>
      </c>
      <c r="F40" s="167">
        <f>SUMIF(修正!A57:A68,G2,修正!E57:E68)</f>
        <v>0.25</v>
      </c>
      <c r="G40" s="163">
        <f>ROUND(IF(E2="工业",C40*$M$42,C40*$M$41),0)</f>
        <v>703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3263</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2118</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1.054</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t="s">
        <v>3500</v>
      </c>
      <c r="D50" s="1002">
        <f t="shared" ref="D50:D58" si="7">SUMIF($J$49:$N$49,C50,J50:N50)</f>
        <v>1.4999999999999999E-2</v>
      </c>
      <c r="E50" s="702">
        <f>ROUND(SUM(D50:D58),4)</f>
        <v>5.3999999999999999E-2</v>
      </c>
      <c r="F50" s="1675">
        <f>IF(E2="商业",SUMIF(L1:L12,G2,N1:N12),"——")</f>
        <v>0.1</v>
      </c>
      <c r="G50" s="1000">
        <v>1.4999999999999999E-2</v>
      </c>
      <c r="H50" s="1003">
        <f t="shared" ref="H50:H58" si="8">IFERROR(ROUNDDOWN($F$50*I50/2,4),"——")</f>
        <v>1.4999999999999999E-2</v>
      </c>
      <c r="I50" s="3067">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t="s">
        <v>3500</v>
      </c>
      <c r="D51" s="1002">
        <f t="shared" si="7"/>
        <v>1.0999999999999999E-2</v>
      </c>
      <c r="E51" s="703"/>
      <c r="F51" s="1675"/>
      <c r="G51" s="1000">
        <v>1.0999999999999999E-2</v>
      </c>
      <c r="H51" s="1003">
        <f t="shared" si="8"/>
        <v>1.0999999999999999E-2</v>
      </c>
      <c r="I51" s="3067">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48">
      <c r="A52" s="3069" t="s">
        <v>3265</v>
      </c>
      <c r="B52" s="1262">
        <f>估价对象房地状况!C19</f>
        <v>0</v>
      </c>
      <c r="C52" s="1887" t="s">
        <v>3500</v>
      </c>
      <c r="D52" s="1002">
        <f t="shared" si="7"/>
        <v>6.0000000000000001E-3</v>
      </c>
      <c r="E52" s="703"/>
      <c r="F52" s="1675"/>
      <c r="G52" s="1000">
        <v>6.0000000000000001E-3</v>
      </c>
      <c r="H52" s="1003">
        <f t="shared" si="8"/>
        <v>6.0000000000000001E-3</v>
      </c>
      <c r="I52" s="3067">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t="s">
        <v>3500</v>
      </c>
      <c r="D53" s="1002">
        <f t="shared" si="7"/>
        <v>2.5000000000000001E-3</v>
      </c>
      <c r="E53" s="703"/>
      <c r="F53" s="1675"/>
      <c r="G53" s="1000">
        <v>2.5000000000000001E-3</v>
      </c>
      <c r="H53" s="1003">
        <f t="shared" si="8"/>
        <v>2.5000000000000001E-3</v>
      </c>
      <c r="I53" s="3067">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3500</v>
      </c>
      <c r="D54" s="1002">
        <f t="shared" si="7"/>
        <v>4.0000000000000001E-3</v>
      </c>
      <c r="E54" s="703"/>
      <c r="F54" s="1675"/>
      <c r="G54" s="1000">
        <v>4.0000000000000001E-3</v>
      </c>
      <c r="H54" s="1003">
        <f t="shared" si="8"/>
        <v>4.0000000000000001E-3</v>
      </c>
      <c r="I54" s="3067">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36">
      <c r="A55" s="1970" t="s">
        <v>2057</v>
      </c>
      <c r="B55" s="1975" t="s">
        <v>2058</v>
      </c>
      <c r="C55" s="1887" t="s">
        <v>3500</v>
      </c>
      <c r="D55" s="1002">
        <f t="shared" si="7"/>
        <v>2.5000000000000001E-3</v>
      </c>
      <c r="E55" s="703"/>
      <c r="F55" s="1675"/>
      <c r="G55" s="1000">
        <v>2.5000000000000001E-3</v>
      </c>
      <c r="H55" s="1003">
        <f t="shared" si="8"/>
        <v>2.5000000000000001E-3</v>
      </c>
      <c r="I55" s="3067">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t="s">
        <v>3500</v>
      </c>
      <c r="D56" s="1002">
        <f t="shared" si="7"/>
        <v>2.5000000000000001E-3</v>
      </c>
      <c r="E56" s="703"/>
      <c r="F56" s="1675"/>
      <c r="G56" s="1000">
        <v>2.5000000000000001E-3</v>
      </c>
      <c r="H56" s="1003">
        <f t="shared" si="8"/>
        <v>2.5000000000000001E-3</v>
      </c>
      <c r="I56" s="3067">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t="s">
        <v>3501</v>
      </c>
      <c r="D57" s="1002">
        <f t="shared" si="7"/>
        <v>8.0000000000000002E-3</v>
      </c>
      <c r="E57" s="703"/>
      <c r="F57" s="1675"/>
      <c r="G57" s="1000">
        <v>4.0000000000000001E-3</v>
      </c>
      <c r="H57" s="1003">
        <f t="shared" si="8"/>
        <v>4.0000000000000001E-3</v>
      </c>
      <c r="I57" s="3067">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t="s">
        <v>3500</v>
      </c>
      <c r="D58" s="1002">
        <f t="shared" si="7"/>
        <v>2.5000000000000001E-3</v>
      </c>
      <c r="E58" s="704"/>
      <c r="F58" s="1675"/>
      <c r="G58" s="1000">
        <v>2.5000000000000001E-3</v>
      </c>
      <c r="H58" s="1003">
        <f t="shared" si="8"/>
        <v>2.5000000000000001E-3</v>
      </c>
      <c r="I58" s="3068">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3265</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3265</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3266</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2608</v>
      </c>
      <c r="B91" s="3078">
        <f>1+E93</f>
        <v>1</v>
      </c>
      <c r="C91" s="3071"/>
      <c r="D91" s="3072"/>
      <c r="E91" s="1675"/>
      <c r="F91" s="1675"/>
      <c r="G91" s="3073"/>
      <c r="H91" s="3074"/>
      <c r="I91" s="3075"/>
      <c r="J91" s="3076"/>
      <c r="K91" s="3076"/>
      <c r="L91" s="3076"/>
      <c r="M91" s="3076"/>
      <c r="N91" s="3076"/>
    </row>
    <row r="92" spans="1:37" ht="25.2">
      <c r="A92" s="3079" t="s">
        <v>3267</v>
      </c>
      <c r="B92" s="2309"/>
      <c r="C92" s="2309" t="s">
        <v>3276</v>
      </c>
      <c r="D92" s="2309" t="s">
        <v>3277</v>
      </c>
      <c r="E92" s="3051" t="s">
        <v>3278</v>
      </c>
      <c r="F92" s="3081" t="s">
        <v>3279</v>
      </c>
      <c r="G92" s="2309" t="s">
        <v>3280</v>
      </c>
      <c r="H92" s="3088" t="s">
        <v>3283</v>
      </c>
      <c r="I92" s="2309" t="s">
        <v>3284</v>
      </c>
      <c r="J92" s="2149" t="s">
        <v>3285</v>
      </c>
      <c r="K92" s="2149" t="s">
        <v>3286</v>
      </c>
      <c r="L92" s="2149" t="s">
        <v>3287</v>
      </c>
      <c r="M92" s="2149" t="s">
        <v>3288</v>
      </c>
      <c r="N92" s="2149" t="s">
        <v>3289</v>
      </c>
    </row>
    <row r="93" spans="1:37" ht="24">
      <c r="A93" s="3069" t="s">
        <v>3268</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3269</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3265</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3270</v>
      </c>
      <c r="B96" s="3085" t="s">
        <v>3281</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3271</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3272</v>
      </c>
      <c r="B98" s="3086" t="s">
        <v>3282</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3273</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3274</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3275</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4" t="s">
        <v>3290</v>
      </c>
      <c r="B103" s="3464"/>
      <c r="C103" s="3464"/>
      <c r="D103" s="3464"/>
      <c r="E103" s="3464"/>
      <c r="F103" s="3464"/>
      <c r="G103" s="3464"/>
      <c r="H103" s="3464"/>
      <c r="I103" s="3464"/>
      <c r="J103" s="3464"/>
      <c r="K103" s="1667"/>
      <c r="L103" s="1667"/>
      <c r="M103" s="1667"/>
      <c r="N103" s="1667"/>
    </row>
    <row r="104" spans="1:14">
      <c r="A104" s="3465" t="s">
        <v>3291</v>
      </c>
      <c r="B104" s="3465" t="s">
        <v>3292</v>
      </c>
      <c r="C104" s="3089" t="s">
        <v>3293</v>
      </c>
      <c r="D104" s="3090"/>
      <c r="E104" s="3090"/>
      <c r="F104" s="3090"/>
      <c r="G104" s="3090"/>
      <c r="H104" s="3090"/>
      <c r="I104" s="3090"/>
      <c r="J104" s="3091"/>
      <c r="K104" s="3092"/>
      <c r="L104" s="3092"/>
      <c r="M104" s="3092"/>
      <c r="N104" s="3092"/>
    </row>
    <row r="105" spans="1:14">
      <c r="A105" s="3465"/>
      <c r="B105" s="3465"/>
      <c r="C105" s="3093" t="s">
        <v>3294</v>
      </c>
      <c r="D105" s="3093" t="s">
        <v>3295</v>
      </c>
      <c r="E105" s="3093" t="s">
        <v>3296</v>
      </c>
      <c r="F105" s="3093" t="s">
        <v>3297</v>
      </c>
      <c r="G105" s="3093" t="s">
        <v>3298</v>
      </c>
      <c r="H105" s="3093" t="s">
        <v>3299</v>
      </c>
      <c r="I105" s="3093" t="s">
        <v>3300</v>
      </c>
      <c r="J105" s="3093" t="s">
        <v>3301</v>
      </c>
      <c r="K105" s="3093" t="s">
        <v>3302</v>
      </c>
      <c r="L105" s="3093" t="s">
        <v>3303</v>
      </c>
      <c r="M105" s="3093" t="s">
        <v>3304</v>
      </c>
      <c r="N105" s="3093" t="s">
        <v>3305</v>
      </c>
    </row>
    <row r="106" spans="1:14">
      <c r="A106" s="3466" t="s">
        <v>3306</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7"/>
      <c r="B111" s="3093" t="s">
        <v>3264</v>
      </c>
      <c r="C111" s="3094">
        <f>$I$3</f>
        <v>2</v>
      </c>
      <c r="D111" s="3094">
        <f t="shared" ref="D111:M111" si="32">$I$3</f>
        <v>2</v>
      </c>
      <c r="E111" s="3094">
        <f t="shared" si="32"/>
        <v>2</v>
      </c>
      <c r="F111" s="3094">
        <f t="shared" si="32"/>
        <v>2</v>
      </c>
      <c r="G111" s="3094">
        <f t="shared" si="32"/>
        <v>2</v>
      </c>
      <c r="H111" s="3094">
        <f t="shared" si="32"/>
        <v>2</v>
      </c>
      <c r="I111" s="3094">
        <f t="shared" si="32"/>
        <v>2</v>
      </c>
      <c r="J111" s="3094">
        <f t="shared" si="32"/>
        <v>2</v>
      </c>
      <c r="K111" s="3094">
        <f t="shared" si="32"/>
        <v>2</v>
      </c>
      <c r="L111" s="3094">
        <f t="shared" si="32"/>
        <v>2</v>
      </c>
      <c r="M111" s="3094">
        <f t="shared" si="32"/>
        <v>2</v>
      </c>
      <c r="N111" s="3094">
        <f>$I$3</f>
        <v>2</v>
      </c>
    </row>
    <row r="112" spans="1:14">
      <c r="A112" s="3468"/>
      <c r="B112" s="3093">
        <v>6</v>
      </c>
      <c r="C112" s="3088">
        <f>(-0.5556*(C111^2)-0.2719*C111+8944)*(10^(-4))</f>
        <v>0.89412338000000002</v>
      </c>
      <c r="D112" s="3088">
        <f>(-0.5556*(D111^2)-0.2719*D111+8944)*(10^(-4))</f>
        <v>0.89412338000000002</v>
      </c>
      <c r="E112" s="3088">
        <f>(-0.7912*(E111^2)-11.3794*E111+8482)*(10^(-4))</f>
        <v>0.84560763999999999</v>
      </c>
      <c r="F112" s="3088">
        <f t="shared" ref="F112:I112" si="33">(-0.7912*(F111^2)-11.3794*F111+8482)*(10^(-4))</f>
        <v>0.84560763999999999</v>
      </c>
      <c r="G112" s="3088">
        <f t="shared" si="33"/>
        <v>0.84560763999999999</v>
      </c>
      <c r="H112" s="3088">
        <f t="shared" si="33"/>
        <v>0.84560763999999999</v>
      </c>
      <c r="I112" s="3088">
        <f t="shared" si="33"/>
        <v>0.84560763999999999</v>
      </c>
      <c r="J112" s="3088">
        <f>(-0.989*(J111^2)-63.78*J111+7771)*(10^(-4))</f>
        <v>0.76394840000000008</v>
      </c>
      <c r="K112" s="3088">
        <f t="shared" ref="K112:N112" si="34">(-0.989*(K111^2)-63.78*K111+7771)*(10^(-4))</f>
        <v>0.76394840000000008</v>
      </c>
      <c r="L112" s="3088">
        <f t="shared" si="34"/>
        <v>0.76394840000000008</v>
      </c>
      <c r="M112" s="3088">
        <f t="shared" si="34"/>
        <v>0.76394840000000008</v>
      </c>
      <c r="N112" s="3088">
        <f t="shared" si="34"/>
        <v>0.76394840000000008</v>
      </c>
    </row>
    <row r="113" spans="1:14">
      <c r="A113" s="3469" t="s">
        <v>3307</v>
      </c>
      <c r="B113" s="3469"/>
      <c r="C113" s="3469"/>
      <c r="D113" s="3469"/>
      <c r="E113" s="3469"/>
      <c r="F113" s="3469"/>
      <c r="G113" s="3469"/>
      <c r="H113" s="3469"/>
      <c r="I113" s="3469"/>
      <c r="J113" s="3469"/>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3308</v>
      </c>
      <c r="B116" s="3113">
        <f>G3</f>
        <v>0</v>
      </c>
      <c r="C116" s="3098" t="s">
        <v>3309</v>
      </c>
      <c r="D116" s="3099">
        <f>SUMPRODUCT((A118:A122=F116)*(B117:M117=H116)*B118:M122)</f>
        <v>0.94899999999999995</v>
      </c>
      <c r="E116" s="162" t="s">
        <v>3310</v>
      </c>
      <c r="F116" s="3100" t="str">
        <f>E2</f>
        <v>商业</v>
      </c>
      <c r="G116" s="162" t="s">
        <v>3311</v>
      </c>
      <c r="H116" s="3100" t="str">
        <f>G2</f>
        <v>五级</v>
      </c>
      <c r="I116" s="162"/>
      <c r="J116" s="3101"/>
      <c r="K116" s="3101"/>
      <c r="L116" s="3101"/>
      <c r="M116" s="3101"/>
      <c r="N116" s="3096"/>
    </row>
    <row r="117" spans="1:14">
      <c r="A117" s="3102"/>
      <c r="B117" s="3103" t="s">
        <v>3312</v>
      </c>
      <c r="C117" s="3103" t="s">
        <v>3313</v>
      </c>
      <c r="D117" s="3103" t="s">
        <v>3314</v>
      </c>
      <c r="E117" s="3104" t="s">
        <v>3315</v>
      </c>
      <c r="F117" s="3104" t="s">
        <v>3316</v>
      </c>
      <c r="G117" s="3104" t="s">
        <v>3317</v>
      </c>
      <c r="H117" s="3105" t="s">
        <v>3318</v>
      </c>
      <c r="I117" s="3105" t="s">
        <v>3319</v>
      </c>
      <c r="J117" s="3106" t="s">
        <v>3320</v>
      </c>
      <c r="K117" s="3106" t="s">
        <v>3321</v>
      </c>
      <c r="L117" s="3106" t="s">
        <v>3322</v>
      </c>
      <c r="M117" s="3107" t="s">
        <v>3323</v>
      </c>
      <c r="N117" s="3096"/>
    </row>
    <row r="118" spans="1:14">
      <c r="A118" s="3056" t="s">
        <v>3324</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3325</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3326</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3327</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2608</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2590</v>
      </c>
      <c r="B1" s="2810" t="s">
        <v>2591</v>
      </c>
      <c r="C1" s="2810" t="s">
        <v>2592</v>
      </c>
      <c r="D1" s="2810" t="s">
        <v>2593</v>
      </c>
      <c r="E1" s="2810" t="s">
        <v>2594</v>
      </c>
      <c r="F1" s="2810" t="s">
        <v>2595</v>
      </c>
      <c r="G1" s="2810" t="s">
        <v>2596</v>
      </c>
      <c r="H1" s="2810" t="s">
        <v>2597</v>
      </c>
      <c r="I1" s="2810" t="s">
        <v>2598</v>
      </c>
      <c r="J1" s="2810" t="s">
        <v>2599</v>
      </c>
      <c r="K1" s="2810" t="s">
        <v>2600</v>
      </c>
      <c r="L1" s="2810" t="s">
        <v>2601</v>
      </c>
      <c r="M1" s="2811" t="s">
        <v>2602</v>
      </c>
    </row>
    <row r="2" spans="1:13" ht="19.5" customHeight="1">
      <c r="A2" s="2813" t="s">
        <v>2603</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2604</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2605</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2606</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2607</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2608</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2609</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2610</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2611</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2612</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2613</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2614</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2615</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2616</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2617</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2618</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2619</v>
      </c>
      <c r="B18" s="2835"/>
      <c r="C18" s="2836"/>
      <c r="D18" s="2836"/>
      <c r="E18" s="2835"/>
      <c r="F18" s="2836"/>
      <c r="G18" s="2836"/>
    </row>
    <row r="19" spans="1:13" ht="19.5" customHeight="1" thickBot="1">
      <c r="A19" s="2833" t="s">
        <v>2620</v>
      </c>
      <c r="B19" s="2838" t="s">
        <v>2621</v>
      </c>
      <c r="C19" s="2838" t="s">
        <v>2622</v>
      </c>
      <c r="D19" s="2839"/>
      <c r="E19" s="2833" t="s">
        <v>2623</v>
      </c>
      <c r="F19" s="2840"/>
      <c r="G19" s="2840"/>
    </row>
    <row r="20" spans="1:13" ht="19.5" customHeight="1">
      <c r="A20" s="3492" t="s">
        <v>2603</v>
      </c>
      <c r="B20" s="3487" t="s">
        <v>2624</v>
      </c>
      <c r="C20" s="2841" t="s">
        <v>2435</v>
      </c>
      <c r="D20" s="2842"/>
      <c r="E20" s="2843">
        <v>1</v>
      </c>
      <c r="F20" s="2844" t="s">
        <v>2436</v>
      </c>
      <c r="G20" s="2844"/>
    </row>
    <row r="21" spans="1:13" ht="19.5" customHeight="1">
      <c r="A21" s="3493"/>
      <c r="B21" s="3486"/>
      <c r="C21" s="2845" t="s">
        <v>2437</v>
      </c>
      <c r="D21" s="2846"/>
      <c r="E21" s="2847">
        <v>1</v>
      </c>
      <c r="F21" s="2844" t="s">
        <v>2438</v>
      </c>
      <c r="G21" s="2844"/>
    </row>
    <row r="22" spans="1:13" ht="19.5" customHeight="1">
      <c r="A22" s="3493"/>
      <c r="B22" s="3486"/>
      <c r="C22" s="2845" t="s">
        <v>2439</v>
      </c>
      <c r="D22" s="2846"/>
      <c r="E22" s="2847">
        <v>0.9</v>
      </c>
      <c r="F22" s="2844" t="s">
        <v>2440</v>
      </c>
      <c r="G22" s="2844"/>
    </row>
    <row r="23" spans="1:13" ht="19.5" customHeight="1">
      <c r="A23" s="3493"/>
      <c r="B23" s="3486"/>
      <c r="C23" s="2845" t="s">
        <v>2441</v>
      </c>
      <c r="D23" s="2846"/>
      <c r="E23" s="2847">
        <v>0.9</v>
      </c>
      <c r="F23" s="2844" t="s">
        <v>2442</v>
      </c>
      <c r="G23" s="2844"/>
    </row>
    <row r="24" spans="1:13" ht="19.5" customHeight="1">
      <c r="A24" s="3493"/>
      <c r="B24" s="3486"/>
      <c r="C24" s="2845" t="s">
        <v>2443</v>
      </c>
      <c r="D24" s="2846"/>
      <c r="E24" s="2847">
        <v>0.8</v>
      </c>
      <c r="F24" s="2844" t="s">
        <v>2444</v>
      </c>
      <c r="G24" s="2844"/>
    </row>
    <row r="25" spans="1:13" ht="19.5" customHeight="1" thickBot="1">
      <c r="A25" s="3494"/>
      <c r="B25" s="3488"/>
      <c r="C25" s="2848" t="s">
        <v>2445</v>
      </c>
      <c r="D25" s="2849"/>
      <c r="E25" s="2850">
        <v>0.8</v>
      </c>
      <c r="F25" s="2844" t="s">
        <v>2446</v>
      </c>
      <c r="G25" s="2844"/>
    </row>
    <row r="26" spans="1:13" ht="19.5" customHeight="1" thickBot="1">
      <c r="A26" s="2851" t="s">
        <v>2625</v>
      </c>
      <c r="B26" s="2852" t="s">
        <v>2624</v>
      </c>
      <c r="C26" s="2853" t="s">
        <v>2626</v>
      </c>
      <c r="D26" s="2854"/>
      <c r="E26" s="2855">
        <v>1</v>
      </c>
      <c r="F26" s="2844" t="s">
        <v>2447</v>
      </c>
      <c r="G26" s="2844"/>
    </row>
    <row r="27" spans="1:13" ht="19.5" customHeight="1">
      <c r="A27" s="3489" t="s">
        <v>2627</v>
      </c>
      <c r="B27" s="3487" t="s">
        <v>2608</v>
      </c>
      <c r="C27" s="2841" t="s">
        <v>2448</v>
      </c>
      <c r="D27" s="2842"/>
      <c r="E27" s="2843">
        <v>1</v>
      </c>
      <c r="F27" s="2844" t="s">
        <v>2449</v>
      </c>
      <c r="G27" s="2844"/>
    </row>
    <row r="28" spans="1:13" ht="19.5" customHeight="1">
      <c r="A28" s="3490"/>
      <c r="B28" s="3486"/>
      <c r="C28" s="2845" t="s">
        <v>2450</v>
      </c>
      <c r="D28" s="2846"/>
      <c r="E28" s="2847">
        <v>1</v>
      </c>
      <c r="F28" s="2844" t="s">
        <v>2451</v>
      </c>
      <c r="G28" s="2844"/>
    </row>
    <row r="29" spans="1:13" ht="19.5" customHeight="1">
      <c r="A29" s="3490"/>
      <c r="B29" s="3486"/>
      <c r="C29" s="2845" t="s">
        <v>2452</v>
      </c>
      <c r="D29" s="2846"/>
      <c r="E29" s="2847">
        <v>0.8</v>
      </c>
      <c r="F29" s="2844" t="s">
        <v>2453</v>
      </c>
      <c r="G29" s="2844"/>
    </row>
    <row r="30" spans="1:13" ht="19.5" customHeight="1">
      <c r="A30" s="3490"/>
      <c r="B30" s="3486"/>
      <c r="C30" s="2845" t="s">
        <v>2454</v>
      </c>
      <c r="D30" s="2846"/>
      <c r="E30" s="2847">
        <v>0.8</v>
      </c>
      <c r="F30" s="2844" t="s">
        <v>2455</v>
      </c>
      <c r="G30" s="2844"/>
    </row>
    <row r="31" spans="1:13" ht="19.5" customHeight="1">
      <c r="A31" s="3490"/>
      <c r="B31" s="3486"/>
      <c r="C31" s="2845" t="s">
        <v>2456</v>
      </c>
      <c r="D31" s="2846"/>
      <c r="E31" s="2847">
        <v>0.8</v>
      </c>
      <c r="F31" s="2844" t="s">
        <v>2457</v>
      </c>
      <c r="G31" s="2844"/>
    </row>
    <row r="32" spans="1:13" ht="19.5" customHeight="1">
      <c r="A32" s="3490"/>
      <c r="B32" s="3486"/>
      <c r="C32" s="2845" t="s">
        <v>2458</v>
      </c>
      <c r="D32" s="2846"/>
      <c r="E32" s="2847">
        <v>0.7</v>
      </c>
      <c r="F32" s="2844" t="s">
        <v>2459</v>
      </c>
      <c r="G32" s="2844"/>
    </row>
    <row r="33" spans="1:7" ht="19.5" customHeight="1">
      <c r="A33" s="3490"/>
      <c r="B33" s="3486"/>
      <c r="C33" s="2845" t="s">
        <v>2460</v>
      </c>
      <c r="D33" s="2846"/>
      <c r="E33" s="2847">
        <v>0.8</v>
      </c>
      <c r="F33" s="2844" t="s">
        <v>2461</v>
      </c>
      <c r="G33" s="2844"/>
    </row>
    <row r="34" spans="1:7" ht="19.5" customHeight="1">
      <c r="A34" s="3490"/>
      <c r="B34" s="3486"/>
      <c r="C34" s="2845" t="s">
        <v>2462</v>
      </c>
      <c r="D34" s="2846"/>
      <c r="E34" s="2847">
        <v>0.6</v>
      </c>
      <c r="F34" s="2844" t="s">
        <v>2463</v>
      </c>
      <c r="G34" s="2844"/>
    </row>
    <row r="35" spans="1:7" ht="19.5" customHeight="1">
      <c r="A35" s="3490"/>
      <c r="B35" s="3486"/>
      <c r="C35" s="2845" t="s">
        <v>2464</v>
      </c>
      <c r="D35" s="2846"/>
      <c r="E35" s="2847">
        <v>0.2</v>
      </c>
      <c r="F35" s="2844" t="s">
        <v>2465</v>
      </c>
      <c r="G35" s="2844"/>
    </row>
    <row r="36" spans="1:7" ht="19.5" customHeight="1">
      <c r="A36" s="3490"/>
      <c r="B36" s="3486"/>
      <c r="C36" s="2845" t="s">
        <v>2466</v>
      </c>
      <c r="D36" s="2846"/>
      <c r="E36" s="2847">
        <v>0.2</v>
      </c>
      <c r="F36" s="2844" t="s">
        <v>2467</v>
      </c>
      <c r="G36" s="2844"/>
    </row>
    <row r="37" spans="1:7" ht="19.5" customHeight="1">
      <c r="A37" s="3490"/>
      <c r="B37" s="3484" t="s">
        <v>2628</v>
      </c>
      <c r="C37" s="2845" t="s">
        <v>2468</v>
      </c>
      <c r="D37" s="2846"/>
      <c r="E37" s="2847">
        <v>0.6</v>
      </c>
      <c r="F37" s="2844" t="s">
        <v>2469</v>
      </c>
      <c r="G37" s="2844"/>
    </row>
    <row r="38" spans="1:7" ht="19.5" customHeight="1">
      <c r="A38" s="3490"/>
      <c r="B38" s="3486"/>
      <c r="C38" s="2845" t="s">
        <v>2470</v>
      </c>
      <c r="D38" s="2846"/>
      <c r="E38" s="2847">
        <v>0.6</v>
      </c>
      <c r="F38" s="2844" t="s">
        <v>2471</v>
      </c>
      <c r="G38" s="2844"/>
    </row>
    <row r="39" spans="1:7" ht="19.5" customHeight="1" thickBot="1">
      <c r="A39" s="3491"/>
      <c r="B39" s="3488"/>
      <c r="C39" s="2848" t="s">
        <v>2472</v>
      </c>
      <c r="D39" s="2849"/>
      <c r="E39" s="2850">
        <v>0.6</v>
      </c>
      <c r="F39" s="2844" t="s">
        <v>2473</v>
      </c>
      <c r="G39" s="2844"/>
    </row>
    <row r="40" spans="1:7" ht="19.5" customHeight="1" thickBot="1">
      <c r="A40" s="2851" t="s">
        <v>2605</v>
      </c>
      <c r="B40" s="2852" t="s">
        <v>2605</v>
      </c>
      <c r="C40" s="2853" t="s">
        <v>2629</v>
      </c>
      <c r="D40" s="2854"/>
      <c r="E40" s="2855">
        <v>1</v>
      </c>
      <c r="F40" s="2844" t="s">
        <v>2474</v>
      </c>
      <c r="G40" s="2844"/>
    </row>
    <row r="41" spans="1:7" ht="19.5" customHeight="1">
      <c r="A41" s="3492" t="s">
        <v>2606</v>
      </c>
      <c r="B41" s="3487" t="s">
        <v>2630</v>
      </c>
      <c r="C41" s="2841" t="s">
        <v>2475</v>
      </c>
      <c r="D41" s="2842"/>
      <c r="E41" s="2843">
        <v>1</v>
      </c>
      <c r="F41" s="2844" t="s">
        <v>2476</v>
      </c>
      <c r="G41" s="2844"/>
    </row>
    <row r="42" spans="1:7" ht="19.5" customHeight="1">
      <c r="A42" s="3493"/>
      <c r="B42" s="3486"/>
      <c r="C42" s="2845" t="s">
        <v>2477</v>
      </c>
      <c r="D42" s="2846"/>
      <c r="E42" s="2847">
        <v>1</v>
      </c>
      <c r="F42" s="2844" t="s">
        <v>2478</v>
      </c>
      <c r="G42" s="2844"/>
    </row>
    <row r="43" spans="1:7" ht="19.5" customHeight="1">
      <c r="A43" s="3493"/>
      <c r="B43" s="3485"/>
      <c r="C43" s="2845" t="s">
        <v>2479</v>
      </c>
      <c r="D43" s="2846"/>
      <c r="E43" s="2847">
        <v>1.5</v>
      </c>
      <c r="F43" s="2844" t="s">
        <v>2480</v>
      </c>
      <c r="G43" s="2844"/>
    </row>
    <row r="44" spans="1:7" ht="19.5" customHeight="1">
      <c r="A44" s="3493"/>
      <c r="B44" s="2856" t="s">
        <v>2631</v>
      </c>
      <c r="C44" s="2845" t="s">
        <v>2632</v>
      </c>
      <c r="D44" s="2846"/>
      <c r="E44" s="2847">
        <v>2</v>
      </c>
      <c r="F44" s="2844" t="s">
        <v>2481</v>
      </c>
      <c r="G44" s="2844"/>
    </row>
    <row r="45" spans="1:7" ht="19.5" customHeight="1">
      <c r="A45" s="3493"/>
      <c r="B45" s="3484" t="s">
        <v>2633</v>
      </c>
      <c r="C45" s="2845" t="s">
        <v>2482</v>
      </c>
      <c r="D45" s="2846"/>
      <c r="E45" s="2847">
        <v>1</v>
      </c>
      <c r="F45" s="2844" t="s">
        <v>2483</v>
      </c>
      <c r="G45" s="2844"/>
    </row>
    <row r="46" spans="1:7" ht="19.5" customHeight="1">
      <c r="A46" s="3493"/>
      <c r="B46" s="3486"/>
      <c r="C46" s="2845" t="s">
        <v>2484</v>
      </c>
      <c r="D46" s="2846"/>
      <c r="E46" s="2847">
        <v>1</v>
      </c>
      <c r="F46" s="2844" t="s">
        <v>2485</v>
      </c>
      <c r="G46" s="2844"/>
    </row>
    <row r="47" spans="1:7" ht="19.5" customHeight="1">
      <c r="A47" s="3493"/>
      <c r="B47" s="3486"/>
      <c r="C47" s="2845" t="s">
        <v>2486</v>
      </c>
      <c r="D47" s="2846"/>
      <c r="E47" s="2847">
        <v>1</v>
      </c>
      <c r="F47" s="2844" t="s">
        <v>2487</v>
      </c>
      <c r="G47" s="2844"/>
    </row>
    <row r="48" spans="1:7" ht="19.5" customHeight="1">
      <c r="A48" s="3493"/>
      <c r="B48" s="3486"/>
      <c r="C48" s="2845" t="s">
        <v>2488</v>
      </c>
      <c r="D48" s="2846"/>
      <c r="E48" s="2847">
        <v>1</v>
      </c>
      <c r="F48" s="2844" t="s">
        <v>2489</v>
      </c>
      <c r="G48" s="2844"/>
    </row>
    <row r="49" spans="1:7" ht="19.5" customHeight="1">
      <c r="A49" s="3493"/>
      <c r="B49" s="3486"/>
      <c r="C49" s="2845" t="s">
        <v>2490</v>
      </c>
      <c r="D49" s="2846"/>
      <c r="E49" s="2847">
        <v>1</v>
      </c>
      <c r="F49" s="2844" t="s">
        <v>2491</v>
      </c>
      <c r="G49" s="2844"/>
    </row>
    <row r="50" spans="1:7" ht="19.5" customHeight="1">
      <c r="A50" s="3493"/>
      <c r="B50" s="3486"/>
      <c r="C50" s="2845" t="s">
        <v>2492</v>
      </c>
      <c r="D50" s="2846"/>
      <c r="E50" s="2847">
        <v>1</v>
      </c>
      <c r="F50" s="2844" t="s">
        <v>2493</v>
      </c>
      <c r="G50" s="2844"/>
    </row>
    <row r="51" spans="1:7" ht="19.5" customHeight="1" thickBot="1">
      <c r="A51" s="3494"/>
      <c r="B51" s="3488"/>
      <c r="C51" s="2848" t="s">
        <v>2494</v>
      </c>
      <c r="D51" s="2849"/>
      <c r="E51" s="2850">
        <v>1</v>
      </c>
      <c r="F51" s="2844" t="s">
        <v>2495</v>
      </c>
      <c r="G51" s="2844"/>
    </row>
    <row r="52" spans="1:7" ht="19.5" customHeight="1">
      <c r="A52" s="2857"/>
      <c r="B52" s="2857"/>
      <c r="C52" s="2857"/>
      <c r="D52" s="2857"/>
      <c r="E52" s="2857"/>
      <c r="F52" s="2857"/>
      <c r="G52" s="2857"/>
    </row>
    <row r="54" spans="1:7" ht="19.5" customHeight="1">
      <c r="A54" s="2858"/>
      <c r="B54" s="2830" t="s">
        <v>2634</v>
      </c>
      <c r="C54" s="2830" t="s">
        <v>2634</v>
      </c>
      <c r="D54" s="2830" t="s">
        <v>2634</v>
      </c>
      <c r="E54" s="2833" t="s">
        <v>2634</v>
      </c>
      <c r="F54" s="2833" t="s">
        <v>2635</v>
      </c>
      <c r="G54" s="2833" t="s">
        <v>2636</v>
      </c>
    </row>
    <row r="55" spans="1:7" ht="19.5" customHeight="1">
      <c r="A55" s="2859"/>
      <c r="B55" s="2833" t="s">
        <v>2603</v>
      </c>
      <c r="C55" s="2833" t="s">
        <v>2603</v>
      </c>
      <c r="D55" s="2833" t="s">
        <v>2603</v>
      </c>
      <c r="E55" s="2830" t="s">
        <v>2604</v>
      </c>
      <c r="F55" s="2830" t="s">
        <v>2606</v>
      </c>
      <c r="G55" s="2830" t="s">
        <v>2637</v>
      </c>
    </row>
    <row r="56" spans="1:7" ht="19.5" customHeight="1">
      <c r="A56" s="2860"/>
      <c r="B56" s="2830">
        <v>1</v>
      </c>
      <c r="C56" s="2830">
        <v>2</v>
      </c>
      <c r="D56" s="2830">
        <v>3</v>
      </c>
      <c r="E56" s="2861" t="s">
        <v>2638</v>
      </c>
      <c r="F56" s="2861" t="s">
        <v>2638</v>
      </c>
      <c r="G56" s="2861" t="s">
        <v>2638</v>
      </c>
    </row>
    <row r="57" spans="1:7" ht="19.5" customHeight="1">
      <c r="A57" s="2862" t="s">
        <v>2591</v>
      </c>
      <c r="B57" s="2830">
        <v>0.7</v>
      </c>
      <c r="C57" s="2830">
        <v>0.4</v>
      </c>
      <c r="D57" s="2830">
        <v>0.3</v>
      </c>
      <c r="E57" s="2861">
        <v>0.3</v>
      </c>
      <c r="F57" s="2830">
        <v>0.3</v>
      </c>
      <c r="G57" s="2830">
        <v>0.2</v>
      </c>
    </row>
    <row r="58" spans="1:7" ht="19.5" customHeight="1">
      <c r="A58" s="2862" t="s">
        <v>2592</v>
      </c>
      <c r="B58" s="2830">
        <v>0.7</v>
      </c>
      <c r="C58" s="2830">
        <v>0.4</v>
      </c>
      <c r="D58" s="2830">
        <v>0.3</v>
      </c>
      <c r="E58" s="2830">
        <v>0.3</v>
      </c>
      <c r="F58" s="2830">
        <v>0.3</v>
      </c>
      <c r="G58" s="2830">
        <v>0.2</v>
      </c>
    </row>
    <row r="59" spans="1:7" ht="19.5" customHeight="1">
      <c r="A59" s="2862" t="s">
        <v>2593</v>
      </c>
      <c r="B59" s="2830">
        <v>0.6</v>
      </c>
      <c r="C59" s="2830">
        <v>0.3</v>
      </c>
      <c r="D59" s="2830">
        <v>0.25</v>
      </c>
      <c r="E59" s="2830">
        <v>0.25</v>
      </c>
      <c r="F59" s="2830">
        <v>0.25</v>
      </c>
      <c r="G59" s="2830">
        <v>0.15</v>
      </c>
    </row>
    <row r="60" spans="1:7" ht="19.5" customHeight="1">
      <c r="A60" s="2862" t="s">
        <v>2594</v>
      </c>
      <c r="B60" s="2830">
        <v>0.6</v>
      </c>
      <c r="C60" s="2830">
        <v>0.3</v>
      </c>
      <c r="D60" s="2830">
        <v>0.25</v>
      </c>
      <c r="E60" s="2830">
        <v>0.25</v>
      </c>
      <c r="F60" s="2830">
        <v>0.25</v>
      </c>
      <c r="G60" s="2830">
        <v>0.15</v>
      </c>
    </row>
    <row r="61" spans="1:7" ht="19.5" customHeight="1">
      <c r="A61" s="2862" t="s">
        <v>2595</v>
      </c>
      <c r="B61" s="2830">
        <v>0.6</v>
      </c>
      <c r="C61" s="2830">
        <v>0.3</v>
      </c>
      <c r="D61" s="2830">
        <v>0.25</v>
      </c>
      <c r="E61" s="2830">
        <v>0.25</v>
      </c>
      <c r="F61" s="2830">
        <v>0.25</v>
      </c>
      <c r="G61" s="2830">
        <v>0.15</v>
      </c>
    </row>
    <row r="62" spans="1:7" ht="19.5" customHeight="1">
      <c r="A62" s="2862" t="s">
        <v>2596</v>
      </c>
      <c r="B62" s="2830">
        <v>0.6</v>
      </c>
      <c r="C62" s="2830">
        <v>0.3</v>
      </c>
      <c r="D62" s="2830">
        <v>0.25</v>
      </c>
      <c r="E62" s="2830">
        <v>0.25</v>
      </c>
      <c r="F62" s="2830">
        <v>0.25</v>
      </c>
      <c r="G62" s="2830">
        <v>0.15</v>
      </c>
    </row>
    <row r="63" spans="1:7" ht="19.5" customHeight="1">
      <c r="A63" s="2862" t="s">
        <v>2597</v>
      </c>
      <c r="B63" s="2830">
        <v>0.6</v>
      </c>
      <c r="C63" s="2830">
        <v>0.3</v>
      </c>
      <c r="D63" s="2830">
        <v>0.25</v>
      </c>
      <c r="E63" s="2830">
        <v>0.25</v>
      </c>
      <c r="F63" s="2830">
        <v>0.25</v>
      </c>
      <c r="G63" s="2830">
        <v>0.15</v>
      </c>
    </row>
    <row r="64" spans="1:7" ht="19.5" customHeight="1">
      <c r="A64" s="2862" t="s">
        <v>2598</v>
      </c>
      <c r="B64" s="2830">
        <v>0.5</v>
      </c>
      <c r="C64" s="2830">
        <v>0.2</v>
      </c>
      <c r="D64" s="2830">
        <v>0.2</v>
      </c>
      <c r="E64" s="2830">
        <v>0.2</v>
      </c>
      <c r="F64" s="2830">
        <v>0.2</v>
      </c>
      <c r="G64" s="2830">
        <v>0.1</v>
      </c>
    </row>
    <row r="65" spans="1:7" ht="19.5" customHeight="1">
      <c r="A65" s="2862" t="s">
        <v>2599</v>
      </c>
      <c r="B65" s="2830">
        <v>0.5</v>
      </c>
      <c r="C65" s="2830">
        <v>0.2</v>
      </c>
      <c r="D65" s="2830">
        <v>0.2</v>
      </c>
      <c r="E65" s="2830">
        <v>0.2</v>
      </c>
      <c r="F65" s="2830">
        <v>0.2</v>
      </c>
      <c r="G65" s="2830">
        <v>0.1</v>
      </c>
    </row>
    <row r="66" spans="1:7" ht="19.5" customHeight="1">
      <c r="A66" s="2862" t="s">
        <v>2600</v>
      </c>
      <c r="B66" s="2830">
        <v>0.5</v>
      </c>
      <c r="C66" s="2830">
        <v>0.2</v>
      </c>
      <c r="D66" s="2830">
        <v>0.2</v>
      </c>
      <c r="E66" s="2830">
        <v>0.2</v>
      </c>
      <c r="F66" s="2830">
        <v>0.2</v>
      </c>
      <c r="G66" s="2830">
        <v>0.1</v>
      </c>
    </row>
    <row r="67" spans="1:7" ht="19.5" customHeight="1">
      <c r="A67" s="2862" t="s">
        <v>2601</v>
      </c>
      <c r="B67" s="2830">
        <v>0.5</v>
      </c>
      <c r="C67" s="2830">
        <v>0.2</v>
      </c>
      <c r="D67" s="2830">
        <v>0.2</v>
      </c>
      <c r="E67" s="2830">
        <v>0.2</v>
      </c>
      <c r="F67" s="2830">
        <v>0.2</v>
      </c>
      <c r="G67" s="2830">
        <v>0.1</v>
      </c>
    </row>
    <row r="68" spans="1:7" ht="19.5" customHeight="1">
      <c r="A68" s="2862" t="s">
        <v>2602</v>
      </c>
      <c r="B68" s="2830">
        <v>0.5</v>
      </c>
      <c r="C68" s="2830">
        <v>0.2</v>
      </c>
      <c r="D68" s="2830">
        <v>0.2</v>
      </c>
      <c r="E68" s="2830">
        <v>0.2</v>
      </c>
      <c r="F68" s="2830">
        <v>0.2</v>
      </c>
      <c r="G68" s="2830">
        <v>0.1</v>
      </c>
    </row>
    <row r="70" spans="1:7" ht="19.5" customHeight="1">
      <c r="A70" s="2844"/>
      <c r="B70" s="2863"/>
      <c r="C70" s="2863"/>
      <c r="D70" s="2863" t="s">
        <v>2639</v>
      </c>
      <c r="E70" s="2863"/>
      <c r="F70" s="2863"/>
    </row>
    <row r="71" spans="1:7" ht="19.5" customHeight="1">
      <c r="A71" s="2856" t="s">
        <v>2640</v>
      </c>
      <c r="B71" s="2856" t="s">
        <v>2641</v>
      </c>
      <c r="C71" s="2856" t="s">
        <v>2642</v>
      </c>
      <c r="D71" s="2856" t="s">
        <v>2643</v>
      </c>
      <c r="E71" s="2856" t="s">
        <v>2644</v>
      </c>
      <c r="F71" s="2856" t="s">
        <v>2645</v>
      </c>
    </row>
    <row r="72" spans="1:7" ht="14.4">
      <c r="A72" s="2856"/>
      <c r="B72" s="2856"/>
      <c r="C72" s="2856" t="s">
        <v>2646</v>
      </c>
      <c r="D72" s="2856"/>
      <c r="E72" s="2856" t="s">
        <v>2617</v>
      </c>
      <c r="F72" s="2856" t="s">
        <v>2617</v>
      </c>
    </row>
    <row r="73" spans="1:7" ht="14.4">
      <c r="A73" s="2856">
        <v>1</v>
      </c>
      <c r="B73" s="3484" t="s">
        <v>2647</v>
      </c>
      <c r="C73" s="2830" t="s">
        <v>2648</v>
      </c>
      <c r="D73" s="2830" t="s">
        <v>2649</v>
      </c>
      <c r="E73" s="2856">
        <v>0.2</v>
      </c>
      <c r="F73" s="2856">
        <v>25</v>
      </c>
    </row>
    <row r="74" spans="1:7" ht="24">
      <c r="A74" s="2856">
        <v>2</v>
      </c>
      <c r="B74" s="3486"/>
      <c r="C74" s="2830" t="s">
        <v>2650</v>
      </c>
      <c r="D74" s="2830" t="s">
        <v>2651</v>
      </c>
      <c r="E74" s="2856">
        <v>0.2</v>
      </c>
      <c r="F74" s="2856">
        <v>25</v>
      </c>
    </row>
    <row r="75" spans="1:7" ht="24">
      <c r="A75" s="2856">
        <v>3</v>
      </c>
      <c r="B75" s="3486"/>
      <c r="C75" s="2830" t="s">
        <v>2652</v>
      </c>
      <c r="D75" s="2830" t="s">
        <v>2653</v>
      </c>
      <c r="E75" s="2856">
        <v>0.2</v>
      </c>
      <c r="F75" s="2856">
        <v>25</v>
      </c>
    </row>
    <row r="76" spans="1:7" ht="14.4">
      <c r="A76" s="2856">
        <v>4</v>
      </c>
      <c r="B76" s="3486"/>
      <c r="C76" s="2830" t="s">
        <v>2654</v>
      </c>
      <c r="D76" s="2830" t="s">
        <v>2655</v>
      </c>
      <c r="E76" s="2856">
        <v>0.15</v>
      </c>
      <c r="F76" s="2856">
        <v>20</v>
      </c>
    </row>
    <row r="77" spans="1:7" ht="24">
      <c r="A77" s="2856">
        <v>5</v>
      </c>
      <c r="B77" s="3486"/>
      <c r="C77" s="2830" t="s">
        <v>2656</v>
      </c>
      <c r="D77" s="2830" t="s">
        <v>2657</v>
      </c>
      <c r="E77" s="2856">
        <v>0.15</v>
      </c>
      <c r="F77" s="2856">
        <v>20</v>
      </c>
    </row>
    <row r="78" spans="1:7" ht="24">
      <c r="A78" s="2856">
        <v>6</v>
      </c>
      <c r="B78" s="3486"/>
      <c r="C78" s="2830" t="s">
        <v>2658</v>
      </c>
      <c r="D78" s="2830" t="s">
        <v>2659</v>
      </c>
      <c r="E78" s="2856">
        <v>0.15</v>
      </c>
      <c r="F78" s="2856">
        <v>20</v>
      </c>
    </row>
    <row r="79" spans="1:7" ht="24">
      <c r="A79" s="2856">
        <v>7</v>
      </c>
      <c r="B79" s="3486"/>
      <c r="C79" s="2830" t="s">
        <v>2660</v>
      </c>
      <c r="D79" s="2830" t="s">
        <v>2661</v>
      </c>
      <c r="E79" s="2856">
        <v>0.15</v>
      </c>
      <c r="F79" s="2856">
        <v>20</v>
      </c>
    </row>
    <row r="80" spans="1:7" ht="24">
      <c r="A80" s="2856">
        <v>8</v>
      </c>
      <c r="B80" s="3486"/>
      <c r="C80" s="2830" t="s">
        <v>2662</v>
      </c>
      <c r="D80" s="2830" t="s">
        <v>2663</v>
      </c>
      <c r="E80" s="2856">
        <v>0.1</v>
      </c>
      <c r="F80" s="2856">
        <v>15</v>
      </c>
    </row>
    <row r="81" spans="1:6" ht="24">
      <c r="A81" s="2856">
        <v>9</v>
      </c>
      <c r="B81" s="3486"/>
      <c r="C81" s="2830" t="s">
        <v>2664</v>
      </c>
      <c r="D81" s="2830" t="s">
        <v>2665</v>
      </c>
      <c r="E81" s="2856">
        <v>0.1</v>
      </c>
      <c r="F81" s="2856">
        <v>15</v>
      </c>
    </row>
    <row r="82" spans="1:6" ht="24">
      <c r="A82" s="2856">
        <v>10</v>
      </c>
      <c r="B82" s="3486"/>
      <c r="C82" s="2830" t="s">
        <v>2666</v>
      </c>
      <c r="D82" s="2830" t="s">
        <v>2667</v>
      </c>
      <c r="E82" s="2856">
        <v>0.1</v>
      </c>
      <c r="F82" s="2856">
        <v>15</v>
      </c>
    </row>
    <row r="83" spans="1:6" ht="24">
      <c r="A83" s="2856">
        <v>11</v>
      </c>
      <c r="B83" s="3486"/>
      <c r="C83" s="2830" t="s">
        <v>2668</v>
      </c>
      <c r="D83" s="2830" t="s">
        <v>2669</v>
      </c>
      <c r="E83" s="2856">
        <v>0.1</v>
      </c>
      <c r="F83" s="2856">
        <v>15</v>
      </c>
    </row>
    <row r="84" spans="1:6" ht="24">
      <c r="A84" s="2856">
        <v>12</v>
      </c>
      <c r="B84" s="3486"/>
      <c r="C84" s="2830" t="s">
        <v>2670</v>
      </c>
      <c r="D84" s="2830" t="s">
        <v>2671</v>
      </c>
      <c r="E84" s="2856">
        <v>0.1</v>
      </c>
      <c r="F84" s="2856">
        <v>15</v>
      </c>
    </row>
    <row r="85" spans="1:6" ht="24">
      <c r="A85" s="2856">
        <v>13</v>
      </c>
      <c r="B85" s="3486"/>
      <c r="C85" s="2830" t="s">
        <v>2672</v>
      </c>
      <c r="D85" s="2830" t="s">
        <v>2673</v>
      </c>
      <c r="E85" s="2856">
        <v>0.1</v>
      </c>
      <c r="F85" s="2856">
        <v>15</v>
      </c>
    </row>
    <row r="86" spans="1:6" ht="24">
      <c r="A86" s="2856">
        <v>14</v>
      </c>
      <c r="B86" s="3486"/>
      <c r="C86" s="2830" t="s">
        <v>2674</v>
      </c>
      <c r="D86" s="2830" t="s">
        <v>2675</v>
      </c>
      <c r="E86" s="2856">
        <v>0.1</v>
      </c>
      <c r="F86" s="2856">
        <v>15</v>
      </c>
    </row>
    <row r="87" spans="1:6" ht="24">
      <c r="A87" s="2856">
        <v>15</v>
      </c>
      <c r="B87" s="3486"/>
      <c r="C87" s="2830" t="s">
        <v>2676</v>
      </c>
      <c r="D87" s="2830" t="s">
        <v>2677</v>
      </c>
      <c r="E87" s="2856">
        <v>0.1</v>
      </c>
      <c r="F87" s="2856">
        <v>15</v>
      </c>
    </row>
    <row r="88" spans="1:6" ht="24">
      <c r="A88" s="2856">
        <v>16</v>
      </c>
      <c r="B88" s="3486"/>
      <c r="C88" s="2830" t="s">
        <v>2678</v>
      </c>
      <c r="D88" s="2830" t="s">
        <v>2679</v>
      </c>
      <c r="E88" s="2856">
        <v>0.1</v>
      </c>
      <c r="F88" s="2856">
        <v>15</v>
      </c>
    </row>
    <row r="89" spans="1:6" ht="24">
      <c r="A89" s="2856">
        <v>17</v>
      </c>
      <c r="B89" s="3485"/>
      <c r="C89" s="2830" t="s">
        <v>2680</v>
      </c>
      <c r="D89" s="2830" t="s">
        <v>2681</v>
      </c>
      <c r="E89" s="2856">
        <v>0.1</v>
      </c>
      <c r="F89" s="2856">
        <v>15</v>
      </c>
    </row>
    <row r="90" spans="1:6" ht="14.4">
      <c r="A90" s="2856">
        <v>18</v>
      </c>
      <c r="B90" s="3484" t="s">
        <v>2682</v>
      </c>
      <c r="C90" s="2830" t="s">
        <v>2683</v>
      </c>
      <c r="D90" s="2830" t="s">
        <v>2684</v>
      </c>
      <c r="E90" s="2856">
        <v>0.2</v>
      </c>
      <c r="F90" s="2856">
        <v>25</v>
      </c>
    </row>
    <row r="91" spans="1:6" ht="24">
      <c r="A91" s="2856">
        <v>19</v>
      </c>
      <c r="B91" s="3486"/>
      <c r="C91" s="2830" t="s">
        <v>2685</v>
      </c>
      <c r="D91" s="2830" t="s">
        <v>2686</v>
      </c>
      <c r="E91" s="2856">
        <v>0.2</v>
      </c>
      <c r="F91" s="2856">
        <v>25</v>
      </c>
    </row>
    <row r="92" spans="1:6" ht="14.4">
      <c r="A92" s="2856">
        <v>20</v>
      </c>
      <c r="B92" s="3486"/>
      <c r="C92" s="2830" t="s">
        <v>2687</v>
      </c>
      <c r="D92" s="2830" t="s">
        <v>2688</v>
      </c>
      <c r="E92" s="2856">
        <v>0.15</v>
      </c>
      <c r="F92" s="2856">
        <v>20</v>
      </c>
    </row>
    <row r="93" spans="1:6" ht="24">
      <c r="A93" s="2856">
        <v>21</v>
      </c>
      <c r="B93" s="3486"/>
      <c r="C93" s="2830" t="s">
        <v>2689</v>
      </c>
      <c r="D93" s="2830" t="s">
        <v>2690</v>
      </c>
      <c r="E93" s="2856">
        <v>0.15</v>
      </c>
      <c r="F93" s="2856">
        <v>20</v>
      </c>
    </row>
    <row r="94" spans="1:6" ht="24">
      <c r="A94" s="2856">
        <v>22</v>
      </c>
      <c r="B94" s="3486"/>
      <c r="C94" s="2830" t="s">
        <v>2691</v>
      </c>
      <c r="D94" s="2830" t="s">
        <v>2692</v>
      </c>
      <c r="E94" s="2856">
        <v>0.15</v>
      </c>
      <c r="F94" s="2856">
        <v>20</v>
      </c>
    </row>
    <row r="95" spans="1:6" ht="36">
      <c r="A95" s="2856">
        <v>23</v>
      </c>
      <c r="B95" s="3486"/>
      <c r="C95" s="2830" t="s">
        <v>2693</v>
      </c>
      <c r="D95" s="2830" t="s">
        <v>2694</v>
      </c>
      <c r="E95" s="2856">
        <v>0.15</v>
      </c>
      <c r="F95" s="2856">
        <v>20</v>
      </c>
    </row>
    <row r="96" spans="1:6" ht="24">
      <c r="A96" s="2856">
        <v>24</v>
      </c>
      <c r="B96" s="3486"/>
      <c r="C96" s="2830" t="s">
        <v>2695</v>
      </c>
      <c r="D96" s="2830" t="s">
        <v>2696</v>
      </c>
      <c r="E96" s="2856">
        <v>0.1</v>
      </c>
      <c r="F96" s="2856">
        <v>15</v>
      </c>
    </row>
    <row r="97" spans="1:6" ht="24">
      <c r="A97" s="2856">
        <v>25</v>
      </c>
      <c r="B97" s="3486"/>
      <c r="C97" s="2830" t="s">
        <v>2697</v>
      </c>
      <c r="D97" s="2830" t="s">
        <v>2698</v>
      </c>
      <c r="E97" s="2856">
        <v>0.1</v>
      </c>
      <c r="F97" s="2856">
        <v>15</v>
      </c>
    </row>
    <row r="98" spans="1:6" ht="24">
      <c r="A98" s="2856">
        <v>26</v>
      </c>
      <c r="B98" s="3486"/>
      <c r="C98" s="2830" t="s">
        <v>2699</v>
      </c>
      <c r="D98" s="2830" t="s">
        <v>2700</v>
      </c>
      <c r="E98" s="2856">
        <v>0.1</v>
      </c>
      <c r="F98" s="2856">
        <v>15</v>
      </c>
    </row>
    <row r="99" spans="1:6" ht="24">
      <c r="A99" s="2856">
        <v>27</v>
      </c>
      <c r="B99" s="3486"/>
      <c r="C99" s="2830" t="s">
        <v>2701</v>
      </c>
      <c r="D99" s="2830" t="s">
        <v>2702</v>
      </c>
      <c r="E99" s="2856">
        <v>0.1</v>
      </c>
      <c r="F99" s="2856">
        <v>15</v>
      </c>
    </row>
    <row r="100" spans="1:6" ht="24">
      <c r="A100" s="2856">
        <v>28</v>
      </c>
      <c r="B100" s="3486"/>
      <c r="C100" s="2830" t="s">
        <v>2703</v>
      </c>
      <c r="D100" s="2830" t="s">
        <v>2704</v>
      </c>
      <c r="E100" s="2856">
        <v>0.1</v>
      </c>
      <c r="F100" s="2856">
        <v>15</v>
      </c>
    </row>
    <row r="101" spans="1:6" ht="24">
      <c r="A101" s="2856">
        <v>29</v>
      </c>
      <c r="B101" s="3486"/>
      <c r="C101" s="2830" t="s">
        <v>2705</v>
      </c>
      <c r="D101" s="2830" t="s">
        <v>2706</v>
      </c>
      <c r="E101" s="2856">
        <v>0.1</v>
      </c>
      <c r="F101" s="2856">
        <v>15</v>
      </c>
    </row>
    <row r="102" spans="1:6" ht="24">
      <c r="A102" s="2856">
        <v>30</v>
      </c>
      <c r="B102" s="3486"/>
      <c r="C102" s="2830" t="s">
        <v>2707</v>
      </c>
      <c r="D102" s="2830" t="s">
        <v>2708</v>
      </c>
      <c r="E102" s="2856">
        <v>0.1</v>
      </c>
      <c r="F102" s="2856">
        <v>15</v>
      </c>
    </row>
    <row r="103" spans="1:6" ht="24">
      <c r="A103" s="2856">
        <v>31</v>
      </c>
      <c r="B103" s="3486"/>
      <c r="C103" s="2830" t="s">
        <v>2709</v>
      </c>
      <c r="D103" s="2830" t="s">
        <v>2710</v>
      </c>
      <c r="E103" s="2856">
        <v>0.1</v>
      </c>
      <c r="F103" s="2856">
        <v>15</v>
      </c>
    </row>
    <row r="104" spans="1:6" ht="24">
      <c r="A104" s="2856">
        <v>32</v>
      </c>
      <c r="B104" s="3486"/>
      <c r="C104" s="2830" t="s">
        <v>2711</v>
      </c>
      <c r="D104" s="2830" t="s">
        <v>2712</v>
      </c>
      <c r="E104" s="2856">
        <v>0.1</v>
      </c>
      <c r="F104" s="2856">
        <v>15</v>
      </c>
    </row>
    <row r="105" spans="1:6" ht="24">
      <c r="A105" s="2856">
        <v>33</v>
      </c>
      <c r="B105" s="3486"/>
      <c r="C105" s="2830" t="s">
        <v>2713</v>
      </c>
      <c r="D105" s="2830" t="s">
        <v>2714</v>
      </c>
      <c r="E105" s="2856">
        <v>0.1</v>
      </c>
      <c r="F105" s="2856">
        <v>15</v>
      </c>
    </row>
    <row r="106" spans="1:6" ht="24">
      <c r="A106" s="2856">
        <v>34</v>
      </c>
      <c r="B106" s="3485"/>
      <c r="C106" s="2830" t="s">
        <v>2715</v>
      </c>
      <c r="D106" s="2830" t="s">
        <v>2716</v>
      </c>
      <c r="E106" s="2856">
        <v>0.1</v>
      </c>
      <c r="F106" s="2856">
        <v>15</v>
      </c>
    </row>
    <row r="107" spans="1:6" ht="36">
      <c r="A107" s="2856">
        <v>35</v>
      </c>
      <c r="B107" s="3484" t="s">
        <v>2717</v>
      </c>
      <c r="C107" s="2856" t="s">
        <v>2718</v>
      </c>
      <c r="D107" s="2830" t="s">
        <v>2719</v>
      </c>
      <c r="E107" s="2856">
        <v>0.15</v>
      </c>
      <c r="F107" s="2856">
        <v>20</v>
      </c>
    </row>
    <row r="108" spans="1:6" ht="24">
      <c r="A108" s="2856">
        <v>36</v>
      </c>
      <c r="B108" s="3486"/>
      <c r="C108" s="2856" t="s">
        <v>2720</v>
      </c>
      <c r="D108" s="2830" t="s">
        <v>2721</v>
      </c>
      <c r="E108" s="2856">
        <v>0.15</v>
      </c>
      <c r="F108" s="2856">
        <v>20</v>
      </c>
    </row>
    <row r="109" spans="1:6" ht="24">
      <c r="A109" s="2856">
        <v>37</v>
      </c>
      <c r="B109" s="3486"/>
      <c r="C109" s="2856" t="s">
        <v>2722</v>
      </c>
      <c r="D109" s="2830" t="s">
        <v>2723</v>
      </c>
      <c r="E109" s="2856">
        <v>0.15</v>
      </c>
      <c r="F109" s="2856">
        <v>20</v>
      </c>
    </row>
    <row r="110" spans="1:6" ht="24">
      <c r="A110" s="2856">
        <v>38</v>
      </c>
      <c r="B110" s="3486"/>
      <c r="C110" s="2856" t="s">
        <v>2724</v>
      </c>
      <c r="D110" s="2830" t="s">
        <v>2725</v>
      </c>
      <c r="E110" s="2856">
        <v>0.1</v>
      </c>
      <c r="F110" s="2856">
        <v>15</v>
      </c>
    </row>
    <row r="111" spans="1:6" ht="24">
      <c r="A111" s="2856">
        <v>39</v>
      </c>
      <c r="B111" s="3486"/>
      <c r="C111" s="2856" t="s">
        <v>2726</v>
      </c>
      <c r="D111" s="2830" t="s">
        <v>2727</v>
      </c>
      <c r="E111" s="2856">
        <v>0.1</v>
      </c>
      <c r="F111" s="2856">
        <v>15</v>
      </c>
    </row>
    <row r="112" spans="1:6" ht="24">
      <c r="A112" s="2856">
        <v>40</v>
      </c>
      <c r="B112" s="3485"/>
      <c r="C112" s="2856" t="s">
        <v>2728</v>
      </c>
      <c r="D112" s="2830" t="s">
        <v>2729</v>
      </c>
      <c r="E112" s="2856">
        <v>0.1</v>
      </c>
      <c r="F112" s="2856">
        <v>15</v>
      </c>
    </row>
    <row r="113" spans="1:6" ht="24">
      <c r="A113" s="2856">
        <v>41</v>
      </c>
      <c r="B113" s="3483" t="s">
        <v>2730</v>
      </c>
      <c r="C113" s="2856" t="s">
        <v>2731</v>
      </c>
      <c r="D113" s="2830" t="s">
        <v>2732</v>
      </c>
      <c r="E113" s="2856">
        <v>0.1</v>
      </c>
      <c r="F113" s="2856">
        <v>15</v>
      </c>
    </row>
    <row r="114" spans="1:6" ht="24">
      <c r="A114" s="2856">
        <v>42</v>
      </c>
      <c r="B114" s="3483"/>
      <c r="C114" s="2856" t="s">
        <v>2733</v>
      </c>
      <c r="D114" s="2830" t="s">
        <v>2734</v>
      </c>
      <c r="E114" s="2856">
        <v>0.1</v>
      </c>
      <c r="F114" s="2856">
        <v>15</v>
      </c>
    </row>
    <row r="115" spans="1:6" ht="24">
      <c r="A115" s="2856">
        <v>43</v>
      </c>
      <c r="B115" s="3483"/>
      <c r="C115" s="2856" t="s">
        <v>2735</v>
      </c>
      <c r="D115" s="2830" t="s">
        <v>2736</v>
      </c>
      <c r="E115" s="2856">
        <v>0.1</v>
      </c>
      <c r="F115" s="2856">
        <v>15</v>
      </c>
    </row>
    <row r="116" spans="1:6" ht="24">
      <c r="A116" s="2856">
        <v>44</v>
      </c>
      <c r="B116" s="3484" t="s">
        <v>2737</v>
      </c>
      <c r="C116" s="2856" t="s">
        <v>2738</v>
      </c>
      <c r="D116" s="2830" t="s">
        <v>2739</v>
      </c>
      <c r="E116" s="2856">
        <v>0.1</v>
      </c>
      <c r="F116" s="2856">
        <v>15</v>
      </c>
    </row>
    <row r="117" spans="1:6" ht="24">
      <c r="A117" s="2856">
        <v>45</v>
      </c>
      <c r="B117" s="3485"/>
      <c r="C117" s="2830" t="s">
        <v>2740</v>
      </c>
      <c r="D117" s="2830" t="s">
        <v>2741</v>
      </c>
      <c r="E117" s="2856">
        <v>0.1</v>
      </c>
      <c r="F117" s="2856">
        <v>15</v>
      </c>
    </row>
    <row r="118" spans="1:6" ht="24">
      <c r="A118" s="2856">
        <v>46</v>
      </c>
      <c r="B118" s="3484" t="s">
        <v>2742</v>
      </c>
      <c r="C118" s="2856" t="s">
        <v>2743</v>
      </c>
      <c r="D118" s="2830" t="s">
        <v>2744</v>
      </c>
      <c r="E118" s="2856">
        <v>0.1</v>
      </c>
      <c r="F118" s="2856">
        <v>15</v>
      </c>
    </row>
    <row r="119" spans="1:6" ht="24">
      <c r="A119" s="2856">
        <v>47</v>
      </c>
      <c r="B119" s="3485"/>
      <c r="C119" s="2856" t="s">
        <v>2745</v>
      </c>
      <c r="D119" s="2830" t="s">
        <v>2746</v>
      </c>
      <c r="E119" s="2856">
        <v>0.1</v>
      </c>
      <c r="F119" s="2856">
        <v>15</v>
      </c>
    </row>
    <row r="120" spans="1:6" ht="24">
      <c r="A120" s="2856">
        <v>48</v>
      </c>
      <c r="B120" s="3484" t="s">
        <v>2747</v>
      </c>
      <c r="C120" s="2856" t="s">
        <v>2748</v>
      </c>
      <c r="D120" s="2830" t="s">
        <v>2749</v>
      </c>
      <c r="E120" s="2856">
        <v>0.1</v>
      </c>
      <c r="F120" s="2856">
        <v>15</v>
      </c>
    </row>
    <row r="121" spans="1:6" ht="24">
      <c r="A121" s="2856">
        <v>49</v>
      </c>
      <c r="B121" s="3485"/>
      <c r="C121" s="2856" t="s">
        <v>2750</v>
      </c>
      <c r="D121" s="2830" t="s">
        <v>2751</v>
      </c>
      <c r="E121" s="2856">
        <v>0.1</v>
      </c>
      <c r="F121" s="2856">
        <v>15</v>
      </c>
    </row>
    <row r="122" spans="1:6" ht="24">
      <c r="A122" s="2856">
        <v>50</v>
      </c>
      <c r="B122" s="3483" t="s">
        <v>2752</v>
      </c>
      <c r="C122" s="2856" t="s">
        <v>2753</v>
      </c>
      <c r="D122" s="2830" t="s">
        <v>2754</v>
      </c>
      <c r="E122" s="2856">
        <v>0.1</v>
      </c>
      <c r="F122" s="2856">
        <v>15</v>
      </c>
    </row>
    <row r="123" spans="1:6" ht="24">
      <c r="A123" s="2856">
        <v>51</v>
      </c>
      <c r="B123" s="3483"/>
      <c r="C123" s="2856" t="s">
        <v>2755</v>
      </c>
      <c r="D123" s="2830" t="s">
        <v>2756</v>
      </c>
      <c r="E123" s="2856">
        <v>0.1</v>
      </c>
      <c r="F123" s="2856">
        <v>15</v>
      </c>
    </row>
    <row r="124" spans="1:6" ht="24">
      <c r="A124" s="2856">
        <v>52</v>
      </c>
      <c r="B124" s="3483" t="s">
        <v>2757</v>
      </c>
      <c r="C124" s="2856" t="s">
        <v>2758</v>
      </c>
      <c r="D124" s="2830" t="s">
        <v>2759</v>
      </c>
      <c r="E124" s="2856">
        <v>0.1</v>
      </c>
      <c r="F124" s="2856">
        <v>15</v>
      </c>
    </row>
    <row r="125" spans="1:6" ht="24">
      <c r="A125" s="2856">
        <v>53</v>
      </c>
      <c r="B125" s="3483"/>
      <c r="C125" s="2856" t="s">
        <v>2760</v>
      </c>
      <c r="D125" s="2830" t="s">
        <v>2761</v>
      </c>
      <c r="E125" s="2856">
        <v>0.1</v>
      </c>
      <c r="F125" s="2856">
        <v>15</v>
      </c>
    </row>
    <row r="126" spans="1:6" ht="24">
      <c r="A126" s="2856">
        <v>54</v>
      </c>
      <c r="B126" s="2856" t="s">
        <v>2762</v>
      </c>
      <c r="C126" s="2856" t="s">
        <v>2763</v>
      </c>
      <c r="D126" s="2830" t="s">
        <v>2764</v>
      </c>
      <c r="E126" s="2856">
        <v>0.1</v>
      </c>
      <c r="F126" s="2856">
        <v>15</v>
      </c>
    </row>
    <row r="127" spans="1:6" ht="24">
      <c r="A127" s="2856">
        <v>55</v>
      </c>
      <c r="B127" s="3483" t="s">
        <v>2765</v>
      </c>
      <c r="C127" s="2856" t="s">
        <v>2766</v>
      </c>
      <c r="D127" s="2830" t="s">
        <v>2767</v>
      </c>
      <c r="E127" s="2856">
        <v>0.1</v>
      </c>
      <c r="F127" s="2856">
        <v>15</v>
      </c>
    </row>
    <row r="128" spans="1:6" ht="24">
      <c r="A128" s="2856">
        <v>56</v>
      </c>
      <c r="B128" s="3483"/>
      <c r="C128" s="2856" t="s">
        <v>2768</v>
      </c>
      <c r="D128" s="2830" t="s">
        <v>2769</v>
      </c>
      <c r="E128" s="2856">
        <v>0.1</v>
      </c>
      <c r="F128" s="2856">
        <v>15</v>
      </c>
    </row>
    <row r="129" spans="1:6" ht="24">
      <c r="A129" s="2856">
        <v>57</v>
      </c>
      <c r="B129" s="3483"/>
      <c r="C129" s="2856" t="s">
        <v>2770</v>
      </c>
      <c r="D129" s="2830" t="s">
        <v>2771</v>
      </c>
      <c r="E129" s="2856">
        <v>0.1</v>
      </c>
      <c r="F129" s="2856">
        <v>15</v>
      </c>
    </row>
    <row r="130" spans="1:6" ht="24">
      <c r="A130" s="2856">
        <v>58</v>
      </c>
      <c r="B130" s="3483" t="s">
        <v>2772</v>
      </c>
      <c r="C130" s="2856" t="s">
        <v>2773</v>
      </c>
      <c r="D130" s="2830" t="s">
        <v>2774</v>
      </c>
      <c r="E130" s="2856">
        <v>0.1</v>
      </c>
      <c r="F130" s="2856">
        <v>15</v>
      </c>
    </row>
    <row r="131" spans="1:6" ht="24">
      <c r="A131" s="2856">
        <v>59</v>
      </c>
      <c r="B131" s="3483"/>
      <c r="C131" s="2856" t="s">
        <v>2775</v>
      </c>
      <c r="D131" s="2830" t="s">
        <v>2776</v>
      </c>
      <c r="E131" s="2856">
        <v>0.1</v>
      </c>
      <c r="F131" s="2856">
        <v>15</v>
      </c>
    </row>
    <row r="132" spans="1:6" ht="24">
      <c r="A132" s="2856">
        <v>60</v>
      </c>
      <c r="B132" s="3484" t="s">
        <v>2777</v>
      </c>
      <c r="C132" s="2856" t="s">
        <v>2778</v>
      </c>
      <c r="D132" s="2830" t="s">
        <v>2779</v>
      </c>
      <c r="E132" s="2856">
        <v>0.1</v>
      </c>
      <c r="F132" s="2856">
        <v>15</v>
      </c>
    </row>
    <row r="133" spans="1:6" ht="24">
      <c r="A133" s="2856">
        <v>61</v>
      </c>
      <c r="B133" s="3485"/>
      <c r="C133" s="2856" t="s">
        <v>2780</v>
      </c>
      <c r="D133" s="2830" t="s">
        <v>2781</v>
      </c>
      <c r="E133" s="2856">
        <v>0.1</v>
      </c>
      <c r="F133" s="2856">
        <v>15</v>
      </c>
    </row>
    <row r="134" spans="1:6" ht="24">
      <c r="A134" s="2856">
        <v>62</v>
      </c>
      <c r="B134" s="2856" t="s">
        <v>2782</v>
      </c>
      <c r="C134" s="2856" t="s">
        <v>2783</v>
      </c>
      <c r="D134" s="2830" t="s">
        <v>2784</v>
      </c>
      <c r="E134" s="2856">
        <v>0.1</v>
      </c>
      <c r="F134" s="2856">
        <v>15</v>
      </c>
    </row>
    <row r="135" spans="1:6" ht="24">
      <c r="A135" s="2856">
        <v>63</v>
      </c>
      <c r="B135" s="3483" t="s">
        <v>2785</v>
      </c>
      <c r="C135" s="2856" t="s">
        <v>2786</v>
      </c>
      <c r="D135" s="2830" t="s">
        <v>2787</v>
      </c>
      <c r="E135" s="2856">
        <v>0.1</v>
      </c>
      <c r="F135" s="2856">
        <v>15</v>
      </c>
    </row>
    <row r="136" spans="1:6" ht="24">
      <c r="A136" s="2856">
        <v>64</v>
      </c>
      <c r="B136" s="3483"/>
      <c r="C136" s="2856" t="s">
        <v>2788</v>
      </c>
      <c r="D136" s="2830" t="s">
        <v>2789</v>
      </c>
      <c r="E136" s="2856">
        <v>0.1</v>
      </c>
      <c r="F136" s="2856">
        <v>15</v>
      </c>
    </row>
    <row r="137" spans="1:6" ht="24">
      <c r="A137" s="2856">
        <v>65</v>
      </c>
      <c r="B137" s="2856" t="s">
        <v>2790</v>
      </c>
      <c r="C137" s="2856" t="s">
        <v>2791</v>
      </c>
      <c r="D137" s="2830" t="s">
        <v>2792</v>
      </c>
      <c r="E137" s="2856">
        <v>0.1</v>
      </c>
      <c r="F137" s="2856">
        <v>15</v>
      </c>
    </row>
    <row r="138" spans="1:6" ht="14.4">
      <c r="A138" s="2856"/>
      <c r="B138" s="2856"/>
      <c r="C138" s="2856"/>
      <c r="D138" s="2856"/>
      <c r="E138" s="2856" t="s">
        <v>2793</v>
      </c>
      <c r="F138" s="2856"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2794</v>
      </c>
      <c r="B1" s="2864"/>
      <c r="C1" s="2864"/>
      <c r="D1" s="2864"/>
      <c r="E1" s="2864"/>
      <c r="F1" s="2864"/>
      <c r="G1" s="2864"/>
      <c r="H1" s="2864"/>
      <c r="I1" s="2864"/>
      <c r="J1" s="2864"/>
      <c r="K1" s="2864"/>
      <c r="L1" s="2864"/>
      <c r="M1" s="2864"/>
      <c r="N1" s="707"/>
    </row>
    <row r="2" spans="1:20">
      <c r="A2" s="2865" t="s">
        <v>2795</v>
      </c>
      <c r="B2" s="2866" t="s">
        <v>2591</v>
      </c>
      <c r="C2" s="2866" t="s">
        <v>2592</v>
      </c>
      <c r="D2" s="2866" t="s">
        <v>2593</v>
      </c>
      <c r="E2" s="2866" t="s">
        <v>2594</v>
      </c>
      <c r="F2" s="2866" t="s">
        <v>2595</v>
      </c>
      <c r="G2" s="2866" t="s">
        <v>2596</v>
      </c>
      <c r="H2" s="2867" t="s">
        <v>2597</v>
      </c>
      <c r="I2" s="2867" t="s">
        <v>2598</v>
      </c>
      <c r="J2" s="2868" t="s">
        <v>2599</v>
      </c>
      <c r="K2" s="2868" t="s">
        <v>2600</v>
      </c>
      <c r="L2" s="2868" t="s">
        <v>2601</v>
      </c>
      <c r="M2" s="2869" t="s">
        <v>2602</v>
      </c>
      <c r="Q2" s="2879" t="s">
        <v>2800</v>
      </c>
      <c r="R2" s="2879" t="s">
        <v>2801</v>
      </c>
      <c r="S2" s="2879" t="s">
        <v>2802</v>
      </c>
      <c r="T2" s="2879" t="s">
        <v>2803</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2796</v>
      </c>
      <c r="B93" s="2864"/>
      <c r="C93" s="2864"/>
      <c r="D93" s="2864"/>
      <c r="E93" s="2864"/>
      <c r="F93" s="2864"/>
      <c r="G93" s="2864"/>
      <c r="H93" s="2864"/>
      <c r="I93" s="2864"/>
      <c r="J93" s="2864"/>
      <c r="K93" s="2864"/>
      <c r="L93" s="2864"/>
      <c r="M93" s="2864"/>
    </row>
    <row r="94" spans="1:20">
      <c r="A94" s="2865" t="s">
        <v>2795</v>
      </c>
      <c r="B94" s="2866" t="s">
        <v>2591</v>
      </c>
      <c r="C94" s="2866" t="s">
        <v>2592</v>
      </c>
      <c r="D94" s="2866" t="s">
        <v>2593</v>
      </c>
      <c r="E94" s="2866" t="s">
        <v>2594</v>
      </c>
      <c r="F94" s="2866" t="s">
        <v>2595</v>
      </c>
      <c r="G94" s="2866" t="s">
        <v>2596</v>
      </c>
      <c r="H94" s="2867" t="s">
        <v>2597</v>
      </c>
      <c r="I94" s="2867" t="s">
        <v>2598</v>
      </c>
      <c r="J94" s="2868" t="s">
        <v>2599</v>
      </c>
      <c r="K94" s="2868" t="s">
        <v>2600</v>
      </c>
      <c r="L94" s="2868" t="s">
        <v>2601</v>
      </c>
      <c r="M94" s="2869" t="s">
        <v>2602</v>
      </c>
      <c r="N94">
        <f>SUMPRODUCT((A95:A184=ROUNDDOWN(基准地价修正2层!G3,1))*(B94:M94=基准地价修正2层!G2)*(B95:M184))</f>
        <v>0</v>
      </c>
      <c r="Q94" s="2879" t="s">
        <v>2800</v>
      </c>
      <c r="R94" s="2879" t="s">
        <v>2801</v>
      </c>
      <c r="S94" s="2879" t="s">
        <v>2802</v>
      </c>
      <c r="T94" s="2879" t="s">
        <v>2803</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2797</v>
      </c>
      <c r="B185" s="2864"/>
      <c r="C185" s="2864"/>
      <c r="D185" s="2864"/>
      <c r="E185" s="2864"/>
      <c r="F185" s="2864"/>
      <c r="G185" s="2864"/>
      <c r="H185" s="2864"/>
      <c r="I185" s="2864"/>
      <c r="J185" s="2864"/>
      <c r="K185" s="2864"/>
      <c r="L185" s="2864"/>
      <c r="M185" s="2864"/>
    </row>
    <row r="186" spans="1:20">
      <c r="A186" s="2865" t="s">
        <v>2795</v>
      </c>
      <c r="B186" s="2866" t="s">
        <v>2591</v>
      </c>
      <c r="C186" s="2866" t="s">
        <v>2592</v>
      </c>
      <c r="D186" s="2866" t="s">
        <v>2593</v>
      </c>
      <c r="E186" s="2866" t="s">
        <v>2594</v>
      </c>
      <c r="F186" s="2866" t="s">
        <v>2595</v>
      </c>
      <c r="G186" s="2866" t="s">
        <v>2596</v>
      </c>
      <c r="H186" s="2867" t="s">
        <v>2597</v>
      </c>
      <c r="I186" s="2867" t="s">
        <v>2598</v>
      </c>
      <c r="J186" s="2868" t="s">
        <v>2599</v>
      </c>
      <c r="K186" s="2868" t="s">
        <v>2600</v>
      </c>
      <c r="L186" s="2868" t="s">
        <v>2601</v>
      </c>
      <c r="M186" s="2869" t="s">
        <v>2602</v>
      </c>
      <c r="Q186" s="2879" t="s">
        <v>2800</v>
      </c>
      <c r="R186" s="2879" t="s">
        <v>2801</v>
      </c>
      <c r="S186" s="2879" t="s">
        <v>2802</v>
      </c>
      <c r="T186" s="2879" t="s">
        <v>2803</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2798</v>
      </c>
      <c r="B277" s="2864"/>
      <c r="C277" s="2864"/>
      <c r="D277" s="2864"/>
      <c r="E277" s="2864"/>
      <c r="F277" s="2864"/>
      <c r="G277" s="2864"/>
      <c r="H277" s="2864"/>
      <c r="I277" s="2864"/>
      <c r="J277" s="2864"/>
      <c r="K277" s="2864"/>
      <c r="L277" s="2864"/>
      <c r="M277" s="2864"/>
    </row>
    <row r="278" spans="1:21">
      <c r="A278" s="2865" t="s">
        <v>2795</v>
      </c>
      <c r="B278" s="2866" t="s">
        <v>2591</v>
      </c>
      <c r="C278" s="2866" t="s">
        <v>2592</v>
      </c>
      <c r="D278" s="2866" t="s">
        <v>2593</v>
      </c>
      <c r="E278" s="2866" t="s">
        <v>2594</v>
      </c>
      <c r="F278" s="2866" t="s">
        <v>2595</v>
      </c>
      <c r="G278" s="2866" t="s">
        <v>2596</v>
      </c>
      <c r="H278" s="2867" t="s">
        <v>2597</v>
      </c>
      <c r="I278" s="2867" t="s">
        <v>2598</v>
      </c>
      <c r="J278" s="2868" t="s">
        <v>2599</v>
      </c>
      <c r="K278" s="2868" t="s">
        <v>2600</v>
      </c>
      <c r="L278" s="2868" t="s">
        <v>2601</v>
      </c>
      <c r="M278" s="2869" t="s">
        <v>2602</v>
      </c>
      <c r="Q278" s="2879" t="s">
        <v>2800</v>
      </c>
      <c r="R278" s="2879" t="s">
        <v>2801</v>
      </c>
      <c r="S278" s="2879" t="s">
        <v>2804</v>
      </c>
      <c r="T278" s="2879" t="s">
        <v>2805</v>
      </c>
      <c r="U278" s="2879" t="s">
        <v>2803</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2799</v>
      </c>
      <c r="B369" s="2877"/>
      <c r="C369" s="2877"/>
      <c r="D369" s="2877"/>
      <c r="E369" s="2877"/>
      <c r="F369" s="2877"/>
      <c r="G369" s="2877"/>
      <c r="H369" s="2877"/>
      <c r="I369" s="2877"/>
      <c r="J369" s="2877"/>
      <c r="K369" s="2877"/>
      <c r="L369" s="2877"/>
      <c r="M369" s="2877"/>
    </row>
    <row r="370" spans="1:20">
      <c r="A370" s="2865" t="s">
        <v>2795</v>
      </c>
      <c r="B370" s="2866" t="s">
        <v>2591</v>
      </c>
      <c r="C370" s="2866" t="s">
        <v>2592</v>
      </c>
      <c r="D370" s="2866" t="s">
        <v>2593</v>
      </c>
      <c r="E370" s="2866" t="s">
        <v>2594</v>
      </c>
      <c r="F370" s="2866" t="s">
        <v>2595</v>
      </c>
      <c r="G370" s="2866" t="s">
        <v>2596</v>
      </c>
      <c r="H370" s="2867" t="s">
        <v>2597</v>
      </c>
      <c r="I370" s="2867" t="s">
        <v>2598</v>
      </c>
      <c r="J370" s="2868" t="s">
        <v>2599</v>
      </c>
      <c r="K370" s="2868" t="s">
        <v>2600</v>
      </c>
      <c r="L370" s="2868" t="s">
        <v>2601</v>
      </c>
      <c r="M370" s="2869" t="s">
        <v>2602</v>
      </c>
      <c r="N370">
        <f>SUMPRODUCT((A371:A460=ROUNDDOWN(基准地价修正2层!G3,1))*(B370:M370=基准地价修正2层!G2)*(B371:M460))</f>
        <v>0</v>
      </c>
      <c r="Q370" s="2879" t="s">
        <v>2800</v>
      </c>
      <c r="R370" s="2879" t="s">
        <v>2801</v>
      </c>
      <c r="S370" s="2879" t="s">
        <v>2802</v>
      </c>
      <c r="T370" s="2879" t="s">
        <v>2803</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25744</v>
      </c>
      <c r="C2" s="2" t="s">
        <v>106</v>
      </c>
      <c r="D2" s="191"/>
      <c r="E2" s="191"/>
      <c r="F2" s="191"/>
      <c r="G2" s="191"/>
    </row>
    <row r="3" spans="1:7" s="192" customFormat="1" ht="18" customHeight="1" thickBot="1">
      <c r="A3" s="195" t="s">
        <v>58</v>
      </c>
      <c r="B3" s="196">
        <f ca="1">ROUND(B2*10000/'数据-汇总表'!E3,0)</f>
        <v>1559392</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165.09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165.09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624</v>
      </c>
      <c r="D22" s="227">
        <f ca="1">C26</f>
        <v>2.9999999999999997E-4</v>
      </c>
      <c r="E22" s="228" t="s">
        <v>99</v>
      </c>
      <c r="F22" s="229">
        <f ca="1">'数据-取费表'!B40</f>
        <v>0.03</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618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6.4">
      <c r="A27" s="731" t="s">
        <v>342</v>
      </c>
      <c r="B27" s="236" t="s">
        <v>85</v>
      </c>
      <c r="C27" s="237">
        <f>C28</f>
        <v>2103</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2103</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25695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57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50</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165.09</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2.9999999999999997E-4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1</v>
      </c>
      <c r="D42" s="230"/>
      <c r="E42" s="230"/>
      <c r="F42" s="231"/>
      <c r="G42" s="3358" t="s">
        <v>94</v>
      </c>
    </row>
    <row r="43" spans="1:7" ht="13.5" customHeight="1">
      <c r="A43" s="734" t="s">
        <v>347</v>
      </c>
      <c r="B43" s="207" t="s">
        <v>426</v>
      </c>
      <c r="C43" s="230">
        <f ca="1">ROUND(IF('数据-取费表'!B22&lt;=1,C39*F22*'数据-取费表'!B21/2,C39*(POWER((1+F22),'数据-取费表'!B21/2)-1)),0)</f>
        <v>0</v>
      </c>
      <c r="D43" s="230"/>
      <c r="E43" s="230"/>
      <c r="F43" s="231"/>
      <c r="G43" s="3359"/>
    </row>
    <row r="44" spans="1:7" ht="13.5" customHeight="1">
      <c r="A44" s="734" t="s">
        <v>348</v>
      </c>
      <c r="B44" s="207" t="s">
        <v>428</v>
      </c>
      <c r="C44" s="230">
        <f ca="1">ROUND(IF('数据-取费表'!B22&lt;=1,C40*F22*'数据-取费表'!B21/2,C40*(POWER((1+F22),'数据-取费表'!B21/2)-1)),4)</f>
        <v>2.9999999999999997E-4</v>
      </c>
      <c r="D44" s="230"/>
      <c r="E44" s="230"/>
      <c r="F44" s="231"/>
      <c r="G44" s="3360"/>
    </row>
    <row r="45" spans="1:7" s="206" customFormat="1" ht="13.5" customHeight="1">
      <c r="A45" s="731" t="s">
        <v>341</v>
      </c>
      <c r="B45" s="236" t="s">
        <v>85</v>
      </c>
      <c r="C45" s="237">
        <f>C46</f>
        <v>6</v>
      </c>
      <c r="D45" s="227">
        <f>C47</f>
        <v>2E-3</v>
      </c>
      <c r="E45" s="228" t="s">
        <v>102</v>
      </c>
      <c r="F45" s="238"/>
      <c r="G45" s="239" t="s">
        <v>434</v>
      </c>
    </row>
    <row r="46" spans="1:7" s="206" customFormat="1" ht="13.5" customHeight="1">
      <c r="A46" s="734" t="s">
        <v>349</v>
      </c>
      <c r="B46" s="240" t="s">
        <v>427</v>
      </c>
      <c r="C46" s="241">
        <f>ROUND((C33+C39)*F27,0)</f>
        <v>6</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70</v>
      </c>
      <c r="D49" s="224"/>
      <c r="E49" s="224"/>
      <c r="F49" s="256"/>
      <c r="G49" s="226" t="s">
        <v>435</v>
      </c>
    </row>
    <row r="50" spans="1:7" s="250" customFormat="1" ht="24">
      <c r="A50" s="731" t="s">
        <v>344</v>
      </c>
      <c r="B50" s="202" t="s">
        <v>97</v>
      </c>
      <c r="C50" s="224"/>
      <c r="D50" s="224"/>
      <c r="E50" s="224"/>
      <c r="F50" s="256">
        <f>IF('数据-取费表'!B24=0,'数据-取费表'!N16,1)</f>
        <v>0.7</v>
      </c>
      <c r="G50" s="239" t="s">
        <v>98</v>
      </c>
    </row>
    <row r="51" spans="1:7" ht="16.5" customHeight="1">
      <c r="A51" s="731" t="s">
        <v>345</v>
      </c>
      <c r="B51" s="202" t="s">
        <v>105</v>
      </c>
      <c r="C51" s="224">
        <f ca="1">ROUND(C49*F50,0)</f>
        <v>49</v>
      </c>
      <c r="D51" s="224"/>
      <c r="E51" s="224"/>
      <c r="F51" s="256"/>
      <c r="G51" s="226" t="s">
        <v>37</v>
      </c>
    </row>
    <row r="52" spans="1:7" s="200" customFormat="1" ht="16.8" thickBot="1">
      <c r="A52" s="257" t="s">
        <v>38</v>
      </c>
      <c r="B52" s="258"/>
      <c r="C52" s="259">
        <f ca="1">C31+C51</f>
        <v>25744</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95" t="s">
        <v>3177</v>
      </c>
      <c r="B1" s="3495"/>
    </row>
    <row r="2" spans="1:7" ht="15" thickBot="1">
      <c r="A2" s="2967"/>
      <c r="B2" s="2967"/>
    </row>
    <row r="3" spans="1:7" ht="15" thickBot="1">
      <c r="A3" s="2967"/>
      <c r="B3" s="2967"/>
      <c r="C3" s="2968" t="s">
        <v>2807</v>
      </c>
      <c r="D3" s="2968" t="s">
        <v>2863</v>
      </c>
      <c r="E3" s="2968" t="s">
        <v>2809</v>
      </c>
      <c r="F3" s="2968" t="s">
        <v>2864</v>
      </c>
      <c r="G3" s="2968" t="s">
        <v>2627</v>
      </c>
    </row>
    <row r="4" spans="1:7" ht="15" thickBot="1">
      <c r="A4" s="2969" t="s">
        <v>2862</v>
      </c>
      <c r="B4" s="2970" t="s">
        <v>2868</v>
      </c>
      <c r="C4" s="2968"/>
      <c r="D4" s="2968"/>
      <c r="E4" s="2968"/>
      <c r="F4" s="2968"/>
      <c r="G4" s="2968"/>
    </row>
    <row r="5" spans="1:7">
      <c r="A5" s="2971" t="s">
        <v>2836</v>
      </c>
      <c r="B5" s="2972" t="s">
        <v>2850</v>
      </c>
      <c r="C5" s="2973">
        <v>9.8000000000000004E-2</v>
      </c>
      <c r="D5" s="2973">
        <v>8.6999999999999994E-2</v>
      </c>
      <c r="E5" s="2973">
        <v>8.6999999999999994E-2</v>
      </c>
      <c r="F5" s="2973">
        <v>9.8000000000000004E-2</v>
      </c>
      <c r="G5" s="2974">
        <v>9.5000000000000001E-2</v>
      </c>
    </row>
    <row r="6" spans="1:7">
      <c r="A6" s="2975" t="s">
        <v>144</v>
      </c>
      <c r="B6" s="2976" t="s">
        <v>2865</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2851</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2901</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2919</v>
      </c>
      <c r="C29" s="2985"/>
      <c r="D29" s="2981">
        <v>5.1999999999999998E-2</v>
      </c>
      <c r="E29" s="2981">
        <v>7.0000000000000007E-2</v>
      </c>
      <c r="F29" s="2985"/>
      <c r="G29" s="2983">
        <v>7.0999999999999994E-2</v>
      </c>
    </row>
    <row r="30" spans="1:7">
      <c r="A30" s="2986" t="s">
        <v>296</v>
      </c>
      <c r="B30" s="2972" t="s">
        <v>2852</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2838</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2922</v>
      </c>
      <c r="C50" s="2977">
        <v>9.8000000000000004E-2</v>
      </c>
      <c r="D50" s="2977">
        <v>7.2999999999999995E-2</v>
      </c>
      <c r="E50" s="2977">
        <v>7.0999999999999994E-2</v>
      </c>
      <c r="F50" s="2988"/>
      <c r="G50" s="2978">
        <v>7.2999999999999995E-2</v>
      </c>
    </row>
    <row r="51" spans="1:7">
      <c r="A51" s="2987" t="s">
        <v>296</v>
      </c>
      <c r="B51" s="2976" t="s">
        <v>2924</v>
      </c>
      <c r="C51" s="2977">
        <v>9.9000000000000005E-2</v>
      </c>
      <c r="D51" s="2977">
        <v>8.5000000000000006E-2</v>
      </c>
      <c r="E51" s="2977">
        <v>6.3E-2</v>
      </c>
      <c r="F51" s="2988"/>
      <c r="G51" s="2978">
        <v>9.6000000000000002E-2</v>
      </c>
    </row>
    <row r="52" spans="1:7">
      <c r="A52" s="2987" t="s">
        <v>296</v>
      </c>
      <c r="B52" s="2976" t="s">
        <v>2928</v>
      </c>
      <c r="C52" s="2977">
        <v>7.3999999999999996E-2</v>
      </c>
      <c r="D52" s="2977">
        <v>9.6000000000000002E-2</v>
      </c>
      <c r="E52" s="2977">
        <v>0.05</v>
      </c>
      <c r="F52" s="2988"/>
      <c r="G52" s="2978">
        <v>9.8000000000000004E-2</v>
      </c>
    </row>
    <row r="53" spans="1:7">
      <c r="A53" s="2987" t="s">
        <v>296</v>
      </c>
      <c r="B53" s="2976" t="s">
        <v>2933</v>
      </c>
      <c r="C53" s="2977">
        <v>8.5999999999999993E-2</v>
      </c>
      <c r="D53" s="2988"/>
      <c r="E53" s="2977">
        <v>9.1999999999999998E-2</v>
      </c>
      <c r="F53" s="2988"/>
      <c r="G53" s="2989"/>
    </row>
    <row r="54" spans="1:7" ht="15" thickBot="1">
      <c r="A54" s="2990" t="s">
        <v>296</v>
      </c>
      <c r="B54" s="2980" t="s">
        <v>2936</v>
      </c>
      <c r="C54" s="2981">
        <v>9.6000000000000002E-2</v>
      </c>
      <c r="D54" s="2982"/>
      <c r="E54" s="2991"/>
      <c r="F54" s="2982"/>
      <c r="G54" s="2992"/>
    </row>
    <row r="55" spans="1:7">
      <c r="A55" s="2986" t="s">
        <v>110</v>
      </c>
      <c r="B55" s="2972" t="s">
        <v>2853</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2934</v>
      </c>
      <c r="C78" s="2977">
        <v>0.1</v>
      </c>
      <c r="D78" s="2977">
        <v>8.5000000000000006E-2</v>
      </c>
      <c r="E78" s="2977">
        <v>9.6000000000000002E-2</v>
      </c>
      <c r="F78" s="2988"/>
      <c r="G78" s="2978">
        <v>9.6000000000000002E-2</v>
      </c>
    </row>
    <row r="79" spans="1:7">
      <c r="A79" s="2987" t="s">
        <v>110</v>
      </c>
      <c r="B79" s="2976" t="s">
        <v>2937</v>
      </c>
      <c r="C79" s="2977">
        <v>0.05</v>
      </c>
      <c r="D79" s="2977">
        <v>9.6000000000000002E-2</v>
      </c>
      <c r="E79" s="2977">
        <v>9.5000000000000001E-2</v>
      </c>
      <c r="F79" s="2988"/>
      <c r="G79" s="2978">
        <v>9.8000000000000004E-2</v>
      </c>
    </row>
    <row r="80" spans="1:7">
      <c r="A80" s="2987" t="s">
        <v>110</v>
      </c>
      <c r="B80" s="2976" t="s">
        <v>2941</v>
      </c>
      <c r="C80" s="2977">
        <v>8.5999999999999993E-2</v>
      </c>
      <c r="D80" s="2993"/>
      <c r="E80" s="2977">
        <v>0.1</v>
      </c>
      <c r="F80" s="2988"/>
      <c r="G80" s="2989"/>
    </row>
    <row r="81" spans="1:7">
      <c r="A81" s="2987" t="s">
        <v>110</v>
      </c>
      <c r="B81" s="2976" t="s">
        <v>2946</v>
      </c>
      <c r="C81" s="2977">
        <v>9.6000000000000002E-2</v>
      </c>
      <c r="D81" s="2988"/>
      <c r="E81" s="2977">
        <v>9.8000000000000004E-2</v>
      </c>
      <c r="F81" s="2988"/>
      <c r="G81" s="2989"/>
    </row>
    <row r="82" spans="1:7">
      <c r="A82" s="2987" t="s">
        <v>110</v>
      </c>
      <c r="B82" s="2976" t="s">
        <v>2953</v>
      </c>
      <c r="C82" s="2993"/>
      <c r="D82" s="2988"/>
      <c r="E82" s="2977">
        <v>7.6999999999999999E-2</v>
      </c>
      <c r="F82" s="2988"/>
      <c r="G82" s="2989"/>
    </row>
    <row r="83" spans="1:7">
      <c r="A83" s="2987" t="s">
        <v>110</v>
      </c>
      <c r="B83" s="2976" t="s">
        <v>2959</v>
      </c>
      <c r="C83" s="2988"/>
      <c r="D83" s="2988"/>
      <c r="E83" s="2988"/>
      <c r="F83" s="2977">
        <v>0.1</v>
      </c>
      <c r="G83" s="2994"/>
    </row>
    <row r="84" spans="1:7">
      <c r="A84" s="2987" t="s">
        <v>110</v>
      </c>
      <c r="B84" s="2976" t="s">
        <v>2966</v>
      </c>
      <c r="C84" s="2988"/>
      <c r="D84" s="2988"/>
      <c r="E84" s="2988"/>
      <c r="F84" s="2977">
        <v>0.1</v>
      </c>
      <c r="G84" s="2994"/>
    </row>
    <row r="85" spans="1:7">
      <c r="A85" s="2987" t="s">
        <v>110</v>
      </c>
      <c r="B85" s="2976" t="s">
        <v>2973</v>
      </c>
      <c r="C85" s="2988"/>
      <c r="D85" s="2988"/>
      <c r="E85" s="2988"/>
      <c r="F85" s="2977">
        <v>0.1</v>
      </c>
      <c r="G85" s="2994"/>
    </row>
    <row r="86" spans="1:7" ht="15" thickBot="1">
      <c r="A86" s="2990" t="s">
        <v>110</v>
      </c>
      <c r="B86" s="2980" t="s">
        <v>2978</v>
      </c>
      <c r="C86" s="2981">
        <v>9.8000000000000004E-2</v>
      </c>
      <c r="D86" s="2981">
        <v>9.8000000000000004E-2</v>
      </c>
      <c r="E86" s="2981">
        <v>9.6000000000000002E-2</v>
      </c>
      <c r="F86" s="2991"/>
      <c r="G86" s="2983">
        <v>0.1</v>
      </c>
    </row>
    <row r="87" spans="1:7">
      <c r="A87" s="2986" t="s">
        <v>303</v>
      </c>
      <c r="B87" s="2972" t="s">
        <v>2854</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2947</v>
      </c>
      <c r="C113" s="2977">
        <v>0.1</v>
      </c>
      <c r="D113" s="2977">
        <v>0.1</v>
      </c>
      <c r="E113" s="2988"/>
      <c r="F113" s="2988"/>
      <c r="G113" s="2978">
        <v>0.1</v>
      </c>
    </row>
    <row r="114" spans="1:7">
      <c r="A114" s="2987" t="s">
        <v>303</v>
      </c>
      <c r="B114" s="2976" t="s">
        <v>2954</v>
      </c>
      <c r="C114" s="2977">
        <v>9.7000000000000003E-2</v>
      </c>
      <c r="D114" s="2977">
        <v>9.7000000000000003E-2</v>
      </c>
      <c r="E114" s="2988"/>
      <c r="F114" s="2988"/>
      <c r="G114" s="2978">
        <v>9.9000000000000005E-2</v>
      </c>
    </row>
    <row r="115" spans="1:7">
      <c r="A115" s="2987" t="s">
        <v>303</v>
      </c>
      <c r="B115" s="2976" t="s">
        <v>2960</v>
      </c>
      <c r="C115" s="2977">
        <v>0.1</v>
      </c>
      <c r="D115" s="2977">
        <v>0.1</v>
      </c>
      <c r="E115" s="2988"/>
      <c r="F115" s="2988"/>
      <c r="G115" s="2978">
        <v>0.1</v>
      </c>
    </row>
    <row r="116" spans="1:7">
      <c r="A116" s="2987" t="s">
        <v>303</v>
      </c>
      <c r="B116" s="2976" t="s">
        <v>2967</v>
      </c>
      <c r="C116" s="2977">
        <v>0.1</v>
      </c>
      <c r="D116" s="2977">
        <v>0.1</v>
      </c>
      <c r="E116" s="2988"/>
      <c r="F116" s="2988"/>
      <c r="G116" s="2978">
        <v>0.1</v>
      </c>
    </row>
    <row r="117" spans="1:7">
      <c r="A117" s="2987" t="s">
        <v>303</v>
      </c>
      <c r="B117" s="2976" t="s">
        <v>2974</v>
      </c>
      <c r="C117" s="2977">
        <v>9.7000000000000003E-2</v>
      </c>
      <c r="D117" s="2977">
        <v>9.7000000000000003E-2</v>
      </c>
      <c r="E117" s="2988"/>
      <c r="F117" s="2988"/>
      <c r="G117" s="2978">
        <v>9.7000000000000003E-2</v>
      </c>
    </row>
    <row r="118" spans="1:7">
      <c r="A118" s="2987" t="s">
        <v>303</v>
      </c>
      <c r="B118" s="2976" t="s">
        <v>2979</v>
      </c>
      <c r="C118" s="2977">
        <v>0.1</v>
      </c>
      <c r="D118" s="2977">
        <v>0.1</v>
      </c>
      <c r="E118" s="2988"/>
      <c r="F118" s="2988"/>
      <c r="G118" s="2978">
        <v>0.1</v>
      </c>
    </row>
    <row r="119" spans="1:7">
      <c r="A119" s="2987" t="s">
        <v>303</v>
      </c>
      <c r="B119" s="2976" t="s">
        <v>2983</v>
      </c>
      <c r="C119" s="2977">
        <v>5.0999999999999997E-2</v>
      </c>
      <c r="D119" s="2977">
        <v>5.1999999999999998E-2</v>
      </c>
      <c r="E119" s="2988"/>
      <c r="F119" s="2993"/>
      <c r="G119" s="2978">
        <v>0.06</v>
      </c>
    </row>
    <row r="120" spans="1:7">
      <c r="A120" s="2987" t="s">
        <v>303</v>
      </c>
      <c r="B120" s="2976" t="s">
        <v>2987</v>
      </c>
      <c r="C120" s="2988"/>
      <c r="D120" s="2988"/>
      <c r="E120" s="2988"/>
      <c r="F120" s="2977">
        <v>0.1</v>
      </c>
      <c r="G120" s="2994"/>
    </row>
    <row r="121" spans="1:7">
      <c r="A121" s="2987" t="s">
        <v>303</v>
      </c>
      <c r="B121" s="2976" t="s">
        <v>2992</v>
      </c>
      <c r="C121" s="2988"/>
      <c r="D121" s="2988"/>
      <c r="E121" s="2988"/>
      <c r="F121" s="2977">
        <v>0.1</v>
      </c>
      <c r="G121" s="2994"/>
    </row>
    <row r="122" spans="1:7">
      <c r="A122" s="2987" t="s">
        <v>303</v>
      </c>
      <c r="B122" s="2976" t="s">
        <v>2997</v>
      </c>
      <c r="C122" s="2977">
        <v>0.1</v>
      </c>
      <c r="D122" s="2977">
        <v>0.1</v>
      </c>
      <c r="E122" s="2977">
        <v>9.8000000000000004E-2</v>
      </c>
      <c r="F122" s="2977">
        <v>0.1</v>
      </c>
      <c r="G122" s="2978">
        <v>0.1</v>
      </c>
    </row>
    <row r="123" spans="1:7">
      <c r="A123" s="2987" t="s">
        <v>303</v>
      </c>
      <c r="B123" s="2976" t="s">
        <v>3002</v>
      </c>
      <c r="C123" s="2977">
        <v>0.1</v>
      </c>
      <c r="D123" s="2977">
        <v>0.1</v>
      </c>
      <c r="E123" s="2977">
        <v>9.8000000000000004E-2</v>
      </c>
      <c r="F123" s="2977">
        <v>0.1</v>
      </c>
      <c r="G123" s="2978">
        <v>0.1</v>
      </c>
    </row>
    <row r="124" spans="1:7">
      <c r="A124" s="2987" t="s">
        <v>303</v>
      </c>
      <c r="B124" s="2976" t="s">
        <v>3007</v>
      </c>
      <c r="C124" s="2977">
        <v>0.1</v>
      </c>
      <c r="D124" s="2977">
        <v>0.1</v>
      </c>
      <c r="E124" s="2977">
        <v>9.8000000000000004E-2</v>
      </c>
      <c r="F124" s="2993"/>
      <c r="G124" s="2978">
        <v>0.1</v>
      </c>
    </row>
    <row r="125" spans="1:7">
      <c r="A125" s="2987" t="s">
        <v>303</v>
      </c>
      <c r="B125" s="2976" t="s">
        <v>3012</v>
      </c>
      <c r="C125" s="2977">
        <v>9.8000000000000004E-2</v>
      </c>
      <c r="D125" s="2977">
        <v>9.8000000000000004E-2</v>
      </c>
      <c r="E125" s="2977">
        <v>9.6000000000000002E-2</v>
      </c>
      <c r="F125" s="2993"/>
      <c r="G125" s="2978">
        <v>0.1</v>
      </c>
    </row>
    <row r="126" spans="1:7" ht="15" thickBot="1">
      <c r="A126" s="2990" t="s">
        <v>303</v>
      </c>
      <c r="B126" s="2980" t="s">
        <v>3178</v>
      </c>
      <c r="C126" s="2981">
        <v>0.1</v>
      </c>
      <c r="D126" s="2981">
        <v>0.1</v>
      </c>
      <c r="E126" s="2981">
        <v>9.8000000000000004E-2</v>
      </c>
      <c r="F126" s="2981">
        <v>0.1</v>
      </c>
      <c r="G126" s="2983">
        <v>0.1</v>
      </c>
    </row>
    <row r="127" spans="1:7">
      <c r="A127" s="2986" t="s">
        <v>29</v>
      </c>
      <c r="B127" s="2972" t="s">
        <v>2855</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2925</v>
      </c>
      <c r="C148" s="2977">
        <v>0.13</v>
      </c>
      <c r="D148" s="2977">
        <v>0.13</v>
      </c>
      <c r="E148" s="2977">
        <v>0.13</v>
      </c>
      <c r="F148" s="2988"/>
      <c r="G148" s="2978">
        <v>0.13</v>
      </c>
    </row>
    <row r="149" spans="1:7">
      <c r="A149" s="2987" t="s">
        <v>29</v>
      </c>
      <c r="B149" s="2976" t="s">
        <v>2929</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2948</v>
      </c>
      <c r="C153" s="2977">
        <v>0.13</v>
      </c>
      <c r="D153" s="2977">
        <v>0.13</v>
      </c>
      <c r="E153" s="2977">
        <v>0.13</v>
      </c>
      <c r="F153" s="2977">
        <v>0.13</v>
      </c>
      <c r="G153" s="2978">
        <v>0.13</v>
      </c>
    </row>
    <row r="154" spans="1:7">
      <c r="A154" s="2987" t="s">
        <v>29</v>
      </c>
      <c r="B154" s="2976" t="s">
        <v>2955</v>
      </c>
      <c r="C154" s="2977">
        <v>0.121</v>
      </c>
      <c r="D154" s="2977">
        <v>0.121</v>
      </c>
      <c r="E154" s="2977">
        <v>0.105</v>
      </c>
      <c r="F154" s="2977">
        <v>0.121</v>
      </c>
      <c r="G154" s="2978">
        <v>0.123</v>
      </c>
    </row>
    <row r="155" spans="1:7">
      <c r="A155" s="2987" t="s">
        <v>29</v>
      </c>
      <c r="B155" s="2976" t="s">
        <v>2961</v>
      </c>
      <c r="C155" s="2977">
        <v>0.1</v>
      </c>
      <c r="D155" s="2977">
        <v>0.1</v>
      </c>
      <c r="E155" s="2977">
        <v>0.1</v>
      </c>
      <c r="F155" s="2977">
        <v>0.1</v>
      </c>
      <c r="G155" s="2978">
        <v>0.1</v>
      </c>
    </row>
    <row r="156" spans="1:7">
      <c r="A156" s="2987" t="s">
        <v>29</v>
      </c>
      <c r="B156" s="2976" t="s">
        <v>2968</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2988</v>
      </c>
      <c r="C160" s="2977">
        <v>0.13</v>
      </c>
      <c r="D160" s="2977">
        <v>0.13</v>
      </c>
      <c r="E160" s="2977">
        <v>0.124</v>
      </c>
      <c r="F160" s="2977">
        <v>0.126</v>
      </c>
      <c r="G160" s="2978">
        <v>0.13</v>
      </c>
    </row>
    <row r="161" spans="1:7">
      <c r="A161" s="2987" t="s">
        <v>29</v>
      </c>
      <c r="B161" s="2976" t="s">
        <v>2993</v>
      </c>
      <c r="C161" s="2977">
        <v>0.13</v>
      </c>
      <c r="D161" s="2977">
        <v>0.13</v>
      </c>
      <c r="E161" s="2977">
        <v>0.124</v>
      </c>
      <c r="F161" s="2977">
        <v>0.127</v>
      </c>
      <c r="G161" s="2978">
        <v>0.13</v>
      </c>
    </row>
    <row r="162" spans="1:7">
      <c r="A162" s="2987" t="s">
        <v>29</v>
      </c>
      <c r="B162" s="2976" t="s">
        <v>2998</v>
      </c>
      <c r="C162" s="2977">
        <v>0.1</v>
      </c>
      <c r="D162" s="2977">
        <v>0.1</v>
      </c>
      <c r="E162" s="2977">
        <v>0.1</v>
      </c>
      <c r="F162" s="2977">
        <v>0.121</v>
      </c>
      <c r="G162" s="2978">
        <v>0.105</v>
      </c>
    </row>
    <row r="163" spans="1:7">
      <c r="A163" s="2987" t="s">
        <v>29</v>
      </c>
      <c r="B163" s="2976" t="s">
        <v>3003</v>
      </c>
      <c r="C163" s="2977">
        <v>0.1</v>
      </c>
      <c r="D163" s="2977">
        <v>0.1</v>
      </c>
      <c r="E163" s="2977">
        <v>0.1</v>
      </c>
      <c r="F163" s="2977">
        <v>0.1</v>
      </c>
      <c r="G163" s="2978">
        <v>0.1</v>
      </c>
    </row>
    <row r="164" spans="1:7">
      <c r="A164" s="2987" t="s">
        <v>29</v>
      </c>
      <c r="B164" s="2976" t="s">
        <v>3008</v>
      </c>
      <c r="C164" s="2993"/>
      <c r="D164" s="2993"/>
      <c r="E164" s="2993"/>
      <c r="F164" s="2977">
        <v>0.1</v>
      </c>
      <c r="G164" s="2989"/>
    </row>
    <row r="165" spans="1:7">
      <c r="A165" s="2987" t="s">
        <v>29</v>
      </c>
      <c r="B165" s="2976" t="s">
        <v>3179</v>
      </c>
      <c r="C165" s="2977">
        <v>0.126</v>
      </c>
      <c r="D165" s="2977">
        <v>0.126</v>
      </c>
      <c r="E165" s="2977">
        <v>0.11899999999999999</v>
      </c>
      <c r="F165" s="2977">
        <v>0.13</v>
      </c>
      <c r="G165" s="2978">
        <v>0.128</v>
      </c>
    </row>
    <row r="166" spans="1:7">
      <c r="A166" s="2987" t="s">
        <v>29</v>
      </c>
      <c r="B166" s="2976" t="s">
        <v>3018</v>
      </c>
      <c r="C166" s="2977">
        <v>0.129</v>
      </c>
      <c r="D166" s="2977">
        <v>0.129</v>
      </c>
      <c r="E166" s="2977">
        <v>0.123</v>
      </c>
      <c r="F166" s="2977">
        <v>0.128</v>
      </c>
      <c r="G166" s="2978">
        <v>0.13</v>
      </c>
    </row>
    <row r="167" spans="1:7">
      <c r="A167" s="2987" t="s">
        <v>29</v>
      </c>
      <c r="B167" s="2976" t="s">
        <v>3022</v>
      </c>
      <c r="C167" s="2977">
        <v>0.125</v>
      </c>
      <c r="D167" s="2977">
        <v>0.125</v>
      </c>
      <c r="E167" s="2977">
        <v>0.11700000000000001</v>
      </c>
      <c r="F167" s="2977">
        <v>0.13</v>
      </c>
      <c r="G167" s="2978">
        <v>0.126</v>
      </c>
    </row>
    <row r="168" spans="1:7">
      <c r="A168" s="2987" t="s">
        <v>29</v>
      </c>
      <c r="B168" s="2976" t="s">
        <v>3027</v>
      </c>
      <c r="C168" s="2977">
        <v>0.128</v>
      </c>
      <c r="D168" s="2977">
        <v>0.128</v>
      </c>
      <c r="E168" s="2977">
        <v>0.123</v>
      </c>
      <c r="F168" s="2988"/>
      <c r="G168" s="2978">
        <v>0.13</v>
      </c>
    </row>
    <row r="169" spans="1:7">
      <c r="A169" s="2987" t="s">
        <v>29</v>
      </c>
      <c r="B169" s="2976" t="s">
        <v>3180</v>
      </c>
      <c r="C169" s="2993"/>
      <c r="D169" s="2993"/>
      <c r="E169" s="2993"/>
      <c r="F169" s="2977">
        <v>0.05</v>
      </c>
      <c r="G169" s="2989"/>
    </row>
    <row r="170" spans="1:7">
      <c r="A170" s="2987" t="s">
        <v>29</v>
      </c>
      <c r="B170" s="2976" t="s">
        <v>3181</v>
      </c>
      <c r="C170" s="2993"/>
      <c r="D170" s="2993"/>
      <c r="E170" s="2993"/>
      <c r="F170" s="2977">
        <v>0.05</v>
      </c>
      <c r="G170" s="2989"/>
    </row>
    <row r="171" spans="1:7">
      <c r="A171" s="2987" t="s">
        <v>29</v>
      </c>
      <c r="B171" s="2976" t="s">
        <v>3182</v>
      </c>
      <c r="C171" s="2993"/>
      <c r="D171" s="2993"/>
      <c r="E171" s="2993"/>
      <c r="F171" s="2977">
        <v>0.05</v>
      </c>
      <c r="G171" s="2994"/>
    </row>
    <row r="172" spans="1:7">
      <c r="A172" s="2987" t="s">
        <v>29</v>
      </c>
      <c r="B172" s="2976" t="s">
        <v>3183</v>
      </c>
      <c r="C172" s="2993"/>
      <c r="D172" s="2993"/>
      <c r="E172" s="2993"/>
      <c r="F172" s="2977">
        <v>0.05</v>
      </c>
      <c r="G172" s="2994"/>
    </row>
    <row r="173" spans="1:7">
      <c r="A173" s="2987" t="s">
        <v>29</v>
      </c>
      <c r="B173" s="2976" t="s">
        <v>3184</v>
      </c>
      <c r="C173" s="2993"/>
      <c r="D173" s="2993"/>
      <c r="E173" s="2993"/>
      <c r="F173" s="2977">
        <v>0.05</v>
      </c>
      <c r="G173" s="2989"/>
    </row>
    <row r="174" spans="1:7">
      <c r="A174" s="2987" t="s">
        <v>29</v>
      </c>
      <c r="B174" s="2976" t="s">
        <v>3185</v>
      </c>
      <c r="C174" s="2993"/>
      <c r="D174" s="2993"/>
      <c r="E174" s="2993"/>
      <c r="F174" s="2977">
        <v>0.05</v>
      </c>
      <c r="G174" s="2989"/>
    </row>
    <row r="175" spans="1:7">
      <c r="A175" s="2987" t="s">
        <v>29</v>
      </c>
      <c r="B175" s="2976" t="s">
        <v>3186</v>
      </c>
      <c r="C175" s="2993"/>
      <c r="D175" s="2993"/>
      <c r="E175" s="2993"/>
      <c r="F175" s="2977">
        <v>0.05</v>
      </c>
      <c r="G175" s="2989"/>
    </row>
    <row r="176" spans="1:7">
      <c r="A176" s="2987" t="s">
        <v>29</v>
      </c>
      <c r="B176" s="2976" t="s">
        <v>3187</v>
      </c>
      <c r="C176" s="2993"/>
      <c r="D176" s="2993"/>
      <c r="E176" s="2993"/>
      <c r="F176" s="2977">
        <v>0.05</v>
      </c>
      <c r="G176" s="2989"/>
    </row>
    <row r="177" spans="1:7">
      <c r="A177" s="2987" t="s">
        <v>29</v>
      </c>
      <c r="B177" s="2976" t="s">
        <v>3188</v>
      </c>
      <c r="C177" s="2988"/>
      <c r="D177" s="2988"/>
      <c r="E177" s="2988"/>
      <c r="F177" s="2977">
        <v>0.05</v>
      </c>
      <c r="G177" s="2994"/>
    </row>
    <row r="178" spans="1:7">
      <c r="A178" s="2987" t="s">
        <v>29</v>
      </c>
      <c r="B178" s="2976" t="s">
        <v>3189</v>
      </c>
      <c r="C178" s="2988"/>
      <c r="D178" s="2988"/>
      <c r="E178" s="2988"/>
      <c r="F178" s="2977">
        <v>0.05</v>
      </c>
      <c r="G178" s="2994"/>
    </row>
    <row r="179" spans="1:7">
      <c r="A179" s="2987" t="s">
        <v>29</v>
      </c>
      <c r="B179" s="2976" t="s">
        <v>3190</v>
      </c>
      <c r="C179" s="2988"/>
      <c r="D179" s="2988"/>
      <c r="E179" s="2988"/>
      <c r="F179" s="2977">
        <v>0.05</v>
      </c>
      <c r="G179" s="2994"/>
    </row>
    <row r="180" spans="1:7">
      <c r="A180" s="2987" t="s">
        <v>29</v>
      </c>
      <c r="B180" s="2976" t="s">
        <v>3191</v>
      </c>
      <c r="C180" s="2988"/>
      <c r="D180" s="2988"/>
      <c r="E180" s="2988"/>
      <c r="F180" s="2977">
        <v>0.05</v>
      </c>
      <c r="G180" s="2994"/>
    </row>
    <row r="181" spans="1:7">
      <c r="A181" s="2987" t="s">
        <v>29</v>
      </c>
      <c r="B181" s="2976" t="s">
        <v>3192</v>
      </c>
      <c r="C181" s="2988"/>
      <c r="D181" s="2988"/>
      <c r="E181" s="2988"/>
      <c r="F181" s="2977">
        <v>0.05</v>
      </c>
      <c r="G181" s="2994"/>
    </row>
    <row r="182" spans="1:7">
      <c r="A182" s="2987" t="s">
        <v>29</v>
      </c>
      <c r="B182" s="2976" t="s">
        <v>3193</v>
      </c>
      <c r="C182" s="2988"/>
      <c r="D182" s="2988"/>
      <c r="E182" s="2988"/>
      <c r="F182" s="2977">
        <v>0.05</v>
      </c>
      <c r="G182" s="2994"/>
    </row>
    <row r="183" spans="1:7">
      <c r="A183" s="2987" t="s">
        <v>29</v>
      </c>
      <c r="B183" s="2976" t="s">
        <v>3194</v>
      </c>
      <c r="C183" s="2988"/>
      <c r="D183" s="2988"/>
      <c r="E183" s="2988"/>
      <c r="F183" s="2977">
        <v>0.05</v>
      </c>
      <c r="G183" s="2994"/>
    </row>
    <row r="184" spans="1:7">
      <c r="A184" s="2987" t="s">
        <v>29</v>
      </c>
      <c r="B184" s="2976" t="s">
        <v>3195</v>
      </c>
      <c r="C184" s="2988"/>
      <c r="D184" s="2988"/>
      <c r="E184" s="2988"/>
      <c r="F184" s="2977">
        <v>0.05</v>
      </c>
      <c r="G184" s="2994"/>
    </row>
    <row r="185" spans="1:7">
      <c r="A185" s="2987" t="s">
        <v>29</v>
      </c>
      <c r="B185" s="2976" t="s">
        <v>3196</v>
      </c>
      <c r="C185" s="2988"/>
      <c r="D185" s="2988"/>
      <c r="E185" s="2988"/>
      <c r="F185" s="2977">
        <v>0.05</v>
      </c>
      <c r="G185" s="2994"/>
    </row>
    <row r="186" spans="1:7">
      <c r="A186" s="2987" t="s">
        <v>29</v>
      </c>
      <c r="B186" s="2976" t="s">
        <v>3197</v>
      </c>
      <c r="C186" s="2988"/>
      <c r="D186" s="2988"/>
      <c r="E186" s="2988"/>
      <c r="F186" s="2977">
        <v>0.05</v>
      </c>
      <c r="G186" s="2994"/>
    </row>
    <row r="187" spans="1:7">
      <c r="A187" s="2987" t="s">
        <v>29</v>
      </c>
      <c r="B187" s="2976" t="s">
        <v>3198</v>
      </c>
      <c r="C187" s="2988"/>
      <c r="D187" s="2988"/>
      <c r="E187" s="2988"/>
      <c r="F187" s="2977">
        <v>0.05</v>
      </c>
      <c r="G187" s="2994"/>
    </row>
    <row r="188" spans="1:7">
      <c r="A188" s="2987" t="s">
        <v>29</v>
      </c>
      <c r="B188" s="2976" t="s">
        <v>3199</v>
      </c>
      <c r="C188" s="2988"/>
      <c r="D188" s="2988"/>
      <c r="E188" s="2988"/>
      <c r="F188" s="2977">
        <v>0.05</v>
      </c>
      <c r="G188" s="2994"/>
    </row>
    <row r="189" spans="1:7" ht="15" thickBot="1">
      <c r="A189" s="2990" t="s">
        <v>29</v>
      </c>
      <c r="B189" s="2980" t="s">
        <v>3200</v>
      </c>
      <c r="C189" s="2982"/>
      <c r="D189" s="2982"/>
      <c r="E189" s="2982"/>
      <c r="F189" s="2981">
        <v>0.05</v>
      </c>
      <c r="G189" s="2995"/>
    </row>
    <row r="190" spans="1:7">
      <c r="A190" s="2986" t="s">
        <v>304</v>
      </c>
      <c r="B190" s="2972" t="s">
        <v>2856</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2892</v>
      </c>
      <c r="C199" s="2977">
        <v>0.13</v>
      </c>
      <c r="D199" s="2977">
        <v>0.13</v>
      </c>
      <c r="E199" s="2977">
        <v>0.13</v>
      </c>
      <c r="F199" s="2977">
        <v>0.13</v>
      </c>
      <c r="G199" s="2978">
        <v>0.13</v>
      </c>
    </row>
    <row r="200" spans="1:7">
      <c r="A200" s="2987" t="s">
        <v>304</v>
      </c>
      <c r="B200" s="2976" t="s">
        <v>2895</v>
      </c>
      <c r="C200" s="2993"/>
      <c r="D200" s="2993"/>
      <c r="E200" s="2993"/>
      <c r="F200" s="2977">
        <v>0.13</v>
      </c>
      <c r="G200" s="2989"/>
    </row>
    <row r="201" spans="1:7">
      <c r="A201" s="2987" t="s">
        <v>304</v>
      </c>
      <c r="B201" s="2976" t="s">
        <v>2900</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2903</v>
      </c>
      <c r="C203" s="2977">
        <v>0.129</v>
      </c>
      <c r="D203" s="2977">
        <v>0.129</v>
      </c>
      <c r="E203" s="2977">
        <v>0.13</v>
      </c>
      <c r="F203" s="2977">
        <v>0.13</v>
      </c>
      <c r="G203" s="2978">
        <v>0.13</v>
      </c>
    </row>
    <row r="204" spans="1:7">
      <c r="A204" s="2987" t="s">
        <v>304</v>
      </c>
      <c r="B204" s="2976" t="s">
        <v>2906</v>
      </c>
      <c r="C204" s="2977">
        <v>0.129</v>
      </c>
      <c r="D204" s="2977">
        <v>0.129</v>
      </c>
      <c r="E204" s="2977">
        <v>0.123</v>
      </c>
      <c r="F204" s="2977">
        <v>0.13</v>
      </c>
      <c r="G204" s="2978">
        <v>0.13</v>
      </c>
    </row>
    <row r="205" spans="1:7">
      <c r="A205" s="2987" t="s">
        <v>304</v>
      </c>
      <c r="B205" s="2976" t="s">
        <v>2908</v>
      </c>
      <c r="C205" s="2977">
        <v>0.13</v>
      </c>
      <c r="D205" s="2977">
        <v>0.13</v>
      </c>
      <c r="E205" s="2977">
        <v>0.13</v>
      </c>
      <c r="F205" s="2977">
        <v>0.13</v>
      </c>
      <c r="G205" s="2978">
        <v>0.13</v>
      </c>
    </row>
    <row r="206" spans="1:7">
      <c r="A206" s="2987" t="s">
        <v>304</v>
      </c>
      <c r="B206" s="2976" t="s">
        <v>2911</v>
      </c>
      <c r="C206" s="2977">
        <v>0.13</v>
      </c>
      <c r="D206" s="2977">
        <v>0.13</v>
      </c>
      <c r="E206" s="2977">
        <v>0.13</v>
      </c>
      <c r="F206" s="2977">
        <v>0.128</v>
      </c>
      <c r="G206" s="2978">
        <v>0.13</v>
      </c>
    </row>
    <row r="207" spans="1:7">
      <c r="A207" s="2987" t="s">
        <v>304</v>
      </c>
      <c r="B207" s="2976" t="s">
        <v>2913</v>
      </c>
      <c r="C207" s="2977">
        <v>0.13</v>
      </c>
      <c r="D207" s="2977">
        <v>0.13</v>
      </c>
      <c r="E207" s="2977">
        <v>0.13</v>
      </c>
      <c r="F207" s="2977">
        <v>0.13</v>
      </c>
      <c r="G207" s="2978">
        <v>0.13</v>
      </c>
    </row>
    <row r="208" spans="1:7">
      <c r="A208" s="2987" t="s">
        <v>304</v>
      </c>
      <c r="B208" s="2976" t="s">
        <v>2916</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2923</v>
      </c>
      <c r="C210" s="2977">
        <v>0.121</v>
      </c>
      <c r="D210" s="2977">
        <v>0.121</v>
      </c>
      <c r="E210" s="2977">
        <v>0.125</v>
      </c>
      <c r="F210" s="2977">
        <v>0.13</v>
      </c>
      <c r="G210" s="2978">
        <v>0.123</v>
      </c>
    </row>
    <row r="211" spans="1:7">
      <c r="A211" s="2987" t="s">
        <v>304</v>
      </c>
      <c r="B211" s="2976" t="s">
        <v>2926</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2938</v>
      </c>
      <c r="C214" s="2977">
        <v>0.128</v>
      </c>
      <c r="D214" s="2977">
        <v>0.128</v>
      </c>
      <c r="E214" s="2977">
        <v>0.13</v>
      </c>
      <c r="F214" s="2977">
        <v>0.13</v>
      </c>
      <c r="G214" s="2978">
        <v>0.13</v>
      </c>
    </row>
    <row r="215" spans="1:7">
      <c r="A215" s="2987" t="s">
        <v>304</v>
      </c>
      <c r="B215" s="2976" t="s">
        <v>2942</v>
      </c>
      <c r="C215" s="2977">
        <v>0.13</v>
      </c>
      <c r="D215" s="2977">
        <v>0.13</v>
      </c>
      <c r="E215" s="2977">
        <v>0.13</v>
      </c>
      <c r="F215" s="2977">
        <v>0.129</v>
      </c>
      <c r="G215" s="2978">
        <v>0.13</v>
      </c>
    </row>
    <row r="216" spans="1:7">
      <c r="A216" s="2987" t="s">
        <v>304</v>
      </c>
      <c r="B216" s="2976" t="s">
        <v>2949</v>
      </c>
      <c r="C216" s="2977">
        <v>0.13</v>
      </c>
      <c r="D216" s="2977">
        <v>0.13</v>
      </c>
      <c r="E216" s="2977">
        <v>0.13</v>
      </c>
      <c r="F216" s="2977">
        <v>0.13</v>
      </c>
      <c r="G216" s="2978">
        <v>0.13</v>
      </c>
    </row>
    <row r="217" spans="1:7">
      <c r="A217" s="2987" t="s">
        <v>304</v>
      </c>
      <c r="B217" s="2976" t="s">
        <v>2956</v>
      </c>
      <c r="C217" s="2977">
        <v>0.129</v>
      </c>
      <c r="D217" s="2977">
        <v>0.129</v>
      </c>
      <c r="E217" s="2977">
        <v>0.13</v>
      </c>
      <c r="F217" s="2977">
        <v>0.13</v>
      </c>
      <c r="G217" s="2978">
        <v>0.13</v>
      </c>
    </row>
    <row r="218" spans="1:7">
      <c r="A218" s="2987" t="s">
        <v>304</v>
      </c>
      <c r="B218" s="2976" t="s">
        <v>2962</v>
      </c>
      <c r="C218" s="2988"/>
      <c r="D218" s="2988"/>
      <c r="E218" s="2988"/>
      <c r="F218" s="2977">
        <v>0.05</v>
      </c>
      <c r="G218" s="2994"/>
    </row>
    <row r="219" spans="1:7">
      <c r="A219" s="2987" t="s">
        <v>304</v>
      </c>
      <c r="B219" s="2976" t="s">
        <v>2969</v>
      </c>
      <c r="C219" s="2988"/>
      <c r="D219" s="2988"/>
      <c r="E219" s="2988"/>
      <c r="F219" s="2977">
        <v>0.05</v>
      </c>
      <c r="G219" s="2994"/>
    </row>
    <row r="220" spans="1:7">
      <c r="A220" s="2987" t="s">
        <v>304</v>
      </c>
      <c r="B220" s="2976" t="s">
        <v>2975</v>
      </c>
      <c r="C220" s="2988"/>
      <c r="D220" s="2988"/>
      <c r="E220" s="2988"/>
      <c r="F220" s="2977">
        <v>0.05</v>
      </c>
      <c r="G220" s="2994"/>
    </row>
    <row r="221" spans="1:7">
      <c r="A221" s="2987" t="s">
        <v>304</v>
      </c>
      <c r="B221" s="2976" t="s">
        <v>2980</v>
      </c>
      <c r="C221" s="2988"/>
      <c r="D221" s="2988"/>
      <c r="E221" s="2988"/>
      <c r="F221" s="2977">
        <v>0.05</v>
      </c>
      <c r="G221" s="2994"/>
    </row>
    <row r="222" spans="1:7">
      <c r="A222" s="2987" t="s">
        <v>304</v>
      </c>
      <c r="B222" s="2976" t="s">
        <v>2984</v>
      </c>
      <c r="C222" s="2988"/>
      <c r="D222" s="2988"/>
      <c r="E222" s="2988"/>
      <c r="F222" s="2977">
        <v>0.05</v>
      </c>
      <c r="G222" s="2994"/>
    </row>
    <row r="223" spans="1:7">
      <c r="A223" s="2987" t="s">
        <v>304</v>
      </c>
      <c r="B223" s="2976" t="s">
        <v>2989</v>
      </c>
      <c r="C223" s="2988"/>
      <c r="D223" s="2988"/>
      <c r="E223" s="2988"/>
      <c r="F223" s="2977">
        <v>0.05</v>
      </c>
      <c r="G223" s="2994"/>
    </row>
    <row r="224" spans="1:7">
      <c r="A224" s="2987" t="s">
        <v>304</v>
      </c>
      <c r="B224" s="2976" t="s">
        <v>2994</v>
      </c>
      <c r="C224" s="2988"/>
      <c r="D224" s="2988"/>
      <c r="E224" s="2988"/>
      <c r="F224" s="2977">
        <v>0.05</v>
      </c>
      <c r="G224" s="2994"/>
    </row>
    <row r="225" spans="1:7">
      <c r="A225" s="2987" t="s">
        <v>304</v>
      </c>
      <c r="B225" s="2976" t="s">
        <v>2999</v>
      </c>
      <c r="C225" s="2988"/>
      <c r="D225" s="2988"/>
      <c r="E225" s="2988"/>
      <c r="F225" s="2977">
        <v>0.05</v>
      </c>
      <c r="G225" s="2994"/>
    </row>
    <row r="226" spans="1:7">
      <c r="A226" s="2987" t="s">
        <v>304</v>
      </c>
      <c r="B226" s="2976" t="s">
        <v>3201</v>
      </c>
      <c r="C226" s="2988"/>
      <c r="D226" s="2988"/>
      <c r="E226" s="2988"/>
      <c r="F226" s="2977">
        <v>0.05</v>
      </c>
      <c r="G226" s="2994"/>
    </row>
    <row r="227" spans="1:7">
      <c r="A227" s="2987" t="s">
        <v>304</v>
      </c>
      <c r="B227" s="2976" t="s">
        <v>3202</v>
      </c>
      <c r="C227" s="2988"/>
      <c r="D227" s="2988"/>
      <c r="E227" s="2988"/>
      <c r="F227" s="2977">
        <v>0.05</v>
      </c>
      <c r="G227" s="2994"/>
    </row>
    <row r="228" spans="1:7">
      <c r="A228" s="2987" t="s">
        <v>304</v>
      </c>
      <c r="B228" s="2976" t="s">
        <v>3203</v>
      </c>
      <c r="C228" s="2988"/>
      <c r="D228" s="2988"/>
      <c r="E228" s="2988"/>
      <c r="F228" s="2977">
        <v>0.05</v>
      </c>
      <c r="G228" s="2994"/>
    </row>
    <row r="229" spans="1:7">
      <c r="A229" s="2987" t="s">
        <v>304</v>
      </c>
      <c r="B229" s="2976" t="s">
        <v>3204</v>
      </c>
      <c r="C229" s="2988"/>
      <c r="D229" s="2988"/>
      <c r="E229" s="2988"/>
      <c r="F229" s="2977">
        <v>0.05</v>
      </c>
      <c r="G229" s="2994"/>
    </row>
    <row r="230" spans="1:7">
      <c r="A230" s="2987" t="s">
        <v>304</v>
      </c>
      <c r="B230" s="2976" t="s">
        <v>3205</v>
      </c>
      <c r="C230" s="2988"/>
      <c r="D230" s="2988"/>
      <c r="E230" s="2988"/>
      <c r="F230" s="2977">
        <v>0.05</v>
      </c>
      <c r="G230" s="2994"/>
    </row>
    <row r="231" spans="1:7">
      <c r="A231" s="2987" t="s">
        <v>304</v>
      </c>
      <c r="B231" s="2976" t="s">
        <v>3206</v>
      </c>
      <c r="C231" s="2988"/>
      <c r="D231" s="2988"/>
      <c r="E231" s="2988"/>
      <c r="F231" s="2977">
        <v>0.05</v>
      </c>
      <c r="G231" s="2994"/>
    </row>
    <row r="232" spans="1:7">
      <c r="A232" s="2987" t="s">
        <v>304</v>
      </c>
      <c r="B232" s="2976" t="s">
        <v>3207</v>
      </c>
      <c r="C232" s="2988"/>
      <c r="D232" s="2988"/>
      <c r="E232" s="2988"/>
      <c r="F232" s="2977">
        <v>0.05</v>
      </c>
      <c r="G232" s="2994"/>
    </row>
    <row r="233" spans="1:7" ht="15" thickBot="1">
      <c r="A233" s="2990" t="s">
        <v>304</v>
      </c>
      <c r="B233" s="2980" t="s">
        <v>3208</v>
      </c>
      <c r="C233" s="2982"/>
      <c r="D233" s="2982"/>
      <c r="E233" s="2982"/>
      <c r="F233" s="2981">
        <v>0.05</v>
      </c>
      <c r="G233" s="2995"/>
    </row>
    <row r="234" spans="1:7">
      <c r="A234" s="2986" t="s">
        <v>305</v>
      </c>
      <c r="B234" s="2972" t="s">
        <v>2857</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2877</v>
      </c>
      <c r="C238" s="2977">
        <v>0.14899999999999999</v>
      </c>
      <c r="D238" s="2977">
        <v>0.14899999999999999</v>
      </c>
      <c r="E238" s="2977">
        <v>0.15</v>
      </c>
      <c r="F238" s="2977">
        <v>0.15</v>
      </c>
      <c r="G238" s="2978">
        <v>0.15</v>
      </c>
    </row>
    <row r="239" spans="1:7">
      <c r="A239" s="2987" t="s">
        <v>305</v>
      </c>
      <c r="B239" s="2976" t="s">
        <v>2881</v>
      </c>
      <c r="C239" s="2977">
        <v>0.15</v>
      </c>
      <c r="D239" s="2977">
        <v>0.15</v>
      </c>
      <c r="E239" s="2977">
        <v>0.15</v>
      </c>
      <c r="F239" s="2977">
        <v>0.15</v>
      </c>
      <c r="G239" s="2978">
        <v>0.15</v>
      </c>
    </row>
    <row r="240" spans="1:7">
      <c r="A240" s="2987" t="s">
        <v>305</v>
      </c>
      <c r="B240" s="2976" t="s">
        <v>2886</v>
      </c>
      <c r="C240" s="2977">
        <v>0.15</v>
      </c>
      <c r="D240" s="2977">
        <v>0.15</v>
      </c>
      <c r="E240" s="2977">
        <v>0.15</v>
      </c>
      <c r="F240" s="2977">
        <v>0.15</v>
      </c>
      <c r="G240" s="2978">
        <v>0.15</v>
      </c>
    </row>
    <row r="241" spans="1:7">
      <c r="A241" s="2987" t="s">
        <v>305</v>
      </c>
      <c r="B241" s="2976" t="s">
        <v>2890</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2896</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2904</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2909</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2917</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2930</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2939</v>
      </c>
      <c r="C258" s="2977">
        <v>0.14299999999999999</v>
      </c>
      <c r="D258" s="2977">
        <v>0.14299999999999999</v>
      </c>
      <c r="E258" s="2977">
        <v>0.15</v>
      </c>
      <c r="F258" s="2977">
        <v>0.14799999999999999</v>
      </c>
      <c r="G258" s="2978">
        <v>0.14599999999999999</v>
      </c>
    </row>
    <row r="259" spans="1:7">
      <c r="A259" s="2987" t="s">
        <v>305</v>
      </c>
      <c r="B259" s="2976" t="s">
        <v>2943</v>
      </c>
      <c r="C259" s="2977">
        <v>0.14399999999999999</v>
      </c>
      <c r="D259" s="2977">
        <v>0.14399999999999999</v>
      </c>
      <c r="E259" s="2977">
        <v>0.14899999999999999</v>
      </c>
      <c r="F259" s="2977">
        <v>0.14699999999999999</v>
      </c>
      <c r="G259" s="2978">
        <v>0.14599999999999999</v>
      </c>
    </row>
    <row r="260" spans="1:7">
      <c r="A260" s="2987" t="s">
        <v>305</v>
      </c>
      <c r="B260" s="2976" t="s">
        <v>2950</v>
      </c>
      <c r="C260" s="2977">
        <v>0.109</v>
      </c>
      <c r="D260" s="2977">
        <v>0.111</v>
      </c>
      <c r="E260" s="2977">
        <v>0.13100000000000001</v>
      </c>
      <c r="F260" s="2977">
        <v>0.126</v>
      </c>
      <c r="G260" s="2978">
        <v>0.11899999999999999</v>
      </c>
    </row>
    <row r="261" spans="1:7">
      <c r="A261" s="2987" t="s">
        <v>305</v>
      </c>
      <c r="B261" s="2976" t="s">
        <v>2957</v>
      </c>
      <c r="C261" s="2977">
        <v>0.1</v>
      </c>
      <c r="D261" s="2977">
        <v>0.1</v>
      </c>
      <c r="E261" s="2977">
        <v>0.11799999999999999</v>
      </c>
      <c r="F261" s="2977">
        <v>0.108</v>
      </c>
      <c r="G261" s="2978">
        <v>0.107</v>
      </c>
    </row>
    <row r="262" spans="1:7">
      <c r="A262" s="2987" t="s">
        <v>305</v>
      </c>
      <c r="B262" s="2976" t="s">
        <v>2963</v>
      </c>
      <c r="C262" s="2977">
        <v>0.1</v>
      </c>
      <c r="D262" s="2977">
        <v>0.1</v>
      </c>
      <c r="E262" s="2977">
        <v>0.1</v>
      </c>
      <c r="F262" s="2977">
        <v>0.14099999999999999</v>
      </c>
      <c r="G262" s="2978">
        <v>0.1</v>
      </c>
    </row>
    <row r="263" spans="1:7">
      <c r="A263" s="2987" t="s">
        <v>305</v>
      </c>
      <c r="B263" s="2976" t="s">
        <v>2970</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2981</v>
      </c>
      <c r="C265" s="2988"/>
      <c r="D265" s="2988"/>
      <c r="E265" s="2988"/>
      <c r="F265" s="2977">
        <v>0.05</v>
      </c>
      <c r="G265" s="2994"/>
    </row>
    <row r="266" spans="1:7">
      <c r="A266" s="2987" t="s">
        <v>305</v>
      </c>
      <c r="B266" s="2976" t="s">
        <v>2985</v>
      </c>
      <c r="C266" s="2988"/>
      <c r="D266" s="2988"/>
      <c r="E266" s="2988"/>
      <c r="F266" s="2977">
        <v>0.05</v>
      </c>
      <c r="G266" s="2994"/>
    </row>
    <row r="267" spans="1:7">
      <c r="A267" s="2987" t="s">
        <v>305</v>
      </c>
      <c r="B267" s="2976" t="s">
        <v>2990</v>
      </c>
      <c r="C267" s="2988"/>
      <c r="D267" s="2988"/>
      <c r="E267" s="2988"/>
      <c r="F267" s="2977">
        <v>0.05</v>
      </c>
      <c r="G267" s="2994"/>
    </row>
    <row r="268" spans="1:7">
      <c r="A268" s="2987" t="s">
        <v>305</v>
      </c>
      <c r="B268" s="2976" t="s">
        <v>2995</v>
      </c>
      <c r="C268" s="2988"/>
      <c r="D268" s="2988"/>
      <c r="E268" s="2988"/>
      <c r="F268" s="2977">
        <v>0.05</v>
      </c>
      <c r="G268" s="2994"/>
    </row>
    <row r="269" spans="1:7">
      <c r="A269" s="2987" t="s">
        <v>305</v>
      </c>
      <c r="B269" s="2976" t="s">
        <v>3000</v>
      </c>
      <c r="C269" s="2988"/>
      <c r="D269" s="2988"/>
      <c r="E269" s="2988"/>
      <c r="F269" s="2977">
        <v>0.05</v>
      </c>
      <c r="G269" s="2994"/>
    </row>
    <row r="270" spans="1:7">
      <c r="A270" s="2987" t="s">
        <v>305</v>
      </c>
      <c r="B270" s="2976" t="s">
        <v>3005</v>
      </c>
      <c r="C270" s="2988"/>
      <c r="D270" s="2988"/>
      <c r="E270" s="2988"/>
      <c r="F270" s="2977">
        <v>0.05</v>
      </c>
      <c r="G270" s="2994"/>
    </row>
    <row r="271" spans="1:7">
      <c r="A271" s="2987" t="s">
        <v>305</v>
      </c>
      <c r="B271" s="2976" t="s">
        <v>3209</v>
      </c>
      <c r="C271" s="2988"/>
      <c r="D271" s="2988"/>
      <c r="E271" s="2988"/>
      <c r="F271" s="2977">
        <v>0.05</v>
      </c>
      <c r="G271" s="2994"/>
    </row>
    <row r="272" spans="1:7">
      <c r="A272" s="2987" t="s">
        <v>305</v>
      </c>
      <c r="B272" s="2976" t="s">
        <v>3210</v>
      </c>
      <c r="C272" s="2988"/>
      <c r="D272" s="2988"/>
      <c r="E272" s="2988"/>
      <c r="F272" s="2977">
        <v>0.05</v>
      </c>
      <c r="G272" s="2994"/>
    </row>
    <row r="273" spans="1:7">
      <c r="A273" s="2987" t="s">
        <v>305</v>
      </c>
      <c r="B273" s="2976" t="s">
        <v>3211</v>
      </c>
      <c r="C273" s="2988"/>
      <c r="D273" s="2988"/>
      <c r="E273" s="2988"/>
      <c r="F273" s="2977">
        <v>0.05</v>
      </c>
      <c r="G273" s="2994"/>
    </row>
    <row r="274" spans="1:7">
      <c r="A274" s="2987" t="s">
        <v>305</v>
      </c>
      <c r="B274" s="2976" t="s">
        <v>3212</v>
      </c>
      <c r="C274" s="2988"/>
      <c r="D274" s="2988"/>
      <c r="E274" s="2988"/>
      <c r="F274" s="2977">
        <v>0.05</v>
      </c>
      <c r="G274" s="2994"/>
    </row>
    <row r="275" spans="1:7">
      <c r="A275" s="2987" t="s">
        <v>305</v>
      </c>
      <c r="B275" s="2976" t="s">
        <v>3213</v>
      </c>
      <c r="C275" s="2988"/>
      <c r="D275" s="2988"/>
      <c r="E275" s="2988"/>
      <c r="F275" s="2977">
        <v>0.05</v>
      </c>
      <c r="G275" s="2994"/>
    </row>
    <row r="276" spans="1:7" ht="15" thickBot="1">
      <c r="A276" s="2990" t="s">
        <v>305</v>
      </c>
      <c r="B276" s="2980" t="s">
        <v>3214</v>
      </c>
      <c r="C276" s="2982"/>
      <c r="D276" s="2982"/>
      <c r="E276" s="2982"/>
      <c r="F276" s="2981">
        <v>0.05</v>
      </c>
      <c r="G276" s="2995"/>
    </row>
    <row r="277" spans="1:7">
      <c r="A277" s="2986" t="s">
        <v>306</v>
      </c>
      <c r="B277" s="2972" t="s">
        <v>2858</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2870</v>
      </c>
      <c r="C279" s="2977">
        <v>0.15</v>
      </c>
      <c r="D279" s="2977">
        <v>0.15</v>
      </c>
      <c r="E279" s="2977">
        <v>0.15</v>
      </c>
      <c r="F279" s="2977">
        <v>0.15</v>
      </c>
      <c r="G279" s="2978">
        <v>0.15</v>
      </c>
    </row>
    <row r="280" spans="1:7">
      <c r="A280" s="2987" t="s">
        <v>306</v>
      </c>
      <c r="B280" s="2976" t="s">
        <v>2874</v>
      </c>
      <c r="C280" s="2977">
        <v>0.15</v>
      </c>
      <c r="D280" s="2977">
        <v>0.15</v>
      </c>
      <c r="E280" s="2977">
        <v>0.15</v>
      </c>
      <c r="F280" s="2977">
        <v>0.15</v>
      </c>
      <c r="G280" s="2978">
        <v>0.15</v>
      </c>
    </row>
    <row r="281" spans="1:7">
      <c r="A281" s="2987" t="s">
        <v>306</v>
      </c>
      <c r="B281" s="2976" t="s">
        <v>2878</v>
      </c>
      <c r="C281" s="2977">
        <v>0.15</v>
      </c>
      <c r="D281" s="2977">
        <v>0.15</v>
      </c>
      <c r="E281" s="2977">
        <v>0.15</v>
      </c>
      <c r="F281" s="2977">
        <v>0.15</v>
      </c>
      <c r="G281" s="2978">
        <v>0.15</v>
      </c>
    </row>
    <row r="282" spans="1:7">
      <c r="A282" s="2987" t="s">
        <v>306</v>
      </c>
      <c r="B282" s="2976" t="s">
        <v>2882</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2897</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2902</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2912</v>
      </c>
      <c r="C293" s="2977">
        <v>0.15</v>
      </c>
      <c r="D293" s="2977">
        <v>0.15</v>
      </c>
      <c r="E293" s="2977">
        <v>0.15</v>
      </c>
      <c r="F293" s="2977">
        <v>0.14499999999999999</v>
      </c>
      <c r="G293" s="2978">
        <v>0.15</v>
      </c>
    </row>
    <row r="294" spans="1:7">
      <c r="A294" s="2987" t="s">
        <v>306</v>
      </c>
      <c r="B294" s="2976" t="s">
        <v>2914</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2931</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2944</v>
      </c>
      <c r="C302" s="2977">
        <v>0.15</v>
      </c>
      <c r="D302" s="2977">
        <v>0.15</v>
      </c>
      <c r="E302" s="2977">
        <v>0.15</v>
      </c>
      <c r="F302" s="2977">
        <v>0.14699999999999999</v>
      </c>
      <c r="G302" s="2978">
        <v>0.15</v>
      </c>
    </row>
    <row r="303" spans="1:7">
      <c r="A303" s="2987" t="s">
        <v>306</v>
      </c>
      <c r="B303" s="2976" t="s">
        <v>2951</v>
      </c>
      <c r="C303" s="2977">
        <v>0.15</v>
      </c>
      <c r="D303" s="2977">
        <v>0.15</v>
      </c>
      <c r="E303" s="2977">
        <v>0.15</v>
      </c>
      <c r="F303" s="2977">
        <v>0.14199999999999999</v>
      </c>
      <c r="G303" s="2978">
        <v>0.15</v>
      </c>
    </row>
    <row r="304" spans="1:7">
      <c r="A304" s="2987" t="s">
        <v>306</v>
      </c>
      <c r="B304" s="2976" t="s">
        <v>2958</v>
      </c>
      <c r="C304" s="2977">
        <v>0.15</v>
      </c>
      <c r="D304" s="2977">
        <v>0.15</v>
      </c>
      <c r="E304" s="2977">
        <v>0.15</v>
      </c>
      <c r="F304" s="2977">
        <v>0.14499999999999999</v>
      </c>
      <c r="G304" s="2978">
        <v>0.15</v>
      </c>
    </row>
    <row r="305" spans="1:7">
      <c r="A305" s="2987" t="s">
        <v>306</v>
      </c>
      <c r="B305" s="2976" t="s">
        <v>2964</v>
      </c>
      <c r="C305" s="2977">
        <v>0.15</v>
      </c>
      <c r="D305" s="2977">
        <v>0.15</v>
      </c>
      <c r="E305" s="2977">
        <v>0.15</v>
      </c>
      <c r="F305" s="2977">
        <v>0.111</v>
      </c>
      <c r="G305" s="2978">
        <v>0.15</v>
      </c>
    </row>
    <row r="306" spans="1:7">
      <c r="A306" s="2987" t="s">
        <v>306</v>
      </c>
      <c r="B306" s="2976" t="s">
        <v>2971</v>
      </c>
      <c r="C306" s="2977">
        <v>0.15</v>
      </c>
      <c r="D306" s="2977">
        <v>0.15</v>
      </c>
      <c r="E306" s="2977">
        <v>0.15</v>
      </c>
      <c r="F306" s="2977">
        <v>0.126</v>
      </c>
      <c r="G306" s="2978">
        <v>0.15</v>
      </c>
    </row>
    <row r="307" spans="1:7">
      <c r="A307" s="2987" t="s">
        <v>306</v>
      </c>
      <c r="B307" s="2976" t="s">
        <v>2976</v>
      </c>
      <c r="C307" s="2977">
        <v>0.15</v>
      </c>
      <c r="D307" s="2977">
        <v>0.15</v>
      </c>
      <c r="E307" s="2977">
        <v>0.15</v>
      </c>
      <c r="F307" s="2977">
        <v>0.12</v>
      </c>
      <c r="G307" s="2978">
        <v>0.15</v>
      </c>
    </row>
    <row r="308" spans="1:7">
      <c r="A308" s="2987" t="s">
        <v>306</v>
      </c>
      <c r="B308" s="2976" t="s">
        <v>2982</v>
      </c>
      <c r="C308" s="2977">
        <v>0.15</v>
      </c>
      <c r="D308" s="2977">
        <v>0.15</v>
      </c>
      <c r="E308" s="2977">
        <v>0.15</v>
      </c>
      <c r="F308" s="2977">
        <v>0.13</v>
      </c>
      <c r="G308" s="2978">
        <v>0.15</v>
      </c>
    </row>
    <row r="309" spans="1:7">
      <c r="A309" s="2987" t="s">
        <v>306</v>
      </c>
      <c r="B309" s="2976" t="s">
        <v>2986</v>
      </c>
      <c r="C309" s="2977">
        <v>0.15</v>
      </c>
      <c r="D309" s="2977">
        <v>0.15</v>
      </c>
      <c r="E309" s="2977">
        <v>0.15</v>
      </c>
      <c r="F309" s="2977">
        <v>0.14099999999999999</v>
      </c>
      <c r="G309" s="2978">
        <v>0.15</v>
      </c>
    </row>
    <row r="310" spans="1:7">
      <c r="A310" s="2987" t="s">
        <v>306</v>
      </c>
      <c r="B310" s="2976" t="s">
        <v>2991</v>
      </c>
      <c r="C310" s="2977">
        <v>0.15</v>
      </c>
      <c r="D310" s="2977">
        <v>0.15</v>
      </c>
      <c r="E310" s="2977">
        <v>0.15</v>
      </c>
      <c r="F310" s="2977">
        <v>0.15</v>
      </c>
      <c r="G310" s="2978">
        <v>0.15</v>
      </c>
    </row>
    <row r="311" spans="1:7">
      <c r="A311" s="2987" t="s">
        <v>306</v>
      </c>
      <c r="B311" s="2976" t="s">
        <v>2996</v>
      </c>
      <c r="C311" s="2977">
        <v>0.13200000000000001</v>
      </c>
      <c r="D311" s="2977">
        <v>0.13300000000000001</v>
      </c>
      <c r="E311" s="2977">
        <v>0.14499999999999999</v>
      </c>
      <c r="F311" s="2977">
        <v>0.14199999999999999</v>
      </c>
      <c r="G311" s="2978">
        <v>0.14000000000000001</v>
      </c>
    </row>
    <row r="312" spans="1:7">
      <c r="A312" s="2987" t="s">
        <v>306</v>
      </c>
      <c r="B312" s="2976" t="s">
        <v>3001</v>
      </c>
      <c r="C312" s="2977">
        <v>0.13800000000000001</v>
      </c>
      <c r="D312" s="2977">
        <v>0.14000000000000001</v>
      </c>
      <c r="E312" s="2977">
        <v>0.14599999999999999</v>
      </c>
      <c r="F312" s="2977">
        <v>0.14899999999999999</v>
      </c>
      <c r="G312" s="2978">
        <v>0.14199999999999999</v>
      </c>
    </row>
    <row r="313" spans="1:7">
      <c r="A313" s="2987" t="s">
        <v>306</v>
      </c>
      <c r="B313" s="2976" t="s">
        <v>3006</v>
      </c>
      <c r="C313" s="2977">
        <v>0.125</v>
      </c>
      <c r="D313" s="2977">
        <v>0.127</v>
      </c>
      <c r="E313" s="2977">
        <v>0.14399999999999999</v>
      </c>
      <c r="F313" s="2977">
        <v>0.115</v>
      </c>
      <c r="G313" s="2978">
        <v>0.13600000000000001</v>
      </c>
    </row>
    <row r="314" spans="1:7">
      <c r="A314" s="2987" t="s">
        <v>306</v>
      </c>
      <c r="B314" s="2976" t="s">
        <v>3215</v>
      </c>
      <c r="C314" s="2993"/>
      <c r="D314" s="2993"/>
      <c r="E314" s="2993"/>
      <c r="F314" s="2977">
        <v>0.05</v>
      </c>
      <c r="G314" s="2994"/>
    </row>
    <row r="315" spans="1:7">
      <c r="A315" s="2987" t="s">
        <v>306</v>
      </c>
      <c r="B315" s="2976" t="s">
        <v>3216</v>
      </c>
      <c r="C315" s="2993"/>
      <c r="D315" s="2993"/>
      <c r="E315" s="2993"/>
      <c r="F315" s="2977">
        <v>0.05</v>
      </c>
      <c r="G315" s="2994"/>
    </row>
    <row r="316" spans="1:7">
      <c r="A316" s="2987" t="s">
        <v>306</v>
      </c>
      <c r="B316" s="2976" t="s">
        <v>3217</v>
      </c>
      <c r="C316" s="2988"/>
      <c r="D316" s="2988"/>
      <c r="E316" s="2988"/>
      <c r="F316" s="2977">
        <v>0.05</v>
      </c>
      <c r="G316" s="2994"/>
    </row>
    <row r="317" spans="1:7">
      <c r="A317" s="2987" t="s">
        <v>306</v>
      </c>
      <c r="B317" s="2976" t="s">
        <v>3218</v>
      </c>
      <c r="C317" s="2988"/>
      <c r="D317" s="2988"/>
      <c r="E317" s="2988"/>
      <c r="F317" s="2977">
        <v>0.05</v>
      </c>
      <c r="G317" s="2994"/>
    </row>
    <row r="318" spans="1:7">
      <c r="A318" s="2987" t="s">
        <v>306</v>
      </c>
      <c r="B318" s="2976" t="s">
        <v>3219</v>
      </c>
      <c r="C318" s="2988"/>
      <c r="D318" s="2988"/>
      <c r="E318" s="2988"/>
      <c r="F318" s="2977">
        <v>0.05</v>
      </c>
      <c r="G318" s="2994"/>
    </row>
    <row r="319" spans="1:7">
      <c r="A319" s="2987" t="s">
        <v>306</v>
      </c>
      <c r="B319" s="2976" t="s">
        <v>3220</v>
      </c>
      <c r="C319" s="2988"/>
      <c r="D319" s="2988"/>
      <c r="E319" s="2988"/>
      <c r="F319" s="2977">
        <v>0.05</v>
      </c>
      <c r="G319" s="2994"/>
    </row>
    <row r="320" spans="1:7">
      <c r="A320" s="2987" t="s">
        <v>306</v>
      </c>
      <c r="B320" s="2976" t="s">
        <v>3221</v>
      </c>
      <c r="C320" s="2988"/>
      <c r="D320" s="2988"/>
      <c r="E320" s="2988"/>
      <c r="F320" s="2977">
        <v>0.05</v>
      </c>
      <c r="G320" s="2994"/>
    </row>
    <row r="321" spans="1:7">
      <c r="A321" s="2987" t="s">
        <v>306</v>
      </c>
      <c r="B321" s="2976" t="s">
        <v>3222</v>
      </c>
      <c r="C321" s="2988"/>
      <c r="D321" s="2988"/>
      <c r="E321" s="2988"/>
      <c r="F321" s="2977">
        <v>0.05</v>
      </c>
      <c r="G321" s="2994"/>
    </row>
    <row r="322" spans="1:7">
      <c r="A322" s="2987" t="s">
        <v>306</v>
      </c>
      <c r="B322" s="2976" t="s">
        <v>3223</v>
      </c>
      <c r="C322" s="2988"/>
      <c r="D322" s="2988"/>
      <c r="E322" s="2988"/>
      <c r="F322" s="2977">
        <v>0.05</v>
      </c>
      <c r="G322" s="2994"/>
    </row>
    <row r="323" spans="1:7">
      <c r="A323" s="2987" t="s">
        <v>306</v>
      </c>
      <c r="B323" s="2976" t="s">
        <v>3224</v>
      </c>
      <c r="C323" s="2988"/>
      <c r="D323" s="2988"/>
      <c r="E323" s="2988"/>
      <c r="F323" s="2977">
        <v>0.05</v>
      </c>
      <c r="G323" s="2994"/>
    </row>
    <row r="324" spans="1:7">
      <c r="A324" s="2987" t="s">
        <v>306</v>
      </c>
      <c r="B324" s="2976" t="s">
        <v>3225</v>
      </c>
      <c r="C324" s="2988"/>
      <c r="D324" s="2988"/>
      <c r="E324" s="2988"/>
      <c r="F324" s="2977">
        <v>0.05</v>
      </c>
      <c r="G324" s="2994"/>
    </row>
    <row r="325" spans="1:7">
      <c r="A325" s="2987" t="s">
        <v>306</v>
      </c>
      <c r="B325" s="2976" t="s">
        <v>3226</v>
      </c>
      <c r="C325" s="2988"/>
      <c r="D325" s="2988"/>
      <c r="E325" s="2988"/>
      <c r="F325" s="2977">
        <v>0.05</v>
      </c>
      <c r="G325" s="2994"/>
    </row>
    <row r="326" spans="1:7" ht="15" thickBot="1">
      <c r="A326" s="2990" t="s">
        <v>306</v>
      </c>
      <c r="B326" s="2980" t="s">
        <v>3227</v>
      </c>
      <c r="C326" s="2982"/>
      <c r="D326" s="2982"/>
      <c r="E326" s="2982"/>
      <c r="F326" s="2981">
        <v>0.05</v>
      </c>
      <c r="G326" s="2995"/>
    </row>
    <row r="327" spans="1:7">
      <c r="A327" s="2986" t="s">
        <v>307</v>
      </c>
      <c r="B327" s="2972" t="s">
        <v>2859</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2871</v>
      </c>
      <c r="C329" s="2977">
        <v>0.15</v>
      </c>
      <c r="D329" s="2977">
        <v>0.15</v>
      </c>
      <c r="E329" s="2977">
        <v>0.15</v>
      </c>
      <c r="F329" s="2977">
        <v>0.15</v>
      </c>
      <c r="G329" s="2978">
        <v>0.15</v>
      </c>
    </row>
    <row r="330" spans="1:7">
      <c r="A330" s="2987" t="s">
        <v>307</v>
      </c>
      <c r="B330" s="2976" t="s">
        <v>2875</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2883</v>
      </c>
      <c r="C332" s="2977">
        <v>0.15</v>
      </c>
      <c r="D332" s="2977">
        <v>0.15</v>
      </c>
      <c r="E332" s="2977">
        <v>0.15</v>
      </c>
      <c r="F332" s="2977">
        <v>0.15</v>
      </c>
      <c r="G332" s="2978">
        <v>0.15</v>
      </c>
    </row>
    <row r="333" spans="1:7">
      <c r="A333" s="2987" t="s">
        <v>307</v>
      </c>
      <c r="B333" s="2976" t="s">
        <v>2887</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2893</v>
      </c>
      <c r="C336" s="2977">
        <v>0.15</v>
      </c>
      <c r="D336" s="2977">
        <v>0.15</v>
      </c>
      <c r="E336" s="2977">
        <v>0.15</v>
      </c>
      <c r="F336" s="2977">
        <v>0.14199999999999999</v>
      </c>
      <c r="G336" s="2978">
        <v>0.15</v>
      </c>
    </row>
    <row r="337" spans="1:7">
      <c r="A337" s="2987" t="s">
        <v>307</v>
      </c>
      <c r="B337" s="2976" t="s">
        <v>2898</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2905</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2910</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2918</v>
      </c>
      <c r="C345" s="2977">
        <v>0.15</v>
      </c>
      <c r="D345" s="2977">
        <v>0.15</v>
      </c>
      <c r="E345" s="2977">
        <v>0.15</v>
      </c>
      <c r="F345" s="2977">
        <v>0.13800000000000001</v>
      </c>
      <c r="G345" s="2978">
        <v>0.15</v>
      </c>
    </row>
    <row r="346" spans="1:7">
      <c r="A346" s="2987" t="s">
        <v>307</v>
      </c>
      <c r="B346" s="2976" t="s">
        <v>2920</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2927</v>
      </c>
      <c r="C348" s="2977">
        <v>0.15</v>
      </c>
      <c r="D348" s="2977">
        <v>0.15</v>
      </c>
      <c r="E348" s="2977">
        <v>0.15</v>
      </c>
      <c r="F348" s="2977">
        <v>0.14399999999999999</v>
      </c>
      <c r="G348" s="2978">
        <v>0.15</v>
      </c>
    </row>
    <row r="349" spans="1:7">
      <c r="A349" s="2987" t="s">
        <v>307</v>
      </c>
      <c r="B349" s="2976" t="s">
        <v>2932</v>
      </c>
      <c r="C349" s="2977">
        <v>0.15</v>
      </c>
      <c r="D349" s="2977">
        <v>0.15</v>
      </c>
      <c r="E349" s="2977">
        <v>0.15</v>
      </c>
      <c r="F349" s="2977">
        <v>0.15</v>
      </c>
      <c r="G349" s="2978">
        <v>0.15</v>
      </c>
    </row>
    <row r="350" spans="1:7">
      <c r="A350" s="2987" t="s">
        <v>307</v>
      </c>
      <c r="B350" s="2976" t="s">
        <v>2935</v>
      </c>
      <c r="C350" s="2977">
        <v>0.15</v>
      </c>
      <c r="D350" s="2977">
        <v>0.15</v>
      </c>
      <c r="E350" s="2977">
        <v>0.15</v>
      </c>
      <c r="F350" s="2977">
        <v>0.14699999999999999</v>
      </c>
      <c r="G350" s="2978">
        <v>0.15</v>
      </c>
    </row>
    <row r="351" spans="1:7">
      <c r="A351" s="2987" t="s">
        <v>307</v>
      </c>
      <c r="B351" s="2976" t="s">
        <v>2940</v>
      </c>
      <c r="C351" s="2977">
        <v>0.15</v>
      </c>
      <c r="D351" s="2977">
        <v>0.15</v>
      </c>
      <c r="E351" s="2977">
        <v>0.15</v>
      </c>
      <c r="F351" s="2977">
        <v>0.13</v>
      </c>
      <c r="G351" s="2978">
        <v>0.15</v>
      </c>
    </row>
    <row r="352" spans="1:7">
      <c r="A352" s="2987" t="s">
        <v>307</v>
      </c>
      <c r="B352" s="2976" t="s">
        <v>2945</v>
      </c>
      <c r="C352" s="2977">
        <v>0.15</v>
      </c>
      <c r="D352" s="2977">
        <v>0.15</v>
      </c>
      <c r="E352" s="2977">
        <v>0.15</v>
      </c>
      <c r="F352" s="2977">
        <v>0.14599999999999999</v>
      </c>
      <c r="G352" s="2978">
        <v>0.15</v>
      </c>
    </row>
    <row r="353" spans="1:7">
      <c r="A353" s="2987" t="s">
        <v>307</v>
      </c>
      <c r="B353" s="2976" t="s">
        <v>2952</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2965</v>
      </c>
      <c r="C355" s="2977">
        <v>0.15</v>
      </c>
      <c r="D355" s="2977">
        <v>0.15</v>
      </c>
      <c r="E355" s="2977">
        <v>0.15</v>
      </c>
      <c r="F355" s="2977">
        <v>0.15</v>
      </c>
      <c r="G355" s="2978">
        <v>0.15</v>
      </c>
    </row>
    <row r="356" spans="1:7">
      <c r="A356" s="2987" t="s">
        <v>307</v>
      </c>
      <c r="B356" s="2976" t="s">
        <v>2972</v>
      </c>
      <c r="C356" s="2977">
        <v>0.15</v>
      </c>
      <c r="D356" s="2977">
        <v>0.15</v>
      </c>
      <c r="E356" s="2977">
        <v>0.15</v>
      </c>
      <c r="F356" s="2977">
        <v>0.15</v>
      </c>
      <c r="G356" s="2978">
        <v>0.15</v>
      </c>
    </row>
    <row r="357" spans="1:7" ht="15" thickBot="1">
      <c r="A357" s="2990" t="s">
        <v>307</v>
      </c>
      <c r="B357" s="2980" t="s">
        <v>2977</v>
      </c>
      <c r="C357" s="2981">
        <v>0.126</v>
      </c>
      <c r="D357" s="2981">
        <v>0.127</v>
      </c>
      <c r="E357" s="2981">
        <v>0.14299999999999999</v>
      </c>
      <c r="F357" s="2981">
        <v>0.125</v>
      </c>
      <c r="G357" s="2983">
        <v>0.129</v>
      </c>
    </row>
    <row r="358" spans="1:7">
      <c r="A358" s="2986" t="s">
        <v>2846</v>
      </c>
      <c r="B358" s="2972" t="s">
        <v>2860</v>
      </c>
      <c r="C358" s="2973">
        <v>0.15</v>
      </c>
      <c r="D358" s="2973">
        <v>0.15</v>
      </c>
      <c r="E358" s="2973">
        <v>0.15</v>
      </c>
      <c r="F358" s="2973">
        <v>0.15</v>
      </c>
      <c r="G358" s="2974">
        <v>0.15</v>
      </c>
    </row>
    <row r="359" spans="1:7">
      <c r="A359" s="2987" t="s">
        <v>2846</v>
      </c>
      <c r="B359" s="2976" t="s">
        <v>2866</v>
      </c>
      <c r="C359" s="2977">
        <v>0.1</v>
      </c>
      <c r="D359" s="2977">
        <v>0.1</v>
      </c>
      <c r="E359" s="2977">
        <v>0.1</v>
      </c>
      <c r="F359" s="2977">
        <v>0.1</v>
      </c>
      <c r="G359" s="2978">
        <v>0.1</v>
      </c>
    </row>
    <row r="360" spans="1:7">
      <c r="A360" s="2987" t="s">
        <v>2846</v>
      </c>
      <c r="B360" s="2976" t="s">
        <v>2872</v>
      </c>
      <c r="C360" s="2977">
        <v>0.15</v>
      </c>
      <c r="D360" s="2977">
        <v>0.15</v>
      </c>
      <c r="E360" s="2977">
        <v>0.15</v>
      </c>
      <c r="F360" s="2977">
        <v>0.14899999999999999</v>
      </c>
      <c r="G360" s="2978">
        <v>0.15</v>
      </c>
    </row>
    <row r="361" spans="1:7">
      <c r="A361" s="2987" t="s">
        <v>2846</v>
      </c>
      <c r="B361" s="2976" t="s">
        <v>153</v>
      </c>
      <c r="C361" s="2977">
        <v>0.15</v>
      </c>
      <c r="D361" s="2977">
        <v>0.15</v>
      </c>
      <c r="E361" s="2977">
        <v>0.15</v>
      </c>
      <c r="F361" s="2977">
        <v>0.115</v>
      </c>
      <c r="G361" s="2978">
        <v>0.15</v>
      </c>
    </row>
    <row r="362" spans="1:7">
      <c r="A362" s="2987" t="s">
        <v>2846</v>
      </c>
      <c r="B362" s="2976" t="s">
        <v>2879</v>
      </c>
      <c r="C362" s="2977">
        <v>0.15</v>
      </c>
      <c r="D362" s="2977">
        <v>0.15</v>
      </c>
      <c r="E362" s="2977">
        <v>0.15</v>
      </c>
      <c r="F362" s="2977">
        <v>0.106</v>
      </c>
      <c r="G362" s="2978">
        <v>0.15</v>
      </c>
    </row>
    <row r="363" spans="1:7">
      <c r="A363" s="2987" t="s">
        <v>2846</v>
      </c>
      <c r="B363" s="2976" t="s">
        <v>2884</v>
      </c>
      <c r="C363" s="2977">
        <v>0.15</v>
      </c>
      <c r="D363" s="2977">
        <v>0.15</v>
      </c>
      <c r="E363" s="2977">
        <v>0.15</v>
      </c>
      <c r="F363" s="2977">
        <v>0.14699999999999999</v>
      </c>
      <c r="G363" s="2978">
        <v>0.15</v>
      </c>
    </row>
    <row r="364" spans="1:7">
      <c r="A364" s="2987" t="s">
        <v>2846</v>
      </c>
      <c r="B364" s="2976" t="s">
        <v>2888</v>
      </c>
      <c r="C364" s="2977">
        <v>0.15</v>
      </c>
      <c r="D364" s="2977">
        <v>0.15</v>
      </c>
      <c r="E364" s="2977">
        <v>0.15</v>
      </c>
      <c r="F364" s="2977">
        <v>0.14799999999999999</v>
      </c>
      <c r="G364" s="2978">
        <v>0.15</v>
      </c>
    </row>
    <row r="365" spans="1:7">
      <c r="A365" s="2987" t="s">
        <v>2846</v>
      </c>
      <c r="B365" s="2976" t="s">
        <v>200</v>
      </c>
      <c r="C365" s="2977">
        <v>0.15</v>
      </c>
      <c r="D365" s="2977">
        <v>0.15</v>
      </c>
      <c r="E365" s="2977">
        <v>0.15</v>
      </c>
      <c r="F365" s="2977">
        <v>0.15</v>
      </c>
      <c r="G365" s="2978">
        <v>0.15</v>
      </c>
    </row>
    <row r="366" spans="1:7">
      <c r="A366" s="2987" t="s">
        <v>2846</v>
      </c>
      <c r="B366" s="2976" t="s">
        <v>2891</v>
      </c>
      <c r="C366" s="2977">
        <v>0.15</v>
      </c>
      <c r="D366" s="2977">
        <v>0.15</v>
      </c>
      <c r="E366" s="2977">
        <v>0.15</v>
      </c>
      <c r="F366" s="2977">
        <v>0.15</v>
      </c>
      <c r="G366" s="2978">
        <v>0.15</v>
      </c>
    </row>
    <row r="367" spans="1:7">
      <c r="A367" s="2987" t="s">
        <v>2846</v>
      </c>
      <c r="B367" s="2976" t="s">
        <v>2894</v>
      </c>
      <c r="C367" s="2977">
        <v>0.15</v>
      </c>
      <c r="D367" s="2977">
        <v>0.15</v>
      </c>
      <c r="E367" s="2977">
        <v>0.15</v>
      </c>
      <c r="F367" s="2977">
        <v>0.14699999999999999</v>
      </c>
      <c r="G367" s="2978">
        <v>0.15</v>
      </c>
    </row>
    <row r="368" spans="1:7">
      <c r="A368" s="2987" t="s">
        <v>2846</v>
      </c>
      <c r="B368" s="2976" t="s">
        <v>2899</v>
      </c>
      <c r="C368" s="2977">
        <v>0.15</v>
      </c>
      <c r="D368" s="2977">
        <v>0.15</v>
      </c>
      <c r="E368" s="2977">
        <v>0.15</v>
      </c>
      <c r="F368" s="2977">
        <v>0.13600000000000001</v>
      </c>
      <c r="G368" s="2978">
        <v>0.15</v>
      </c>
    </row>
    <row r="369" spans="1:7">
      <c r="A369" s="2987" t="s">
        <v>2846</v>
      </c>
      <c r="B369" s="2976" t="s">
        <v>214</v>
      </c>
      <c r="C369" s="2977">
        <v>0.15</v>
      </c>
      <c r="D369" s="2977">
        <v>0.15</v>
      </c>
      <c r="E369" s="2977">
        <v>0.15</v>
      </c>
      <c r="F369" s="2977">
        <v>0.14399999999999999</v>
      </c>
      <c r="G369" s="2978">
        <v>0.15</v>
      </c>
    </row>
    <row r="370" spans="1:7">
      <c r="A370" s="2987" t="s">
        <v>2846</v>
      </c>
      <c r="B370" s="2976" t="s">
        <v>221</v>
      </c>
      <c r="C370" s="2977">
        <v>0.15</v>
      </c>
      <c r="D370" s="2977">
        <v>0.15</v>
      </c>
      <c r="E370" s="2977">
        <v>0.15</v>
      </c>
      <c r="F370" s="2977">
        <v>0.14599999999999999</v>
      </c>
      <c r="G370" s="2978">
        <v>0.15</v>
      </c>
    </row>
    <row r="371" spans="1:7">
      <c r="A371" s="2987" t="s">
        <v>2846</v>
      </c>
      <c r="B371" s="2976" t="s">
        <v>229</v>
      </c>
      <c r="C371" s="2977">
        <v>0.15</v>
      </c>
      <c r="D371" s="2977">
        <v>0.15</v>
      </c>
      <c r="E371" s="2977">
        <v>0.15</v>
      </c>
      <c r="F371" s="2977">
        <v>0.12</v>
      </c>
      <c r="G371" s="2978">
        <v>0.15</v>
      </c>
    </row>
    <row r="372" spans="1:7">
      <c r="A372" s="2987" t="s">
        <v>2846</v>
      </c>
      <c r="B372" s="2976" t="s">
        <v>2907</v>
      </c>
      <c r="C372" s="2977">
        <v>0.15</v>
      </c>
      <c r="D372" s="2977">
        <v>0.15</v>
      </c>
      <c r="E372" s="2977">
        <v>0.15</v>
      </c>
      <c r="F372" s="2977">
        <v>0.14299999999999999</v>
      </c>
      <c r="G372" s="2978">
        <v>0.15</v>
      </c>
    </row>
    <row r="373" spans="1:7">
      <c r="A373" s="2987" t="s">
        <v>2846</v>
      </c>
      <c r="B373" s="2976" t="s">
        <v>258</v>
      </c>
      <c r="C373" s="2977">
        <v>0.15</v>
      </c>
      <c r="D373" s="2977">
        <v>0.15</v>
      </c>
      <c r="E373" s="2977">
        <v>0.15</v>
      </c>
      <c r="F373" s="2977">
        <v>0.14599999999999999</v>
      </c>
      <c r="G373" s="2978">
        <v>0.15</v>
      </c>
    </row>
    <row r="374" spans="1:7">
      <c r="A374" s="2987" t="s">
        <v>2846</v>
      </c>
      <c r="B374" s="2976" t="s">
        <v>266</v>
      </c>
      <c r="C374" s="2977">
        <v>0.15</v>
      </c>
      <c r="D374" s="2977">
        <v>0.15</v>
      </c>
      <c r="E374" s="2977">
        <v>0.15</v>
      </c>
      <c r="F374" s="2977">
        <v>0.14399999999999999</v>
      </c>
      <c r="G374" s="2978">
        <v>0.15</v>
      </c>
    </row>
    <row r="375" spans="1:7">
      <c r="A375" s="2987" t="s">
        <v>2846</v>
      </c>
      <c r="B375" s="2976" t="s">
        <v>2915</v>
      </c>
      <c r="C375" s="2977">
        <v>0.15</v>
      </c>
      <c r="D375" s="2977">
        <v>0.15</v>
      </c>
      <c r="E375" s="2977">
        <v>0.15</v>
      </c>
      <c r="F375" s="2977">
        <v>0.13</v>
      </c>
      <c r="G375" s="2978">
        <v>0.15</v>
      </c>
    </row>
    <row r="376" spans="1:7">
      <c r="A376" s="2987" t="s">
        <v>2846</v>
      </c>
      <c r="B376" s="2976" t="s">
        <v>277</v>
      </c>
      <c r="C376" s="2977">
        <v>0.15</v>
      </c>
      <c r="D376" s="2977">
        <v>0.15</v>
      </c>
      <c r="E376" s="2977">
        <v>0.15</v>
      </c>
      <c r="F376" s="2977">
        <v>0.14199999999999999</v>
      </c>
      <c r="G376" s="2978">
        <v>0.15</v>
      </c>
    </row>
    <row r="377" spans="1:7" ht="15" thickBot="1">
      <c r="A377" s="2990" t="s">
        <v>2846</v>
      </c>
      <c r="B377" s="2980" t="s">
        <v>2921</v>
      </c>
      <c r="C377" s="2981">
        <v>0.15</v>
      </c>
      <c r="D377" s="2981">
        <v>0.15</v>
      </c>
      <c r="E377" s="2981">
        <v>0.15</v>
      </c>
      <c r="F377" s="2981">
        <v>0.14000000000000001</v>
      </c>
      <c r="G377" s="2983">
        <v>0.15</v>
      </c>
    </row>
    <row r="378" spans="1:7">
      <c r="A378" s="2986" t="s">
        <v>2847</v>
      </c>
      <c r="B378" s="2972" t="s">
        <v>2861</v>
      </c>
      <c r="C378" s="2973">
        <v>0.15</v>
      </c>
      <c r="D378" s="2973">
        <v>0.15</v>
      </c>
      <c r="E378" s="2973">
        <v>0.15</v>
      </c>
      <c r="F378" s="2973">
        <v>0.107</v>
      </c>
      <c r="G378" s="2974">
        <v>0.15</v>
      </c>
    </row>
    <row r="379" spans="1:7">
      <c r="A379" s="2987" t="s">
        <v>2847</v>
      </c>
      <c r="B379" s="2976" t="s">
        <v>2867</v>
      </c>
      <c r="C379" s="2977">
        <v>0.15</v>
      </c>
      <c r="D379" s="2977">
        <v>0.15</v>
      </c>
      <c r="E379" s="2977">
        <v>0.15</v>
      </c>
      <c r="F379" s="2977">
        <v>0.115</v>
      </c>
      <c r="G379" s="2978">
        <v>0.14899999999999999</v>
      </c>
    </row>
    <row r="380" spans="1:7">
      <c r="A380" s="2987" t="s">
        <v>2847</v>
      </c>
      <c r="B380" s="2976" t="s">
        <v>2873</v>
      </c>
      <c r="C380" s="2977">
        <v>0.15</v>
      </c>
      <c r="D380" s="2977">
        <v>0.15</v>
      </c>
      <c r="E380" s="2977">
        <v>0.15</v>
      </c>
      <c r="F380" s="2977">
        <v>0.1</v>
      </c>
      <c r="G380" s="2978">
        <v>0.14799999999999999</v>
      </c>
    </row>
    <row r="381" spans="1:7">
      <c r="A381" s="2987" t="s">
        <v>2847</v>
      </c>
      <c r="B381" s="2976" t="s">
        <v>2876</v>
      </c>
      <c r="C381" s="2977">
        <v>0.15</v>
      </c>
      <c r="D381" s="2977">
        <v>0.15</v>
      </c>
      <c r="E381" s="2977">
        <v>0.15</v>
      </c>
      <c r="F381" s="2977">
        <v>0.126</v>
      </c>
      <c r="G381" s="2978">
        <v>0.15</v>
      </c>
    </row>
    <row r="382" spans="1:7">
      <c r="A382" s="2987" t="s">
        <v>2847</v>
      </c>
      <c r="B382" s="2976" t="s">
        <v>2880</v>
      </c>
      <c r="C382" s="2977">
        <v>0.15</v>
      </c>
      <c r="D382" s="2977">
        <v>0.15</v>
      </c>
      <c r="E382" s="2977">
        <v>0.15</v>
      </c>
      <c r="F382" s="2977">
        <v>0.15</v>
      </c>
      <c r="G382" s="2978">
        <v>0.15</v>
      </c>
    </row>
    <row r="383" spans="1:7">
      <c r="A383" s="2987" t="s">
        <v>2847</v>
      </c>
      <c r="B383" s="2976" t="s">
        <v>2885</v>
      </c>
      <c r="C383" s="2977">
        <v>0.15</v>
      </c>
      <c r="D383" s="2977">
        <v>0.15</v>
      </c>
      <c r="E383" s="2977">
        <v>0.15</v>
      </c>
      <c r="F383" s="2977">
        <v>0.14699999999999999</v>
      </c>
      <c r="G383" s="2978">
        <v>0.15</v>
      </c>
    </row>
    <row r="384" spans="1:7" ht="15" thickBot="1">
      <c r="A384" s="2997" t="s">
        <v>2847</v>
      </c>
      <c r="B384" s="2998" t="s">
        <v>2889</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96" t="s">
        <v>3228</v>
      </c>
      <c r="B1" s="3496"/>
      <c r="C1" s="3496"/>
      <c r="D1" s="3496"/>
      <c r="E1" s="3496"/>
      <c r="F1" s="3497"/>
    </row>
    <row r="2" spans="1:6">
      <c r="A2" s="3001" t="s">
        <v>3229</v>
      </c>
    </row>
    <row r="3" spans="1:6">
      <c r="A3" s="3001" t="s">
        <v>3230</v>
      </c>
      <c r="F3" s="3002" t="s">
        <v>3231</v>
      </c>
    </row>
    <row r="4" spans="1:6">
      <c r="A4" s="3003" t="s">
        <v>672</v>
      </c>
      <c r="B4" s="3003" t="s">
        <v>673</v>
      </c>
      <c r="C4" s="3003" t="s">
        <v>21</v>
      </c>
      <c r="D4" s="3003" t="s">
        <v>674</v>
      </c>
      <c r="E4" s="3003" t="s">
        <v>3</v>
      </c>
      <c r="F4" s="3003" t="s">
        <v>3232</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基准地价修正2层!G23</f>
        <v>45831</v>
      </c>
      <c r="B1" s="2928" t="s">
        <v>3373</v>
      </c>
      <c r="C1" s="2929"/>
      <c r="D1" s="2929"/>
      <c r="E1" s="2929"/>
      <c r="F1" s="2929"/>
      <c r="G1" s="2929"/>
      <c r="H1" s="2929"/>
      <c r="I1" s="2929"/>
      <c r="J1" s="2895"/>
      <c r="K1" s="2929" t="s">
        <v>454</v>
      </c>
      <c r="L1" s="2929"/>
      <c r="M1" s="2929"/>
      <c r="N1" s="2929"/>
      <c r="O1" s="2929"/>
      <c r="P1" s="2929"/>
      <c r="Q1" s="2895"/>
      <c r="R1" s="3498" t="s">
        <v>456</v>
      </c>
      <c r="S1" s="3499"/>
      <c r="T1" s="3499"/>
      <c r="U1" s="3499"/>
      <c r="V1" s="3499"/>
      <c r="W1" s="3499"/>
      <c r="X1" s="2895"/>
      <c r="Y1" s="3498" t="s">
        <v>457</v>
      </c>
      <c r="Z1" s="3499"/>
      <c r="AA1" s="3499"/>
      <c r="AB1" s="3499"/>
      <c r="AC1" s="3499"/>
      <c r="AD1" s="3499"/>
    </row>
    <row r="2" spans="1:44" s="2009" customFormat="1" ht="15" thickBot="1">
      <c r="B2" s="2880"/>
      <c r="C2" s="2881"/>
      <c r="D2" s="2010" t="s">
        <v>2806</v>
      </c>
      <c r="E2" s="2011" t="s">
        <v>2807</v>
      </c>
      <c r="F2" s="2011" t="s">
        <v>2808</v>
      </c>
      <c r="G2" s="2011" t="s">
        <v>2809</v>
      </c>
      <c r="H2" s="2011" t="s">
        <v>2810</v>
      </c>
      <c r="I2" s="2011" t="s">
        <v>2627</v>
      </c>
      <c r="J2" s="2882"/>
      <c r="K2" s="2010" t="s">
        <v>2806</v>
      </c>
      <c r="L2" s="2011" t="s">
        <v>2807</v>
      </c>
      <c r="M2" s="2011" t="s">
        <v>2808</v>
      </c>
      <c r="N2" s="2011" t="s">
        <v>2809</v>
      </c>
      <c r="O2" s="2011" t="s">
        <v>2811</v>
      </c>
      <c r="P2" s="2011" t="s">
        <v>2627</v>
      </c>
      <c r="Q2" s="2882"/>
      <c r="R2" s="2010" t="s">
        <v>2806</v>
      </c>
      <c r="S2" s="2011" t="s">
        <v>2807</v>
      </c>
      <c r="T2" s="2011" t="s">
        <v>2808</v>
      </c>
      <c r="U2" s="2011" t="s">
        <v>2812</v>
      </c>
      <c r="V2" s="2011" t="s">
        <v>2813</v>
      </c>
      <c r="W2" s="2011" t="s">
        <v>2627</v>
      </c>
      <c r="X2" s="2882"/>
      <c r="Y2" s="2010" t="s">
        <v>2806</v>
      </c>
      <c r="Z2" s="2011" t="s">
        <v>2807</v>
      </c>
      <c r="AA2" s="2011" t="s">
        <v>2808</v>
      </c>
      <c r="AB2" s="2011" t="s">
        <v>2814</v>
      </c>
      <c r="AC2" s="2011" t="s">
        <v>2813</v>
      </c>
      <c r="AD2" s="2011" t="s">
        <v>2627</v>
      </c>
      <c r="AF2" t="s">
        <v>3400</v>
      </c>
      <c r="AG2" t="s">
        <v>673</v>
      </c>
      <c r="AH2" t="s">
        <v>21</v>
      </c>
      <c r="AI2" t="s">
        <v>3401</v>
      </c>
      <c r="AJ2" t="s">
        <v>3</v>
      </c>
      <c r="AK2" t="s">
        <v>3402</v>
      </c>
      <c r="AM2" t="s">
        <v>3400</v>
      </c>
      <c r="AN2" t="s">
        <v>673</v>
      </c>
      <c r="AO2" t="s">
        <v>21</v>
      </c>
      <c r="AP2" t="s">
        <v>3401</v>
      </c>
      <c r="AQ2" t="s">
        <v>3</v>
      </c>
      <c r="AR2" t="s">
        <v>3402</v>
      </c>
    </row>
    <row r="3" spans="1:44" s="2885" customFormat="1" ht="13.2">
      <c r="A3" s="2883" t="s">
        <v>2815</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8" customFormat="1" ht="13.2">
      <c r="B4" s="2024"/>
      <c r="J4" s="2895"/>
      <c r="K4" s="2896"/>
      <c r="L4" s="2897"/>
      <c r="M4" s="2897"/>
      <c r="N4" s="2897"/>
      <c r="O4" s="2897"/>
      <c r="P4" s="2897"/>
      <c r="Q4" s="2895"/>
      <c r="R4" s="2026"/>
      <c r="S4" s="2898"/>
      <c r="T4" s="2899"/>
      <c r="U4" s="2026"/>
      <c r="V4" s="2900"/>
      <c r="W4" s="2026"/>
      <c r="X4" s="2895"/>
      <c r="Y4" s="2027"/>
      <c r="Z4" s="2901"/>
      <c r="AA4" s="2902"/>
      <c r="AB4" s="2027"/>
      <c r="AC4" s="2903"/>
      <c r="AD4" s="2027"/>
    </row>
    <row r="5" spans="1:44" s="2044" customFormat="1">
      <c r="A5" s="2039" t="s">
        <v>3399</v>
      </c>
      <c r="B5" s="2030">
        <v>2025</v>
      </c>
      <c r="C5" s="2041">
        <v>4</v>
      </c>
      <c r="D5" s="2006">
        <v>0</v>
      </c>
      <c r="E5" s="2006">
        <v>0</v>
      </c>
      <c r="F5" s="2006">
        <v>0</v>
      </c>
      <c r="G5" s="2006">
        <v>0</v>
      </c>
      <c r="H5" s="2006">
        <v>0</v>
      </c>
      <c r="I5" s="2007">
        <f t="shared" ref="I5" si="4">F5</f>
        <v>0</v>
      </c>
      <c r="J5" s="2905"/>
      <c r="K5" s="2042">
        <f t="shared" ref="K5" si="5">D5/100</f>
        <v>0</v>
      </c>
      <c r="L5" s="2027">
        <f t="shared" ref="L5" si="6">E5/100</f>
        <v>0</v>
      </c>
      <c r="M5" s="2027">
        <f t="shared" ref="M5" si="7">F5/100</f>
        <v>0</v>
      </c>
      <c r="N5" s="2027">
        <f t="shared" ref="N5" si="8">G5/100</f>
        <v>0</v>
      </c>
      <c r="O5" s="2027">
        <f t="shared" ref="O5" si="9">H5/100</f>
        <v>0</v>
      </c>
      <c r="P5" s="2027">
        <f t="shared" ref="P5:P11" si="10">M5</f>
        <v>0</v>
      </c>
      <c r="Q5" s="2905"/>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5"/>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4" customFormat="1" ht="13.2">
      <c r="A6" s="2039" t="s">
        <v>3398</v>
      </c>
      <c r="B6" s="2030">
        <v>2025</v>
      </c>
      <c r="C6" s="2041">
        <v>3</v>
      </c>
      <c r="D6" s="2006">
        <v>0</v>
      </c>
      <c r="E6" s="2006">
        <v>0</v>
      </c>
      <c r="F6" s="2006">
        <v>0</v>
      </c>
      <c r="G6" s="2006">
        <v>0</v>
      </c>
      <c r="H6" s="2006">
        <v>0</v>
      </c>
      <c r="I6" s="2007">
        <f t="shared" ref="I6" si="19">F6</f>
        <v>0</v>
      </c>
      <c r="J6" s="2905"/>
      <c r="K6" s="2042">
        <f t="shared" ref="K6" si="20">D6/100</f>
        <v>0</v>
      </c>
      <c r="L6" s="2027">
        <f t="shared" ref="L6" si="21">E6/100</f>
        <v>0</v>
      </c>
      <c r="M6" s="2027">
        <f t="shared" ref="M6" si="22">F6/100</f>
        <v>0</v>
      </c>
      <c r="N6" s="2027">
        <f t="shared" ref="N6" si="23">G6/100</f>
        <v>0</v>
      </c>
      <c r="O6" s="2027">
        <f t="shared" ref="O6" si="24">H6/100</f>
        <v>0</v>
      </c>
      <c r="P6" s="2027">
        <f t="shared" si="10"/>
        <v>0</v>
      </c>
      <c r="Q6" s="2905"/>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5"/>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3397</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4" customFormat="1" ht="13.2">
      <c r="A8" s="2039" t="s">
        <v>3405</v>
      </c>
      <c r="B8" s="2030">
        <v>2025</v>
      </c>
      <c r="C8" s="2041">
        <v>1</v>
      </c>
      <c r="D8" s="2006">
        <v>0.56999999999999995</v>
      </c>
      <c r="E8" s="2006">
        <v>-0.56999999999999995</v>
      </c>
      <c r="F8" s="2006">
        <v>-0.9</v>
      </c>
      <c r="G8" s="2006">
        <v>1.1200000000000001</v>
      </c>
      <c r="H8" s="2006">
        <v>0.42</v>
      </c>
      <c r="I8" s="2007">
        <f t="shared" ref="I8" si="54">F8</f>
        <v>-0.9</v>
      </c>
      <c r="J8" s="2905"/>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5"/>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5"/>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4" customFormat="1" ht="13.2">
      <c r="A9" s="2039" t="s">
        <v>3404</v>
      </c>
      <c r="B9" s="2030">
        <v>2024</v>
      </c>
      <c r="C9" s="2041">
        <v>4</v>
      </c>
      <c r="D9" s="2006">
        <v>-1.02</v>
      </c>
      <c r="E9" s="2006">
        <v>-0.48</v>
      </c>
      <c r="F9" s="2006">
        <v>-0.75</v>
      </c>
      <c r="G9" s="2006">
        <v>-1.05</v>
      </c>
      <c r="H9" s="2006">
        <v>0.08</v>
      </c>
      <c r="I9" s="2007">
        <f t="shared" ref="I9" si="65">F9</f>
        <v>-0.75</v>
      </c>
      <c r="J9" s="2905"/>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5"/>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5"/>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4" customFormat="1" ht="13.2">
      <c r="A10" s="2039" t="s">
        <v>3377</v>
      </c>
      <c r="B10" s="2030">
        <v>2024</v>
      </c>
      <c r="C10" s="2041">
        <v>3</v>
      </c>
      <c r="D10" s="2006">
        <v>-1.19</v>
      </c>
      <c r="E10" s="2006">
        <v>-0.47</v>
      </c>
      <c r="F10" s="2006">
        <v>-0.28999999999999998</v>
      </c>
      <c r="G10" s="2006">
        <v>-0.74</v>
      </c>
      <c r="H10" s="2006">
        <v>-0.21</v>
      </c>
      <c r="I10" s="2007">
        <f t="shared" ref="I10" si="76">F10</f>
        <v>-0.28999999999999998</v>
      </c>
      <c r="J10" s="2905"/>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5"/>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5"/>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4" customFormat="1" ht="13.2">
      <c r="A11" s="2904" t="s">
        <v>3371</v>
      </c>
      <c r="B11" s="2030">
        <v>2024</v>
      </c>
      <c r="C11" s="2041">
        <v>2</v>
      </c>
      <c r="D11" s="2006">
        <v>-0.59</v>
      </c>
      <c r="E11" s="2006">
        <v>-0.21</v>
      </c>
      <c r="F11" s="2006">
        <v>-1.38</v>
      </c>
      <c r="G11" s="2006">
        <v>-1.24</v>
      </c>
      <c r="H11" s="2916">
        <v>0.34</v>
      </c>
      <c r="I11" s="2007">
        <f t="shared" ref="I11:I24" si="87">F11</f>
        <v>-1.38</v>
      </c>
      <c r="J11" s="2905"/>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5"/>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5"/>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4" customFormat="1" ht="13.2">
      <c r="A12" s="2904" t="s">
        <v>3370</v>
      </c>
      <c r="B12" s="2030">
        <v>2024</v>
      </c>
      <c r="C12" s="2041">
        <v>1</v>
      </c>
      <c r="D12" s="2006">
        <v>0.08</v>
      </c>
      <c r="E12" s="2006">
        <v>0.46</v>
      </c>
      <c r="F12" s="2006">
        <v>-0.16</v>
      </c>
      <c r="G12" s="2006">
        <v>0.26</v>
      </c>
      <c r="H12" s="2916">
        <v>0.59</v>
      </c>
      <c r="I12" s="2007">
        <f t="shared" si="87"/>
        <v>-0.16</v>
      </c>
      <c r="J12" s="2905"/>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5"/>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5"/>
      <c r="Y12" s="2027"/>
      <c r="Z12" s="2027"/>
      <c r="AA12" s="2027"/>
      <c r="AB12" s="2027"/>
      <c r="AC12" s="2027"/>
      <c r="AD12" s="2027"/>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4" customFormat="1" ht="13.2">
      <c r="A13" s="2904" t="s">
        <v>3366</v>
      </c>
      <c r="B13" s="2030">
        <v>2023</v>
      </c>
      <c r="C13" s="2041">
        <v>4</v>
      </c>
      <c r="D13" s="2006">
        <v>0.19</v>
      </c>
      <c r="E13" s="2006">
        <v>0.24</v>
      </c>
      <c r="F13" s="2006">
        <v>-0.16</v>
      </c>
      <c r="G13" s="2006">
        <v>0.17</v>
      </c>
      <c r="H13" s="2916">
        <v>0.61</v>
      </c>
      <c r="I13" s="2007">
        <f>F13</f>
        <v>-0.16</v>
      </c>
      <c r="J13" s="2905"/>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5"/>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5"/>
      <c r="Y13" s="2027"/>
      <c r="Z13" s="2027"/>
      <c r="AA13" s="2027"/>
      <c r="AB13" s="2027"/>
      <c r="AC13" s="2027"/>
      <c r="AD13" s="2027"/>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4" customFormat="1" ht="13.2">
      <c r="A14" s="2904" t="s">
        <v>3365</v>
      </c>
      <c r="B14" s="2030">
        <v>2023</v>
      </c>
      <c r="C14" s="2041">
        <v>3</v>
      </c>
      <c r="D14" s="2006">
        <v>0.25</v>
      </c>
      <c r="E14" s="2006">
        <v>0.5</v>
      </c>
      <c r="F14" s="2006">
        <v>0.31</v>
      </c>
      <c r="G14" s="2006">
        <v>0.21</v>
      </c>
      <c r="H14" s="2916">
        <v>0.43</v>
      </c>
      <c r="I14" s="2007">
        <f t="shared" si="87"/>
        <v>0.31</v>
      </c>
      <c r="J14" s="2905"/>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5"/>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5"/>
      <c r="Y14" s="2027"/>
      <c r="Z14" s="2027"/>
      <c r="AA14" s="2027"/>
      <c r="AB14" s="2027"/>
      <c r="AC14" s="2027"/>
      <c r="AD14" s="2027"/>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4" customFormat="1" ht="13.2">
      <c r="A15" s="2904" t="s">
        <v>3363</v>
      </c>
      <c r="B15" s="2030">
        <v>2023</v>
      </c>
      <c r="C15" s="2041">
        <v>2</v>
      </c>
      <c r="D15" s="2006">
        <v>0.91</v>
      </c>
      <c r="E15" s="2006">
        <v>0.66</v>
      </c>
      <c r="F15" s="2006">
        <v>0.47</v>
      </c>
      <c r="G15" s="2006">
        <v>0.96</v>
      </c>
      <c r="H15" s="2916">
        <v>0.71</v>
      </c>
      <c r="I15" s="2007">
        <f t="shared" si="87"/>
        <v>0.47</v>
      </c>
      <c r="J15" s="2905"/>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5"/>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5"/>
      <c r="Y15" s="2027"/>
      <c r="Z15" s="2027"/>
      <c r="AA15" s="2027"/>
      <c r="AB15" s="2027"/>
      <c r="AC15" s="2027"/>
      <c r="AD15" s="2027"/>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4" customFormat="1" ht="13.2">
      <c r="A16" s="2904" t="s">
        <v>3362</v>
      </c>
      <c r="B16" s="2030">
        <v>2023</v>
      </c>
      <c r="C16" s="2041">
        <v>1</v>
      </c>
      <c r="D16" s="2006">
        <v>0.89</v>
      </c>
      <c r="E16" s="2006">
        <v>0.74</v>
      </c>
      <c r="F16" s="2006">
        <v>0.56999999999999995</v>
      </c>
      <c r="G16" s="2006">
        <v>0.92</v>
      </c>
      <c r="H16" s="2916">
        <v>0.5</v>
      </c>
      <c r="I16" s="2007">
        <f t="shared" si="87"/>
        <v>0.56999999999999995</v>
      </c>
      <c r="J16" s="2905"/>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5"/>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5"/>
      <c r="Y16" s="2027"/>
      <c r="Z16" s="2027"/>
      <c r="AA16" s="2027"/>
      <c r="AB16" s="2027"/>
      <c r="AC16" s="2027"/>
      <c r="AD16" s="2027"/>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4" customFormat="1" ht="13.2">
      <c r="A17" s="2904" t="s">
        <v>3361</v>
      </c>
      <c r="B17" s="2030">
        <v>2022</v>
      </c>
      <c r="C17" s="2041">
        <v>4</v>
      </c>
      <c r="D17" s="2006">
        <v>0.62</v>
      </c>
      <c r="E17" s="2006">
        <v>0.2</v>
      </c>
      <c r="F17" s="2006">
        <v>0.11</v>
      </c>
      <c r="G17" s="2006">
        <v>0.69</v>
      </c>
      <c r="H17" s="2916">
        <v>0.53</v>
      </c>
      <c r="I17" s="2007">
        <f t="shared" si="87"/>
        <v>0.11</v>
      </c>
      <c r="J17" s="2905"/>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5"/>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5"/>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4" customFormat="1" ht="13.2">
      <c r="A18" s="2904" t="s">
        <v>3359</v>
      </c>
      <c r="B18" s="2030">
        <v>2022</v>
      </c>
      <c r="C18" s="2041">
        <v>3</v>
      </c>
      <c r="D18" s="2006">
        <v>0.66</v>
      </c>
      <c r="E18" s="2006">
        <v>0.32</v>
      </c>
      <c r="F18" s="2006">
        <v>0.23</v>
      </c>
      <c r="G18" s="2006">
        <v>0.72</v>
      </c>
      <c r="H18" s="2916">
        <v>0.63</v>
      </c>
      <c r="I18" s="2007">
        <f t="shared" si="87"/>
        <v>0.23</v>
      </c>
      <c r="J18" s="2905"/>
      <c r="K18" s="2042">
        <f t="shared" si="88"/>
        <v>6.6E-3</v>
      </c>
      <c r="L18" s="2027">
        <f t="shared" si="88"/>
        <v>3.2000000000000002E-3</v>
      </c>
      <c r="M18" s="2027">
        <f t="shared" si="88"/>
        <v>2.3E-3</v>
      </c>
      <c r="N18" s="2027">
        <f t="shared" si="88"/>
        <v>7.1999999999999998E-3</v>
      </c>
      <c r="O18" s="2027">
        <f t="shared" si="88"/>
        <v>6.3E-3</v>
      </c>
      <c r="P18" s="2027">
        <f t="shared" si="108"/>
        <v>2.3E-3</v>
      </c>
      <c r="Q18" s="2905"/>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5"/>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4" customFormat="1" ht="13.2">
      <c r="A19" s="2904" t="s">
        <v>3350</v>
      </c>
      <c r="B19" s="2030">
        <v>2022</v>
      </c>
      <c r="C19" s="2041">
        <v>2</v>
      </c>
      <c r="D19" s="2006">
        <v>0.93</v>
      </c>
      <c r="E19" s="2006">
        <v>0.15</v>
      </c>
      <c r="F19" s="2006">
        <v>0.01</v>
      </c>
      <c r="G19" s="2006">
        <v>1.05</v>
      </c>
      <c r="H19" s="2916">
        <v>1.08</v>
      </c>
      <c r="I19" s="2007">
        <f t="shared" si="87"/>
        <v>0.01</v>
      </c>
      <c r="J19" s="2905"/>
      <c r="K19" s="2042">
        <f t="shared" si="88"/>
        <v>9.300000000000001E-3</v>
      </c>
      <c r="L19" s="2027">
        <f t="shared" si="88"/>
        <v>1.5E-3</v>
      </c>
      <c r="M19" s="2027">
        <f t="shared" si="88"/>
        <v>1E-4</v>
      </c>
      <c r="N19" s="2027">
        <f t="shared" si="88"/>
        <v>1.0500000000000001E-2</v>
      </c>
      <c r="O19" s="2027">
        <f t="shared" si="88"/>
        <v>1.0800000000000001E-2</v>
      </c>
      <c r="P19" s="2027">
        <f t="shared" si="108"/>
        <v>1E-4</v>
      </c>
      <c r="Q19" s="2905"/>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5"/>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4" customFormat="1" ht="13.2">
      <c r="A20" s="2904" t="s">
        <v>2816</v>
      </c>
      <c r="B20" s="2030">
        <v>2022</v>
      </c>
      <c r="C20" s="2041">
        <v>1</v>
      </c>
      <c r="D20" s="2006">
        <v>0.89</v>
      </c>
      <c r="E20" s="2006">
        <v>0.44</v>
      </c>
      <c r="F20" s="2006">
        <v>0.37</v>
      </c>
      <c r="G20" s="2006">
        <v>0.96</v>
      </c>
      <c r="H20" s="2916">
        <v>0.64</v>
      </c>
      <c r="I20" s="2007">
        <f t="shared" si="87"/>
        <v>0.37</v>
      </c>
      <c r="J20" s="2905"/>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5"/>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5"/>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4" customFormat="1" ht="13.2">
      <c r="A21" s="2904" t="s">
        <v>2817</v>
      </c>
      <c r="B21" s="2030">
        <v>2021</v>
      </c>
      <c r="C21" s="2041">
        <v>4</v>
      </c>
      <c r="D21" s="2006">
        <v>1.03</v>
      </c>
      <c r="E21" s="2006">
        <v>0.24</v>
      </c>
      <c r="F21" s="2006">
        <v>7.0000000000000007E-2</v>
      </c>
      <c r="G21" s="2006">
        <v>1.17</v>
      </c>
      <c r="H21" s="2916">
        <v>0.55000000000000004</v>
      </c>
      <c r="I21" s="2007">
        <f t="shared" si="87"/>
        <v>7.0000000000000007E-2</v>
      </c>
      <c r="J21" s="2905"/>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5"/>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5"/>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4" customFormat="1" ht="13.2">
      <c r="A22" s="2904" t="s">
        <v>2818</v>
      </c>
      <c r="B22" s="2030">
        <v>2021</v>
      </c>
      <c r="C22" s="2041">
        <v>3</v>
      </c>
      <c r="D22" s="2006">
        <v>0.47</v>
      </c>
      <c r="E22" s="2006">
        <v>0.41</v>
      </c>
      <c r="F22" s="2006">
        <v>0.24</v>
      </c>
      <c r="G22" s="2006">
        <v>0.48</v>
      </c>
      <c r="H22" s="2916">
        <v>0.48</v>
      </c>
      <c r="I22" s="2007">
        <f t="shared" si="87"/>
        <v>0.24</v>
      </c>
      <c r="J22" s="2905"/>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5"/>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5"/>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4" customFormat="1" ht="13.2">
      <c r="A23" s="2904" t="s">
        <v>2819</v>
      </c>
      <c r="B23" s="2030">
        <v>2021</v>
      </c>
      <c r="C23" s="2041">
        <v>2</v>
      </c>
      <c r="D23" s="2006">
        <v>0.92</v>
      </c>
      <c r="E23" s="2006">
        <v>0.72</v>
      </c>
      <c r="F23" s="2006">
        <v>0.41</v>
      </c>
      <c r="G23" s="2006">
        <v>0.95</v>
      </c>
      <c r="H23" s="2916">
        <v>1.01</v>
      </c>
      <c r="I23" s="2007">
        <f t="shared" si="87"/>
        <v>0.41</v>
      </c>
      <c r="J23" s="2905"/>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5"/>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5"/>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2820</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3376</v>
      </c>
    </row>
    <row r="27" spans="1:44">
      <c r="I27" s="1405" t="s">
        <v>2821</v>
      </c>
    </row>
    <row r="29" spans="1:44" s="2008" customFormat="1" ht="13.2">
      <c r="B29" s="2928" t="s">
        <v>3374</v>
      </c>
      <c r="C29" s="2929"/>
      <c r="D29" s="2929"/>
      <c r="E29" s="2929"/>
      <c r="F29" s="2929"/>
      <c r="G29" s="2929"/>
      <c r="H29" s="2929"/>
      <c r="I29" s="2929"/>
      <c r="J29" s="2895"/>
      <c r="K29" s="2929" t="s">
        <v>2822</v>
      </c>
      <c r="L29" s="2929"/>
      <c r="M29" s="2929"/>
      <c r="N29" s="2929"/>
      <c r="O29" s="2929"/>
      <c r="P29" s="2929"/>
      <c r="Q29" s="2895"/>
      <c r="R29" s="3498" t="s">
        <v>2823</v>
      </c>
      <c r="S29" s="3499"/>
      <c r="T29" s="3499"/>
      <c r="U29" s="3499"/>
      <c r="V29" s="3499"/>
      <c r="W29" s="3499"/>
      <c r="X29" s="2895"/>
      <c r="Y29" s="3498" t="s">
        <v>2824</v>
      </c>
      <c r="Z29" s="3499"/>
      <c r="AA29" s="3499"/>
      <c r="AB29" s="3499"/>
      <c r="AC29" s="3499"/>
      <c r="AD29" s="3499"/>
    </row>
    <row r="30" spans="1:44" s="2009" customFormat="1" ht="15" thickBot="1">
      <c r="B30" s="2880"/>
      <c r="C30" s="2881"/>
      <c r="D30" s="2010" t="s">
        <v>2825</v>
      </c>
      <c r="E30" s="2011" t="s">
        <v>2826</v>
      </c>
      <c r="F30" s="2011" t="s">
        <v>2827</v>
      </c>
      <c r="G30" s="2011" t="s">
        <v>2828</v>
      </c>
      <c r="H30" s="2011"/>
      <c r="I30" s="2011" t="s">
        <v>2829</v>
      </c>
      <c r="J30" s="2882"/>
      <c r="K30" s="2010" t="s">
        <v>2825</v>
      </c>
      <c r="L30" s="2011" t="s">
        <v>2826</v>
      </c>
      <c r="M30" s="2011" t="s">
        <v>2827</v>
      </c>
      <c r="N30" s="2011" t="s">
        <v>2828</v>
      </c>
      <c r="O30" s="2011"/>
      <c r="P30" s="2011" t="s">
        <v>2829</v>
      </c>
      <c r="Q30" s="2882"/>
      <c r="R30" s="2010" t="s">
        <v>2825</v>
      </c>
      <c r="S30" s="2011" t="s">
        <v>2826</v>
      </c>
      <c r="T30" s="2011" t="s">
        <v>2827</v>
      </c>
      <c r="U30" s="2011" t="s">
        <v>2828</v>
      </c>
      <c r="V30" s="2011"/>
      <c r="W30" s="2011" t="s">
        <v>2829</v>
      </c>
      <c r="X30" s="2882"/>
      <c r="Y30" s="2010" t="s">
        <v>2825</v>
      </c>
      <c r="Z30" s="2011" t="s">
        <v>2826</v>
      </c>
      <c r="AA30" s="2011" t="s">
        <v>2827</v>
      </c>
      <c r="AB30" s="2011" t="s">
        <v>2828</v>
      </c>
      <c r="AC30" s="2011"/>
      <c r="AD30" s="2011" t="s">
        <v>2829</v>
      </c>
      <c r="AG30" t="s">
        <v>673</v>
      </c>
      <c r="AH30" t="s">
        <v>21</v>
      </c>
      <c r="AI30" t="s">
        <v>3401</v>
      </c>
      <c r="AJ30"/>
      <c r="AK30" t="s">
        <v>3402</v>
      </c>
      <c r="AN30" t="s">
        <v>673</v>
      </c>
      <c r="AO30" t="s">
        <v>21</v>
      </c>
      <c r="AP30" t="s">
        <v>3401</v>
      </c>
      <c r="AQ30"/>
      <c r="AR30" t="s">
        <v>3402</v>
      </c>
    </row>
    <row r="31" spans="1:44" s="2885" customFormat="1" ht="13.2">
      <c r="A31" s="2883" t="s">
        <v>2830</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8" customFormat="1" ht="13.2">
      <c r="B32" s="2024"/>
      <c r="J32" s="2895"/>
      <c r="K32" s="2896"/>
      <c r="L32" s="2897"/>
      <c r="M32" s="2897"/>
      <c r="N32" s="2897"/>
      <c r="O32" s="2897"/>
      <c r="P32" s="2897"/>
      <c r="Q32" s="2895"/>
      <c r="R32" s="2026"/>
      <c r="S32" s="2898"/>
      <c r="T32" s="2899"/>
      <c r="U32" s="2026"/>
      <c r="V32" s="2900"/>
      <c r="W32" s="2026"/>
      <c r="X32" s="2895"/>
      <c r="Y32" s="2027"/>
      <c r="Z32" s="2901"/>
      <c r="AA32" s="2902"/>
      <c r="AB32" s="2027"/>
      <c r="AC32" s="2903"/>
      <c r="AD32" s="2027"/>
    </row>
    <row r="33" spans="1:44" s="2044" customFormat="1">
      <c r="A33" s="2039" t="s">
        <v>3399</v>
      </c>
      <c r="B33" s="2030">
        <v>2025</v>
      </c>
      <c r="C33" s="2041">
        <v>4</v>
      </c>
      <c r="D33" s="2006"/>
      <c r="E33" s="2006">
        <v>0</v>
      </c>
      <c r="F33" s="2006">
        <v>0</v>
      </c>
      <c r="G33" s="2006">
        <v>0</v>
      </c>
      <c r="H33" s="2006"/>
      <c r="I33" s="2007">
        <f t="shared" ref="I33" si="119">F33</f>
        <v>0</v>
      </c>
      <c r="J33" s="2905"/>
      <c r="K33" s="2042"/>
      <c r="L33" s="2027">
        <f t="shared" ref="L33" si="120">E33/100</f>
        <v>0</v>
      </c>
      <c r="M33" s="2027">
        <f t="shared" ref="M33" si="121">F33/100</f>
        <v>0</v>
      </c>
      <c r="N33" s="2027">
        <f t="shared" ref="N33" si="122">G33/100</f>
        <v>0</v>
      </c>
      <c r="O33" s="2027"/>
      <c r="P33" s="2027">
        <f t="shared" ref="P33:P39" si="123">M33</f>
        <v>0</v>
      </c>
      <c r="Q33" s="2905"/>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5"/>
      <c r="Y33" s="2027"/>
      <c r="Z33" s="2901">
        <f t="shared" ref="Z33" si="125">IF(E33=0,0,ROUND(AVERAGE(E33:E46)/100,4))</f>
        <v>0</v>
      </c>
      <c r="AA33" s="2901">
        <f t="shared" ref="AA33" si="126">IF(F33=0,0,ROUND(AVERAGE(F33:F46)/100,4))</f>
        <v>0</v>
      </c>
      <c r="AB33" s="2901">
        <f t="shared" ref="AB33" si="127">IF(G33=0,0,ROUND(AVERAGE(G33:G46)/100,4))</f>
        <v>0</v>
      </c>
      <c r="AC33" s="2903"/>
      <c r="AD33" s="2027">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4" customFormat="1" ht="13.2">
      <c r="A34" s="2039" t="s">
        <v>3398</v>
      </c>
      <c r="B34" s="2030">
        <v>2025</v>
      </c>
      <c r="C34" s="2041">
        <v>3</v>
      </c>
      <c r="D34" s="2006"/>
      <c r="E34" s="2006">
        <v>0</v>
      </c>
      <c r="F34" s="2006">
        <v>0</v>
      </c>
      <c r="G34" s="2006">
        <v>0</v>
      </c>
      <c r="H34" s="2006"/>
      <c r="I34" s="2007">
        <f t="shared" ref="I34" si="133">F34</f>
        <v>0</v>
      </c>
      <c r="J34" s="2905"/>
      <c r="K34" s="2042"/>
      <c r="L34" s="2027">
        <f t="shared" ref="L34" si="134">E34/100</f>
        <v>0</v>
      </c>
      <c r="M34" s="2027">
        <f t="shared" ref="M34" si="135">F34/100</f>
        <v>0</v>
      </c>
      <c r="N34" s="2027">
        <f t="shared" ref="N34" si="136">G34/100</f>
        <v>0</v>
      </c>
      <c r="O34" s="2027"/>
      <c r="P34" s="2027">
        <f t="shared" si="123"/>
        <v>0</v>
      </c>
      <c r="Q34" s="2905"/>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5"/>
      <c r="Y34" s="2027"/>
      <c r="Z34" s="2901">
        <f t="shared" ref="Z34" si="137">IF(E34=0,0,ROUND(AVERAGE(E34:E47)/100,4))</f>
        <v>0</v>
      </c>
      <c r="AA34" s="2901">
        <f t="shared" ref="AA34" si="138">IF(F34=0,0,ROUND(AVERAGE(F34:F47)/100,4))</f>
        <v>0</v>
      </c>
      <c r="AB34" s="2901">
        <f t="shared" ref="AB34" si="139">IF(G34=0,0,ROUND(AVERAGE(G34:G47)/100,4))</f>
        <v>0</v>
      </c>
      <c r="AC34" s="2903"/>
      <c r="AD34" s="2027">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3406</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4" customFormat="1" ht="13.2">
      <c r="A36" s="2039" t="s">
        <v>3403</v>
      </c>
      <c r="B36" s="2030">
        <v>2025</v>
      </c>
      <c r="C36" s="2041">
        <v>1</v>
      </c>
      <c r="D36" s="2006"/>
      <c r="E36" s="2006">
        <v>-1.47</v>
      </c>
      <c r="F36" s="2006">
        <v>-0.98</v>
      </c>
      <c r="G36" s="2006">
        <v>-0.51</v>
      </c>
      <c r="H36" s="2006"/>
      <c r="I36" s="2007">
        <f t="shared" ref="I36" si="152">F36</f>
        <v>-0.98</v>
      </c>
      <c r="J36" s="2905"/>
      <c r="K36" s="2042"/>
      <c r="L36" s="2027">
        <f t="shared" ref="L36" si="153">E36/100</f>
        <v>-1.47E-2</v>
      </c>
      <c r="M36" s="2027">
        <f t="shared" ref="M36" si="154">F36/100</f>
        <v>-9.7999999999999997E-3</v>
      </c>
      <c r="N36" s="2027">
        <f t="shared" ref="N36" si="155">G36/100</f>
        <v>-5.1000000000000004E-3</v>
      </c>
      <c r="O36" s="2027"/>
      <c r="P36" s="2027">
        <f t="shared" si="123"/>
        <v>-9.7999999999999997E-3</v>
      </c>
      <c r="Q36" s="2905"/>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5"/>
      <c r="Y36" s="2027"/>
      <c r="Z36" s="2901">
        <f t="shared" ref="Z36" si="156">IF(E36=0,0,ROUND(AVERAGE(E36:E49)/100,4))</f>
        <v>4.0000000000000002E-4</v>
      </c>
      <c r="AA36" s="2901">
        <f t="shared" ref="AA36" si="157">IF(F36=0,0,ROUND(AVERAGE(F36:F49)/100,4))</f>
        <v>0</v>
      </c>
      <c r="AB36" s="2901">
        <f t="shared" ref="AB36" si="158">IF(G36=0,0,ROUND(AVERAGE(G36:G49)/100,4))</f>
        <v>1E-3</v>
      </c>
      <c r="AC36" s="2903"/>
      <c r="AD36" s="2027">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4" customFormat="1" ht="13.2">
      <c r="A37" s="2039" t="s">
        <v>3404</v>
      </c>
      <c r="B37" s="2030">
        <v>2024</v>
      </c>
      <c r="C37" s="2041">
        <v>4</v>
      </c>
      <c r="D37" s="2006"/>
      <c r="E37" s="2006">
        <v>-0.61</v>
      </c>
      <c r="F37" s="2006">
        <v>-0.71</v>
      </c>
      <c r="G37" s="2006">
        <v>-0.88</v>
      </c>
      <c r="H37" s="2006"/>
      <c r="I37" s="2007">
        <f t="shared" ref="I37" si="162">F37</f>
        <v>-0.71</v>
      </c>
      <c r="J37" s="2905"/>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5"/>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5"/>
      <c r="Y37" s="2027"/>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7">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4" customFormat="1" ht="13.2">
      <c r="A38" s="2039" t="s">
        <v>3368</v>
      </c>
      <c r="B38" s="2030">
        <v>2024</v>
      </c>
      <c r="C38" s="2041">
        <v>3</v>
      </c>
      <c r="D38" s="2006"/>
      <c r="E38" s="2006">
        <v>-0.66</v>
      </c>
      <c r="F38" s="2006">
        <v>-0.52</v>
      </c>
      <c r="G38" s="2006">
        <v>-2.87</v>
      </c>
      <c r="H38" s="2006"/>
      <c r="I38" s="2007">
        <f t="shared" ref="I38" si="169">F38</f>
        <v>-0.52</v>
      </c>
      <c r="J38" s="2905"/>
      <c r="K38" s="2042"/>
      <c r="L38" s="2027">
        <f t="shared" ref="L38" si="170">E38/100</f>
        <v>-6.6E-3</v>
      </c>
      <c r="M38" s="2027">
        <f t="shared" ref="M38" si="171">F38/100</f>
        <v>-5.1999999999999998E-3</v>
      </c>
      <c r="N38" s="2027">
        <f t="shared" ref="N38" si="172">G38/100</f>
        <v>-2.87E-2</v>
      </c>
      <c r="O38" s="2027"/>
      <c r="P38" s="2027">
        <f t="shared" si="123"/>
        <v>-5.1999999999999998E-3</v>
      </c>
      <c r="Q38" s="2905"/>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5"/>
      <c r="Y38" s="2027"/>
      <c r="Z38" s="2901">
        <f t="shared" ref="Z38:AB39" si="173">IF(E38=0,0,ROUND(AVERAGE(E38:E51)/100,4))</f>
        <v>2.5999999999999999E-3</v>
      </c>
      <c r="AA38" s="2901">
        <f t="shared" si="173"/>
        <v>1.6999999999999999E-3</v>
      </c>
      <c r="AB38" s="2901">
        <f t="shared" si="173"/>
        <v>3.3999999999999998E-3</v>
      </c>
      <c r="AC38" s="2903"/>
      <c r="AD38" s="2027">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4" customFormat="1" ht="13.2">
      <c r="A39" s="2904" t="s">
        <v>3372</v>
      </c>
      <c r="B39" s="2030">
        <v>2024</v>
      </c>
      <c r="C39" s="2041">
        <v>2</v>
      </c>
      <c r="D39" s="2006"/>
      <c r="E39" s="2006">
        <v>-0.31</v>
      </c>
      <c r="F39" s="2006">
        <v>-0.39</v>
      </c>
      <c r="G39" s="2006">
        <v>1.23</v>
      </c>
      <c r="H39" s="2916"/>
      <c r="I39" s="2007">
        <f t="shared" ref="I39:I52" si="174">F39</f>
        <v>-0.39</v>
      </c>
      <c r="J39" s="2905"/>
      <c r="K39" s="2042"/>
      <c r="L39" s="2027">
        <f t="shared" ref="L39:N52" si="175">E39/100</f>
        <v>-3.0999999999999999E-3</v>
      </c>
      <c r="M39" s="2027">
        <f t="shared" si="175"/>
        <v>-3.9000000000000003E-3</v>
      </c>
      <c r="N39" s="2027">
        <f t="shared" si="175"/>
        <v>1.23E-2</v>
      </c>
      <c r="O39" s="2027"/>
      <c r="P39" s="2027">
        <f t="shared" si="123"/>
        <v>-3.9000000000000003E-3</v>
      </c>
      <c r="Q39" s="2905"/>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5"/>
      <c r="Y39" s="2027"/>
      <c r="Z39" s="2901">
        <f t="shared" si="173"/>
        <v>3.3E-3</v>
      </c>
      <c r="AA39" s="2902">
        <f t="shared" si="173"/>
        <v>2.3999999999999998E-3</v>
      </c>
      <c r="AB39" s="2027">
        <f t="shared" si="173"/>
        <v>6.1999999999999998E-3</v>
      </c>
      <c r="AC39" s="2903"/>
      <c r="AD39" s="2027">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4" customFormat="1" ht="13.2">
      <c r="A40" s="2904" t="s">
        <v>3369</v>
      </c>
      <c r="B40" s="2030">
        <v>2024</v>
      </c>
      <c r="C40" s="2041">
        <v>1</v>
      </c>
      <c r="D40" s="2006"/>
      <c r="E40" s="2006">
        <v>0.25</v>
      </c>
      <c r="F40" s="2006">
        <v>0.4</v>
      </c>
      <c r="G40" s="2006">
        <v>-0.63</v>
      </c>
      <c r="H40" s="2916"/>
      <c r="I40" s="2007">
        <f t="shared" ref="I40:I41" si="176">F40</f>
        <v>0.4</v>
      </c>
      <c r="J40" s="2905"/>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5"/>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5"/>
      <c r="Y40" s="2027"/>
      <c r="Z40" s="2901"/>
      <c r="AA40" s="2902"/>
      <c r="AB40" s="2027"/>
      <c r="AC40" s="2903"/>
      <c r="AD40" s="2027"/>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4" customFormat="1" ht="13.2">
      <c r="A41" s="2904" t="s">
        <v>3367</v>
      </c>
      <c r="B41" s="2030">
        <v>2023</v>
      </c>
      <c r="C41" s="2041">
        <v>4</v>
      </c>
      <c r="D41" s="2006"/>
      <c r="E41" s="2006">
        <v>7.0000000000000007E-2</v>
      </c>
      <c r="F41" s="2006">
        <v>0.09</v>
      </c>
      <c r="G41" s="2006">
        <v>0.03</v>
      </c>
      <c r="H41" s="2916"/>
      <c r="I41" s="2007">
        <f t="shared" si="176"/>
        <v>0.09</v>
      </c>
      <c r="J41" s="2905"/>
      <c r="K41" s="2042"/>
      <c r="L41" s="2027">
        <f t="shared" si="175"/>
        <v>7.000000000000001E-4</v>
      </c>
      <c r="M41" s="2027">
        <f t="shared" si="175"/>
        <v>8.9999999999999998E-4</v>
      </c>
      <c r="N41" s="2027">
        <f t="shared" si="175"/>
        <v>2.9999999999999997E-4</v>
      </c>
      <c r="O41" s="2027"/>
      <c r="P41" s="2027">
        <f t="shared" ref="P41" si="182">M41</f>
        <v>8.9999999999999998E-4</v>
      </c>
      <c r="Q41" s="2905"/>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5"/>
      <c r="Y41" s="2027"/>
      <c r="Z41" s="2901"/>
      <c r="AA41" s="2902"/>
      <c r="AB41" s="2027"/>
      <c r="AC41" s="2903"/>
      <c r="AD41" s="2027"/>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4" customFormat="1" ht="13.2">
      <c r="A42" s="2904" t="s">
        <v>3365</v>
      </c>
      <c r="B42" s="2030">
        <v>2023</v>
      </c>
      <c r="C42" s="2041">
        <v>3</v>
      </c>
      <c r="D42" s="2006"/>
      <c r="E42" s="2006">
        <v>0.35</v>
      </c>
      <c r="F42" s="2006">
        <v>0.17</v>
      </c>
      <c r="G42" s="2006">
        <v>0.52</v>
      </c>
      <c r="H42" s="2916"/>
      <c r="I42" s="2007">
        <f t="shared" si="174"/>
        <v>0.17</v>
      </c>
      <c r="J42" s="2905"/>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5"/>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5"/>
      <c r="Y42" s="2027"/>
      <c r="Z42" s="2901"/>
      <c r="AA42" s="2902"/>
      <c r="AB42" s="2027"/>
      <c r="AC42" s="2903"/>
      <c r="AD42" s="2027"/>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4" customFormat="1" ht="13.2">
      <c r="A43" s="2904" t="s">
        <v>3364</v>
      </c>
      <c r="B43" s="2030">
        <v>2023</v>
      </c>
      <c r="C43" s="2041">
        <v>2</v>
      </c>
      <c r="D43" s="2006"/>
      <c r="E43" s="2006">
        <v>0.5</v>
      </c>
      <c r="F43" s="2006">
        <v>0.45</v>
      </c>
      <c r="G43" s="2006">
        <v>0.89</v>
      </c>
      <c r="H43" s="2916"/>
      <c r="I43" s="2007">
        <f t="shared" si="174"/>
        <v>0.45</v>
      </c>
      <c r="J43" s="2905"/>
      <c r="K43" s="2042"/>
      <c r="L43" s="2027">
        <f t="shared" si="184"/>
        <v>5.0000000000000001E-3</v>
      </c>
      <c r="M43" s="2027">
        <f t="shared" si="185"/>
        <v>4.5000000000000005E-3</v>
      </c>
      <c r="N43" s="2027">
        <f t="shared" si="186"/>
        <v>8.8999999999999999E-3</v>
      </c>
      <c r="O43" s="2027"/>
      <c r="P43" s="2027">
        <f t="shared" si="187"/>
        <v>4.5000000000000005E-3</v>
      </c>
      <c r="Q43" s="2905"/>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5"/>
      <c r="Y43" s="2027"/>
      <c r="Z43" s="2901"/>
      <c r="AA43" s="2902"/>
      <c r="AB43" s="2027"/>
      <c r="AC43" s="2903"/>
      <c r="AD43" s="2027"/>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4" customFormat="1" ht="13.2">
      <c r="A44" s="2904" t="s">
        <v>3362</v>
      </c>
      <c r="B44" s="2030">
        <v>2023</v>
      </c>
      <c r="C44" s="2041">
        <v>1</v>
      </c>
      <c r="D44" s="2006"/>
      <c r="E44" s="2006">
        <v>0.55000000000000004</v>
      </c>
      <c r="F44" s="2006">
        <v>0.59</v>
      </c>
      <c r="G44" s="2006">
        <v>0.64</v>
      </c>
      <c r="H44" s="2916"/>
      <c r="I44" s="2007">
        <f t="shared" si="174"/>
        <v>0.59</v>
      </c>
      <c r="J44" s="2905"/>
      <c r="K44" s="2042"/>
      <c r="L44" s="2027">
        <f t="shared" si="184"/>
        <v>5.5000000000000005E-3</v>
      </c>
      <c r="M44" s="2027">
        <f t="shared" si="185"/>
        <v>5.8999999999999999E-3</v>
      </c>
      <c r="N44" s="2027">
        <f t="shared" si="186"/>
        <v>6.4000000000000003E-3</v>
      </c>
      <c r="O44" s="2027"/>
      <c r="P44" s="2027">
        <f t="shared" si="187"/>
        <v>5.8999999999999999E-3</v>
      </c>
      <c r="Q44" s="2905"/>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5"/>
      <c r="Y44" s="2027"/>
      <c r="Z44" s="2901"/>
      <c r="AA44" s="2902"/>
      <c r="AB44" s="2027"/>
      <c r="AC44" s="2903"/>
      <c r="AD44" s="2027"/>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4" customFormat="1" ht="13.2">
      <c r="A45" s="2904" t="s">
        <v>3361</v>
      </c>
      <c r="B45" s="2030">
        <v>2022</v>
      </c>
      <c r="C45" s="2041">
        <v>4</v>
      </c>
      <c r="D45" s="2006"/>
      <c r="E45" s="2006">
        <v>0.45</v>
      </c>
      <c r="F45" s="2006">
        <v>0.2</v>
      </c>
      <c r="G45" s="2006">
        <v>0.38</v>
      </c>
      <c r="H45" s="2916"/>
      <c r="I45" s="2007">
        <f t="shared" si="174"/>
        <v>0.2</v>
      </c>
      <c r="J45" s="2905"/>
      <c r="K45" s="2042"/>
      <c r="L45" s="2027">
        <f t="shared" si="175"/>
        <v>4.5000000000000005E-3</v>
      </c>
      <c r="M45" s="2027">
        <f t="shared" si="175"/>
        <v>2E-3</v>
      </c>
      <c r="N45" s="2027">
        <f t="shared" si="175"/>
        <v>3.8E-3</v>
      </c>
      <c r="O45" s="2027"/>
      <c r="P45" s="2027">
        <f t="shared" ref="P45:P52" si="189">M45</f>
        <v>2E-3</v>
      </c>
      <c r="Q45" s="2905"/>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5"/>
      <c r="Y45" s="2027"/>
      <c r="Z45" s="2901">
        <f t="shared" ref="Z45:AD52" si="191">IF(E45=0,0,ROUND(AVERAGE(E45:E53)/100,4))</f>
        <v>4.0000000000000001E-3</v>
      </c>
      <c r="AA45" s="2902">
        <f t="shared" si="191"/>
        <v>2.5999999999999999E-3</v>
      </c>
      <c r="AB45" s="2027">
        <f t="shared" si="191"/>
        <v>7.4000000000000003E-3</v>
      </c>
      <c r="AC45" s="2903"/>
      <c r="AD45" s="2027">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4" customFormat="1" ht="13.2">
      <c r="A46" s="2904" t="s">
        <v>3360</v>
      </c>
      <c r="B46" s="2030">
        <v>2022</v>
      </c>
      <c r="C46" s="2041">
        <v>3</v>
      </c>
      <c r="D46" s="2006"/>
      <c r="E46" s="2006">
        <v>0.3</v>
      </c>
      <c r="F46" s="2006">
        <v>0.28999999999999998</v>
      </c>
      <c r="G46" s="2006">
        <v>0.83</v>
      </c>
      <c r="H46" s="2916"/>
      <c r="I46" s="2007">
        <f t="shared" si="174"/>
        <v>0.28999999999999998</v>
      </c>
      <c r="J46" s="2905"/>
      <c r="K46" s="2042"/>
      <c r="L46" s="2027">
        <f t="shared" si="175"/>
        <v>3.0000000000000001E-3</v>
      </c>
      <c r="M46" s="2027">
        <f t="shared" si="175"/>
        <v>2.8999999999999998E-3</v>
      </c>
      <c r="N46" s="2027">
        <f t="shared" si="175"/>
        <v>8.3000000000000001E-3</v>
      </c>
      <c r="O46" s="2027"/>
      <c r="P46" s="2027">
        <f t="shared" si="189"/>
        <v>2.8999999999999998E-3</v>
      </c>
      <c r="Q46" s="2905"/>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5"/>
      <c r="Y46" s="2027"/>
      <c r="Z46" s="2901">
        <f t="shared" si="191"/>
        <v>3.8999999999999998E-3</v>
      </c>
      <c r="AA46" s="2902">
        <f t="shared" si="191"/>
        <v>2.7000000000000001E-3</v>
      </c>
      <c r="AB46" s="2027">
        <f t="shared" si="191"/>
        <v>7.9000000000000008E-3</v>
      </c>
      <c r="AC46" s="2903"/>
      <c r="AD46" s="2027">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4" customFormat="1" ht="13.2">
      <c r="A47" s="2904" t="s">
        <v>3350</v>
      </c>
      <c r="B47" s="2030">
        <v>2022</v>
      </c>
      <c r="C47" s="2041">
        <v>2</v>
      </c>
      <c r="D47" s="2006"/>
      <c r="E47" s="2006">
        <v>-0.11</v>
      </c>
      <c r="F47" s="2006">
        <v>-0.13</v>
      </c>
      <c r="G47" s="2006">
        <v>0.53</v>
      </c>
      <c r="H47" s="2916"/>
      <c r="I47" s="2007">
        <f t="shared" si="174"/>
        <v>-0.13</v>
      </c>
      <c r="J47" s="2905"/>
      <c r="K47" s="2042"/>
      <c r="L47" s="2027">
        <f t="shared" si="175"/>
        <v>-1.1000000000000001E-3</v>
      </c>
      <c r="M47" s="2027">
        <f t="shared" si="175"/>
        <v>-1.2999999999999999E-3</v>
      </c>
      <c r="N47" s="2027">
        <f t="shared" si="175"/>
        <v>5.3E-3</v>
      </c>
      <c r="O47" s="2027"/>
      <c r="P47" s="2027">
        <f t="shared" si="189"/>
        <v>-1.2999999999999999E-3</v>
      </c>
      <c r="Q47" s="2905"/>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5"/>
      <c r="Y47" s="2027"/>
      <c r="Z47" s="2901">
        <f t="shared" si="191"/>
        <v>4.1000000000000003E-3</v>
      </c>
      <c r="AA47" s="2902">
        <f t="shared" si="191"/>
        <v>2.7000000000000001E-3</v>
      </c>
      <c r="AB47" s="2027">
        <f t="shared" si="191"/>
        <v>7.9000000000000008E-3</v>
      </c>
      <c r="AC47" s="2903"/>
      <c r="AD47" s="2027">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4" customFormat="1" ht="13.2">
      <c r="A48" s="2904" t="s">
        <v>2831</v>
      </c>
      <c r="B48" s="2030">
        <v>2022</v>
      </c>
      <c r="C48" s="2041">
        <v>1</v>
      </c>
      <c r="D48" s="2006"/>
      <c r="E48" s="2006">
        <v>0.6</v>
      </c>
      <c r="F48" s="2006">
        <v>0.45</v>
      </c>
      <c r="G48" s="2006">
        <v>0.53</v>
      </c>
      <c r="H48" s="2916"/>
      <c r="I48" s="2007">
        <f t="shared" si="174"/>
        <v>0.45</v>
      </c>
      <c r="J48" s="2905"/>
      <c r="K48" s="2042"/>
      <c r="L48" s="2027">
        <f t="shared" si="175"/>
        <v>6.0000000000000001E-3</v>
      </c>
      <c r="M48" s="2027">
        <f t="shared" si="175"/>
        <v>4.5000000000000005E-3</v>
      </c>
      <c r="N48" s="2027">
        <f t="shared" si="175"/>
        <v>5.3E-3</v>
      </c>
      <c r="O48" s="2027"/>
      <c r="P48" s="2027">
        <f t="shared" si="189"/>
        <v>4.5000000000000005E-3</v>
      </c>
      <c r="Q48" s="2905"/>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5"/>
      <c r="Y48" s="2027"/>
      <c r="Z48" s="2901">
        <f t="shared" si="191"/>
        <v>5.1000000000000004E-3</v>
      </c>
      <c r="AA48" s="2902">
        <f t="shared" si="191"/>
        <v>3.5000000000000001E-3</v>
      </c>
      <c r="AB48" s="2027">
        <f t="shared" si="191"/>
        <v>8.3999999999999995E-3</v>
      </c>
      <c r="AC48" s="2903"/>
      <c r="AD48" s="2027">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4" customFormat="1" ht="13.2">
      <c r="A49" s="2904" t="s">
        <v>2832</v>
      </c>
      <c r="B49" s="2030">
        <v>2021</v>
      </c>
      <c r="C49" s="2041">
        <v>4</v>
      </c>
      <c r="D49" s="2006"/>
      <c r="E49" s="2006">
        <v>0.57999999999999996</v>
      </c>
      <c r="F49" s="2006">
        <v>0.08</v>
      </c>
      <c r="G49" s="2006">
        <v>0.68</v>
      </c>
      <c r="H49" s="2916"/>
      <c r="I49" s="2007">
        <f t="shared" si="174"/>
        <v>0.08</v>
      </c>
      <c r="J49" s="2905"/>
      <c r="K49" s="2042"/>
      <c r="L49" s="2027">
        <f t="shared" si="175"/>
        <v>5.7999999999999996E-3</v>
      </c>
      <c r="M49" s="2027">
        <f t="shared" si="175"/>
        <v>8.0000000000000004E-4</v>
      </c>
      <c r="N49" s="2027">
        <f t="shared" si="175"/>
        <v>6.8000000000000005E-3</v>
      </c>
      <c r="O49" s="2027"/>
      <c r="P49" s="2027">
        <f t="shared" si="189"/>
        <v>8.0000000000000004E-4</v>
      </c>
      <c r="Q49" s="2905"/>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5"/>
      <c r="Y49" s="2027"/>
      <c r="Z49" s="2901">
        <f t="shared" si="191"/>
        <v>4.8999999999999998E-3</v>
      </c>
      <c r="AA49" s="2902">
        <f t="shared" si="191"/>
        <v>3.3E-3</v>
      </c>
      <c r="AB49" s="2027">
        <f t="shared" si="191"/>
        <v>9.1999999999999998E-3</v>
      </c>
      <c r="AC49" s="2903"/>
      <c r="AD49" s="2027">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4" customFormat="1" ht="13.2">
      <c r="A50" s="2904" t="s">
        <v>2833</v>
      </c>
      <c r="B50" s="2030">
        <v>2021</v>
      </c>
      <c r="C50" s="2041">
        <v>3</v>
      </c>
      <c r="D50" s="2006"/>
      <c r="E50" s="2006">
        <v>0.47</v>
      </c>
      <c r="F50" s="2006">
        <v>0.28000000000000003</v>
      </c>
      <c r="G50" s="2006">
        <v>0.91</v>
      </c>
      <c r="H50" s="2916"/>
      <c r="I50" s="2007">
        <f t="shared" si="174"/>
        <v>0.28000000000000003</v>
      </c>
      <c r="J50" s="2905"/>
      <c r="K50" s="2042"/>
      <c r="L50" s="2027">
        <f t="shared" si="175"/>
        <v>4.6999999999999993E-3</v>
      </c>
      <c r="M50" s="2027">
        <f t="shared" si="175"/>
        <v>2.8000000000000004E-3</v>
      </c>
      <c r="N50" s="2027">
        <f t="shared" si="175"/>
        <v>9.1000000000000004E-3</v>
      </c>
      <c r="O50" s="2027"/>
      <c r="P50" s="2027">
        <f t="shared" si="189"/>
        <v>2.8000000000000004E-3</v>
      </c>
      <c r="Q50" s="2905"/>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5"/>
      <c r="Y50" s="2027"/>
      <c r="Z50" s="2901">
        <f t="shared" si="191"/>
        <v>4.5999999999999999E-3</v>
      </c>
      <c r="AA50" s="2902">
        <f t="shared" si="191"/>
        <v>4.1000000000000003E-3</v>
      </c>
      <c r="AB50" s="2027">
        <f t="shared" si="191"/>
        <v>0.01</v>
      </c>
      <c r="AC50" s="2903"/>
      <c r="AD50" s="2027">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4" customFormat="1" ht="13.2">
      <c r="A51" s="2904" t="s">
        <v>2834</v>
      </c>
      <c r="B51" s="2030">
        <v>2021</v>
      </c>
      <c r="C51" s="2041">
        <v>2</v>
      </c>
      <c r="D51" s="2006"/>
      <c r="E51" s="2006">
        <v>0.55000000000000004</v>
      </c>
      <c r="F51" s="2006">
        <v>0.46</v>
      </c>
      <c r="G51" s="2006">
        <v>1.1000000000000001</v>
      </c>
      <c r="H51" s="2916"/>
      <c r="I51" s="2007">
        <f t="shared" si="174"/>
        <v>0.46</v>
      </c>
      <c r="J51" s="2905"/>
      <c r="K51" s="2042"/>
      <c r="L51" s="2027">
        <f t="shared" si="175"/>
        <v>5.5000000000000005E-3</v>
      </c>
      <c r="M51" s="2027">
        <f t="shared" si="175"/>
        <v>4.5999999999999999E-3</v>
      </c>
      <c r="N51" s="2027">
        <f t="shared" si="175"/>
        <v>1.1000000000000001E-2</v>
      </c>
      <c r="O51" s="2027"/>
      <c r="P51" s="2027">
        <f t="shared" si="189"/>
        <v>4.5999999999999999E-3</v>
      </c>
      <c r="Q51" s="2905"/>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5"/>
      <c r="Y51" s="2027"/>
      <c r="Z51" s="2901">
        <f t="shared" si="191"/>
        <v>4.4999999999999997E-3</v>
      </c>
      <c r="AA51" s="2902">
        <f t="shared" si="191"/>
        <v>4.7000000000000002E-3</v>
      </c>
      <c r="AB51" s="2027">
        <f t="shared" si="191"/>
        <v>1.04E-2</v>
      </c>
      <c r="AC51" s="2903"/>
      <c r="AD51" s="2027">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2820</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3375</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4" t="str">
        <f>IF(项目基本情况!B9="房地产市场价值","估价结果一览表","结果表-2")</f>
        <v>结果表-2</v>
      </c>
      <c r="B1" s="3194"/>
      <c r="C1" s="3194"/>
      <c r="D1" s="3194"/>
      <c r="E1" s="3194"/>
      <c r="F1" s="3194"/>
      <c r="G1" s="3194"/>
      <c r="H1" s="3194"/>
      <c r="I1" s="3194"/>
    </row>
    <row r="2" spans="1:9" ht="30" customHeight="1" thickTop="1">
      <c r="A2" s="3195" t="s">
        <v>928</v>
      </c>
      <c r="B2" s="3195" t="s">
        <v>929</v>
      </c>
      <c r="C2" s="3195" t="s">
        <v>930</v>
      </c>
      <c r="D2" s="3195" t="str">
        <f>结果表1层!D116</f>
        <v>出让国有建设用地使用权价值</v>
      </c>
      <c r="E2" s="3195"/>
      <c r="F2" s="3195" t="str">
        <f>结果表1层!F116</f>
        <v>在建建筑物价值</v>
      </c>
      <c r="G2" s="3195"/>
      <c r="H2" s="3195" t="str">
        <f>IF(项目基本情况!B9="房地产市场价值","房地产市场价值","房地产价值")</f>
        <v>房地产价值</v>
      </c>
      <c r="I2" s="3195"/>
    </row>
    <row r="3" spans="1:9" ht="15.6">
      <c r="A3" s="3190"/>
      <c r="B3" s="3190"/>
      <c r="C3" s="3190"/>
      <c r="D3" s="801" t="s">
        <v>925</v>
      </c>
      <c r="E3" s="801" t="s">
        <v>931</v>
      </c>
      <c r="F3" s="801" t="s">
        <v>925</v>
      </c>
      <c r="G3" s="801" t="s">
        <v>926</v>
      </c>
      <c r="H3" s="801" t="s">
        <v>925</v>
      </c>
      <c r="I3" s="801" t="s">
        <v>926</v>
      </c>
    </row>
    <row r="4" spans="1:9" ht="30">
      <c r="A4" s="1403" t="str">
        <f>项目基本情况!S2</f>
        <v>北京市朝阳区天溪园20号楼房地产</v>
      </c>
      <c r="B4" s="801">
        <f>项目基本情况!C17</f>
        <v>165.09</v>
      </c>
      <c r="C4" s="801">
        <f>项目基本情况!C18</f>
        <v>0</v>
      </c>
      <c r="D4" s="801">
        <f>结果表1层!D118</f>
        <v>0</v>
      </c>
      <c r="E4" s="801">
        <f>结果表1层!E118</f>
        <v>0</v>
      </c>
      <c r="F4" s="801">
        <f>结果表1层!F118</f>
        <v>0</v>
      </c>
      <c r="G4" s="801">
        <f>结果表1层!G118</f>
        <v>0</v>
      </c>
      <c r="H4" s="801">
        <f ca="1">结果表1层!H118</f>
        <v>679</v>
      </c>
      <c r="I4" s="801">
        <f ca="1">结果表1层!I118</f>
        <v>41135</v>
      </c>
    </row>
    <row r="5" spans="1:9" ht="30" customHeight="1">
      <c r="A5" s="3190" t="s">
        <v>927</v>
      </c>
      <c r="B5" s="3190"/>
      <c r="C5" s="3190"/>
      <c r="D5" s="3190" t="str">
        <f>结果表1层!D119</f>
        <v>零元整</v>
      </c>
      <c r="E5" s="3190"/>
      <c r="F5" s="3190" t="str">
        <f>结果表1层!F119</f>
        <v>零元整</v>
      </c>
      <c r="G5" s="3190"/>
      <c r="H5" s="3190" t="str">
        <f ca="1">结果表1层!H119</f>
        <v>陆佰柒拾玖万元整</v>
      </c>
      <c r="I5" s="3190"/>
    </row>
    <row r="6" spans="1:9" ht="15.6">
      <c r="A6" s="3189" t="str">
        <f>结果表1层!A120</f>
        <v>估价师知悉的法定优先受偿款</v>
      </c>
      <c r="B6" s="3189"/>
      <c r="C6" s="3189"/>
      <c r="D6" s="3189">
        <f>结果表1层!D120</f>
        <v>0</v>
      </c>
      <c r="E6" s="3189"/>
      <c r="F6" s="3189"/>
      <c r="G6" s="3189"/>
      <c r="H6" s="3189"/>
      <c r="I6" s="3189"/>
    </row>
    <row r="7" spans="1:9" ht="15">
      <c r="A7" s="3190" t="s">
        <v>927</v>
      </c>
      <c r="B7" s="3190"/>
      <c r="C7" s="3190"/>
      <c r="D7" s="3191" t="str">
        <f>结果表1层!D121</f>
        <v>零元整</v>
      </c>
      <c r="E7" s="3192"/>
      <c r="F7" s="3192"/>
      <c r="G7" s="3192"/>
      <c r="H7" s="3192"/>
      <c r="I7" s="3193"/>
    </row>
    <row r="8" spans="1:9" ht="15.6">
      <c r="A8" s="3189" t="str">
        <f>结果表1层!A122</f>
        <v>房地产抵押价值</v>
      </c>
      <c r="B8" s="3189"/>
      <c r="C8" s="3189"/>
      <c r="D8" s="3189">
        <f ca="1">结果表1层!D122</f>
        <v>679</v>
      </c>
      <c r="E8" s="3189"/>
      <c r="F8" s="3189"/>
      <c r="G8" s="3189"/>
      <c r="H8" s="3189"/>
      <c r="I8" s="3189"/>
    </row>
    <row r="9" spans="1:9" ht="15">
      <c r="A9" s="3190" t="s">
        <v>927</v>
      </c>
      <c r="B9" s="3190"/>
      <c r="C9" s="3190"/>
      <c r="D9" s="3190" t="str">
        <f ca="1">结果表1层!D123</f>
        <v>陆佰柒拾玖万元整</v>
      </c>
      <c r="E9" s="3190"/>
      <c r="F9" s="3190"/>
      <c r="G9" s="3190"/>
      <c r="H9" s="3190"/>
      <c r="I9" s="3190"/>
    </row>
    <row r="10" spans="1:9" ht="15.6">
      <c r="A10" s="3189" t="str">
        <f>结果表1层!A124</f>
        <v/>
      </c>
      <c r="B10" s="3189"/>
      <c r="C10" s="3189"/>
      <c r="D10" s="3189" t="str">
        <f>结果表1层!D124</f>
        <v>——</v>
      </c>
      <c r="E10" s="3189"/>
      <c r="F10" s="3189"/>
      <c r="G10" s="3189"/>
      <c r="H10" s="3189"/>
      <c r="I10" s="3189"/>
    </row>
    <row r="11" spans="1:9" ht="15">
      <c r="A11" s="3190" t="s">
        <v>927</v>
      </c>
      <c r="B11" s="3190"/>
      <c r="C11" s="3190"/>
      <c r="D11" s="3190" t="e">
        <f>结果表1层!D125</f>
        <v>#VALUE!</v>
      </c>
      <c r="E11" s="3190"/>
      <c r="F11" s="3190"/>
      <c r="G11" s="3190"/>
      <c r="H11" s="3190"/>
      <c r="I11" s="3190"/>
    </row>
    <row r="12" spans="1:9" ht="15.6">
      <c r="A12" s="3189" t="str">
        <f>结果表1层!A126</f>
        <v/>
      </c>
      <c r="B12" s="3189"/>
      <c r="C12" s="3189"/>
      <c r="D12" s="3189" t="str">
        <f>结果表1层!D126</f>
        <v>——</v>
      </c>
      <c r="E12" s="3189"/>
      <c r="F12" s="3189"/>
      <c r="G12" s="3189"/>
      <c r="H12" s="3189"/>
      <c r="I12" s="3189"/>
    </row>
    <row r="13" spans="1:9" ht="15.6" thickBot="1">
      <c r="A13" s="3187" t="s">
        <v>927</v>
      </c>
      <c r="B13" s="3187"/>
      <c r="C13" s="3187"/>
      <c r="D13" s="3187" t="e">
        <f>结果表1层!D127</f>
        <v>#VALUE!</v>
      </c>
      <c r="E13" s="3187"/>
      <c r="F13" s="3187"/>
      <c r="G13" s="3187"/>
      <c r="H13" s="3187"/>
      <c r="I13" s="3187"/>
    </row>
    <row r="14" spans="1:9" ht="14.4" thickTop="1">
      <c r="A14" s="3188" t="s">
        <v>932</v>
      </c>
      <c r="B14" s="3188"/>
      <c r="C14" s="3188"/>
      <c r="D14" s="3188"/>
      <c r="E14" s="3188"/>
      <c r="F14" s="3188"/>
      <c r="G14" s="3188"/>
      <c r="H14" s="3188"/>
      <c r="I14" s="3188"/>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2110</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3358</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3355</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2111</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3356</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3357</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2432</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2309</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2308</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2307</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2304</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2303</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2126</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2124</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2123</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2122</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2120</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2119</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2121</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2117</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2116</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2109</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2107</v>
      </c>
      <c r="B25" s="2048">
        <v>439</v>
      </c>
      <c r="C25" s="2048">
        <v>327</v>
      </c>
      <c r="D25" s="2048">
        <f>C25</f>
        <v>327</v>
      </c>
      <c r="E25" s="2048">
        <v>627</v>
      </c>
      <c r="F25" s="2049">
        <v>283</v>
      </c>
      <c r="G25" s="350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2108</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0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0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0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0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0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0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0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0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0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0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0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0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1">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02">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1">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02">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511" t="s">
        <v>2835</v>
      </c>
      <c r="B1" s="3511"/>
      <c r="C1" s="3511"/>
      <c r="D1" s="3511"/>
      <c r="E1" s="3511"/>
      <c r="F1" s="3511"/>
      <c r="G1" s="3512"/>
      <c r="I1" s="2937" t="s">
        <v>2836</v>
      </c>
      <c r="J1" s="2938" t="s">
        <v>2837</v>
      </c>
      <c r="K1" s="2938" t="s">
        <v>2838</v>
      </c>
      <c r="L1" s="2938" t="s">
        <v>2839</v>
      </c>
      <c r="M1" s="2938" t="s">
        <v>2840</v>
      </c>
      <c r="N1" s="2938" t="s">
        <v>2841</v>
      </c>
      <c r="O1" s="2938" t="s">
        <v>2842</v>
      </c>
      <c r="P1" s="2938" t="s">
        <v>2843</v>
      </c>
      <c r="Q1" s="2938" t="s">
        <v>2844</v>
      </c>
      <c r="R1" s="2938" t="s">
        <v>2845</v>
      </c>
      <c r="S1" s="2938" t="s">
        <v>2846</v>
      </c>
      <c r="T1" s="2939" t="s">
        <v>2847</v>
      </c>
    </row>
    <row r="2" spans="1:20" ht="11.4" thickBot="1">
      <c r="A2" s="2940" t="s">
        <v>2848</v>
      </c>
      <c r="B2" s="2940"/>
      <c r="C2" s="2940"/>
      <c r="D2" s="2940"/>
      <c r="E2" s="2940"/>
      <c r="F2" s="2940"/>
      <c r="G2" s="2941" t="s">
        <v>2849</v>
      </c>
      <c r="I2" s="2942" t="s">
        <v>2850</v>
      </c>
      <c r="J2" s="2942" t="s">
        <v>2851</v>
      </c>
      <c r="K2" s="2942" t="s">
        <v>2852</v>
      </c>
      <c r="L2" s="2942" t="s">
        <v>2853</v>
      </c>
      <c r="M2" s="2942" t="s">
        <v>2854</v>
      </c>
      <c r="N2" s="2942" t="s">
        <v>2855</v>
      </c>
      <c r="O2" s="2942" t="s">
        <v>2856</v>
      </c>
      <c r="P2" s="2942" t="s">
        <v>2857</v>
      </c>
      <c r="Q2" s="2942" t="s">
        <v>2858</v>
      </c>
      <c r="R2" s="2942" t="s">
        <v>2859</v>
      </c>
      <c r="S2" s="2942" t="s">
        <v>2860</v>
      </c>
      <c r="T2" s="2942" t="s">
        <v>2861</v>
      </c>
    </row>
    <row r="3" spans="1:20" s="2948" customFormat="1">
      <c r="A3" s="3509" t="s">
        <v>2862</v>
      </c>
      <c r="B3" s="2943"/>
      <c r="C3" s="2944" t="s">
        <v>2807</v>
      </c>
      <c r="D3" s="2944" t="s">
        <v>2863</v>
      </c>
      <c r="E3" s="2944" t="s">
        <v>2809</v>
      </c>
      <c r="F3" s="2944" t="s">
        <v>2864</v>
      </c>
      <c r="G3" s="2944" t="s">
        <v>2627</v>
      </c>
      <c r="H3" s="2945"/>
      <c r="I3" s="2946" t="s">
        <v>2865</v>
      </c>
      <c r="J3" s="2947" t="s">
        <v>128</v>
      </c>
      <c r="K3" s="2947" t="s">
        <v>129</v>
      </c>
      <c r="L3" s="2946" t="s">
        <v>130</v>
      </c>
      <c r="M3" s="2946" t="s">
        <v>131</v>
      </c>
      <c r="N3" s="2946" t="s">
        <v>132</v>
      </c>
      <c r="O3" s="2946" t="s">
        <v>133</v>
      </c>
      <c r="P3" s="2946" t="s">
        <v>134</v>
      </c>
      <c r="Q3" s="2946" t="s">
        <v>135</v>
      </c>
      <c r="R3" s="2946" t="s">
        <v>136</v>
      </c>
      <c r="S3" s="2946" t="s">
        <v>2866</v>
      </c>
      <c r="T3" s="2946" t="s">
        <v>2867</v>
      </c>
    </row>
    <row r="4" spans="1:20" s="2948" customFormat="1" ht="11.4" thickBot="1">
      <c r="A4" s="3510"/>
      <c r="B4" s="2949" t="s">
        <v>2868</v>
      </c>
      <c r="C4" s="2949" t="s">
        <v>2869</v>
      </c>
      <c r="D4" s="2949" t="s">
        <v>2869</v>
      </c>
      <c r="E4" s="2949" t="s">
        <v>2869</v>
      </c>
      <c r="F4" s="2950" t="s">
        <v>2869</v>
      </c>
      <c r="G4" s="2950" t="s">
        <v>2869</v>
      </c>
      <c r="H4" s="2945"/>
      <c r="I4" s="2947" t="s">
        <v>137</v>
      </c>
      <c r="J4" s="2947" t="s">
        <v>111</v>
      </c>
      <c r="K4" s="2947" t="s">
        <v>138</v>
      </c>
      <c r="L4" s="2946" t="s">
        <v>139</v>
      </c>
      <c r="M4" s="2946" t="s">
        <v>140</v>
      </c>
      <c r="N4" s="2946" t="s">
        <v>141</v>
      </c>
      <c r="O4" s="2946" t="s">
        <v>142</v>
      </c>
      <c r="P4" s="2946" t="s">
        <v>143</v>
      </c>
      <c r="Q4" s="2946" t="s">
        <v>2870</v>
      </c>
      <c r="R4" s="2946" t="s">
        <v>2871</v>
      </c>
      <c r="S4" s="2946" t="s">
        <v>2872</v>
      </c>
      <c r="T4" s="2946" t="s">
        <v>2873</v>
      </c>
    </row>
    <row r="5" spans="1:20">
      <c r="A5" s="2951" t="s">
        <v>2836</v>
      </c>
      <c r="B5" s="2942" t="s">
        <v>2850</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2874</v>
      </c>
      <c r="R5" s="2946" t="s">
        <v>2875</v>
      </c>
      <c r="S5" s="2946" t="s">
        <v>153</v>
      </c>
      <c r="T5" s="2946" t="s">
        <v>2876</v>
      </c>
    </row>
    <row r="6" spans="1:20" ht="11.4" thickBot="1">
      <c r="A6" s="2946" t="s">
        <v>144</v>
      </c>
      <c r="B6" s="2946" t="s">
        <v>2865</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2877</v>
      </c>
      <c r="Q6" s="2946" t="s">
        <v>2878</v>
      </c>
      <c r="R6" s="2946" t="s">
        <v>161</v>
      </c>
      <c r="S6" s="2946" t="s">
        <v>2879</v>
      </c>
      <c r="T6" s="2946" t="s">
        <v>2880</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2881</v>
      </c>
      <c r="Q7" s="2946" t="s">
        <v>2882</v>
      </c>
      <c r="R7" s="2946" t="s">
        <v>2883</v>
      </c>
      <c r="S7" s="2946" t="s">
        <v>2884</v>
      </c>
      <c r="T7" s="2946" t="s">
        <v>2885</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2886</v>
      </c>
      <c r="Q8" s="2946" t="s">
        <v>174</v>
      </c>
      <c r="R8" s="2946" t="s">
        <v>2887</v>
      </c>
      <c r="S8" s="2946" t="s">
        <v>2888</v>
      </c>
      <c r="T8" s="2953" t="s">
        <v>2889</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2890</v>
      </c>
      <c r="Q9" s="2946" t="s">
        <v>182</v>
      </c>
      <c r="R9" s="2946" t="s">
        <v>183</v>
      </c>
      <c r="S9" s="2946" t="s">
        <v>200</v>
      </c>
    </row>
    <row r="10" spans="1:20">
      <c r="A10" s="2951" t="s">
        <v>184</v>
      </c>
      <c r="B10" s="2942" t="s">
        <v>2851</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2891</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2892</v>
      </c>
      <c r="P11" s="2946" t="s">
        <v>191</v>
      </c>
      <c r="Q11" s="2946" t="s">
        <v>199</v>
      </c>
      <c r="R11" s="2946" t="s">
        <v>2893</v>
      </c>
      <c r="S11" s="2946" t="s">
        <v>2894</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2895</v>
      </c>
      <c r="P12" s="2946" t="s">
        <v>2896</v>
      </c>
      <c r="Q12" s="2946" t="s">
        <v>2897</v>
      </c>
      <c r="R12" s="2946" t="s">
        <v>2898</v>
      </c>
      <c r="S12" s="2946" t="s">
        <v>2899</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2900</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2901</v>
      </c>
      <c r="K14" s="2947" t="s">
        <v>215</v>
      </c>
      <c r="L14" s="2946" t="s">
        <v>216</v>
      </c>
      <c r="M14" s="2946" t="s">
        <v>217</v>
      </c>
      <c r="N14" s="2946" t="s">
        <v>218</v>
      </c>
      <c r="O14" s="2946" t="s">
        <v>240</v>
      </c>
      <c r="P14" s="2946" t="s">
        <v>213</v>
      </c>
      <c r="Q14" s="2946" t="s">
        <v>2902</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2903</v>
      </c>
      <c r="P15" s="2946" t="s">
        <v>2904</v>
      </c>
      <c r="Q15" s="2946" t="s">
        <v>242</v>
      </c>
      <c r="R15" s="2946" t="s">
        <v>2905</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2906</v>
      </c>
      <c r="P16" s="2946" t="s">
        <v>227</v>
      </c>
      <c r="Q16" s="2946" t="s">
        <v>250</v>
      </c>
      <c r="R16" s="2946" t="s">
        <v>207</v>
      </c>
      <c r="S16" s="2946" t="s">
        <v>2907</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2908</v>
      </c>
      <c r="P17" s="2946" t="s">
        <v>2909</v>
      </c>
      <c r="Q17" s="2946" t="s">
        <v>256</v>
      </c>
      <c r="R17" s="2946" t="s">
        <v>2910</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2911</v>
      </c>
      <c r="P18" s="2946" t="s">
        <v>241</v>
      </c>
      <c r="Q18" s="2946" t="s">
        <v>2912</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2913</v>
      </c>
      <c r="P19" s="2946" t="s">
        <v>249</v>
      </c>
      <c r="Q19" s="2946" t="s">
        <v>2914</v>
      </c>
      <c r="R19" s="2946" t="s">
        <v>265</v>
      </c>
      <c r="S19" s="2946" t="s">
        <v>2915</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2916</v>
      </c>
      <c r="P20" s="2946" t="s">
        <v>2917</v>
      </c>
      <c r="Q20" s="2946" t="s">
        <v>290</v>
      </c>
      <c r="R20" s="2946" t="s">
        <v>2918</v>
      </c>
      <c r="S20" s="2946" t="s">
        <v>277</v>
      </c>
    </row>
    <row r="21" spans="1:19" ht="14.25" customHeight="1" thickBot="1">
      <c r="A21" s="2946" t="s">
        <v>184</v>
      </c>
      <c r="B21" s="2947" t="s">
        <v>208</v>
      </c>
      <c r="C21" s="2946">
        <v>32370</v>
      </c>
      <c r="D21" s="2946">
        <v>26730</v>
      </c>
      <c r="E21" s="2946">
        <v>26640</v>
      </c>
      <c r="F21" s="2946"/>
      <c r="G21" s="2946">
        <v>19440</v>
      </c>
      <c r="J21" s="2953" t="s">
        <v>2919</v>
      </c>
      <c r="K21" s="2947" t="s">
        <v>267</v>
      </c>
      <c r="L21" s="2946" t="s">
        <v>268</v>
      </c>
      <c r="M21" s="2946" t="s">
        <v>269</v>
      </c>
      <c r="N21" s="2946" t="s">
        <v>270</v>
      </c>
      <c r="O21" s="2946" t="s">
        <v>264</v>
      </c>
      <c r="P21" s="2946" t="s">
        <v>283</v>
      </c>
      <c r="Q21" s="2946" t="s">
        <v>293</v>
      </c>
      <c r="R21" s="2946" t="s">
        <v>2920</v>
      </c>
      <c r="S21" s="2953" t="s">
        <v>2921</v>
      </c>
    </row>
    <row r="22" spans="1:19" ht="14.25" customHeight="1">
      <c r="A22" s="2946" t="s">
        <v>184</v>
      </c>
      <c r="B22" s="2947" t="s">
        <v>2901</v>
      </c>
      <c r="C22" s="2946">
        <v>29830</v>
      </c>
      <c r="D22" s="2946">
        <v>27600</v>
      </c>
      <c r="E22" s="2946">
        <v>28150</v>
      </c>
      <c r="F22" s="2946"/>
      <c r="G22" s="2946">
        <v>20080</v>
      </c>
      <c r="K22" s="2947" t="s">
        <v>2922</v>
      </c>
      <c r="L22" s="2946" t="s">
        <v>272</v>
      </c>
      <c r="M22" s="2946" t="s">
        <v>273</v>
      </c>
      <c r="N22" s="2946" t="s">
        <v>274</v>
      </c>
      <c r="O22" s="2946" t="s">
        <v>2923</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2924</v>
      </c>
      <c r="L23" s="2946" t="s">
        <v>278</v>
      </c>
      <c r="M23" s="2946" t="s">
        <v>279</v>
      </c>
      <c r="N23" s="2946" t="s">
        <v>2925</v>
      </c>
      <c r="O23" s="2946" t="s">
        <v>2926</v>
      </c>
      <c r="P23" s="2946" t="s">
        <v>289</v>
      </c>
      <c r="Q23" s="2946" t="s">
        <v>298</v>
      </c>
      <c r="R23" s="2946" t="s">
        <v>2927</v>
      </c>
    </row>
    <row r="24" spans="1:19" ht="14.25" customHeight="1">
      <c r="A24" s="2946" t="s">
        <v>184</v>
      </c>
      <c r="B24" s="2947" t="s">
        <v>230</v>
      </c>
      <c r="C24" s="2946">
        <v>27930</v>
      </c>
      <c r="D24" s="2946">
        <v>32260</v>
      </c>
      <c r="E24" s="2946">
        <v>32120</v>
      </c>
      <c r="F24" s="2946"/>
      <c r="G24" s="2946">
        <v>23470</v>
      </c>
      <c r="K24" s="2947" t="s">
        <v>2928</v>
      </c>
      <c r="L24" s="2946" t="s">
        <v>281</v>
      </c>
      <c r="M24" s="2946" t="s">
        <v>282</v>
      </c>
      <c r="N24" s="2946" t="s">
        <v>2929</v>
      </c>
      <c r="O24" s="2946" t="s">
        <v>285</v>
      </c>
      <c r="P24" s="2946" t="s">
        <v>2930</v>
      </c>
      <c r="Q24" s="2955" t="s">
        <v>2931</v>
      </c>
      <c r="R24" s="2946" t="s">
        <v>2932</v>
      </c>
    </row>
    <row r="25" spans="1:19" ht="14.25" customHeight="1">
      <c r="A25" s="2946" t="s">
        <v>184</v>
      </c>
      <c r="B25" s="2947" t="s">
        <v>235</v>
      </c>
      <c r="C25" s="2946">
        <v>32230</v>
      </c>
      <c r="D25" s="2946">
        <v>29640</v>
      </c>
      <c r="E25" s="2946">
        <v>29510</v>
      </c>
      <c r="F25" s="2946"/>
      <c r="G25" s="2946">
        <v>21560</v>
      </c>
      <c r="K25" s="2947" t="s">
        <v>2933</v>
      </c>
      <c r="L25" s="2946" t="s">
        <v>2934</v>
      </c>
      <c r="M25" s="2946" t="s">
        <v>284</v>
      </c>
      <c r="N25" s="2946" t="s">
        <v>292</v>
      </c>
      <c r="O25" s="2946" t="s">
        <v>288</v>
      </c>
      <c r="P25" s="2946" t="s">
        <v>275</v>
      </c>
      <c r="Q25" s="2955" t="s">
        <v>271</v>
      </c>
      <c r="R25" s="2946" t="s">
        <v>2935</v>
      </c>
    </row>
    <row r="26" spans="1:19" ht="14.25" customHeight="1" thickBot="1">
      <c r="A26" s="2946" t="s">
        <v>184</v>
      </c>
      <c r="B26" s="2947" t="s">
        <v>244</v>
      </c>
      <c r="C26" s="2946">
        <v>31690</v>
      </c>
      <c r="D26" s="2946">
        <v>27650</v>
      </c>
      <c r="E26" s="2946">
        <v>28200</v>
      </c>
      <c r="F26" s="2946"/>
      <c r="G26" s="2946">
        <v>20110</v>
      </c>
      <c r="K26" s="2952" t="s">
        <v>2936</v>
      </c>
      <c r="L26" s="2946" t="s">
        <v>2937</v>
      </c>
      <c r="M26" s="2946" t="s">
        <v>287</v>
      </c>
      <c r="N26" s="2946" t="s">
        <v>294</v>
      </c>
      <c r="O26" s="2946" t="s">
        <v>2938</v>
      </c>
      <c r="P26" s="2946" t="s">
        <v>2939</v>
      </c>
      <c r="Q26" s="2955" t="s">
        <v>276</v>
      </c>
      <c r="R26" s="2946" t="s">
        <v>2940</v>
      </c>
    </row>
    <row r="27" spans="1:19" ht="14.25" customHeight="1">
      <c r="A27" s="2946" t="s">
        <v>184</v>
      </c>
      <c r="B27" s="2947" t="s">
        <v>251</v>
      </c>
      <c r="C27" s="2946">
        <v>29610</v>
      </c>
      <c r="D27" s="2946">
        <v>27770</v>
      </c>
      <c r="E27" s="2946">
        <v>28300</v>
      </c>
      <c r="F27" s="2946"/>
      <c r="G27" s="2946">
        <v>20210</v>
      </c>
      <c r="L27" s="2946" t="s">
        <v>2941</v>
      </c>
      <c r="M27" s="2946" t="s">
        <v>291</v>
      </c>
      <c r="N27" s="2946" t="s">
        <v>297</v>
      </c>
      <c r="O27" s="2946" t="s">
        <v>2942</v>
      </c>
      <c r="P27" s="2946" t="s">
        <v>2943</v>
      </c>
      <c r="Q27" s="2946" t="s">
        <v>2944</v>
      </c>
      <c r="R27" s="2946" t="s">
        <v>2945</v>
      </c>
    </row>
    <row r="28" spans="1:19" ht="14.25" customHeight="1">
      <c r="A28" s="2946" t="s">
        <v>184</v>
      </c>
      <c r="B28" s="2947" t="s">
        <v>259</v>
      </c>
      <c r="C28" s="2946"/>
      <c r="D28" s="2946">
        <v>31520</v>
      </c>
      <c r="E28" s="2946">
        <v>31410</v>
      </c>
      <c r="F28" s="2946"/>
      <c r="G28" s="2946">
        <v>22940</v>
      </c>
      <c r="L28" s="2946" t="s">
        <v>2946</v>
      </c>
      <c r="M28" s="2946" t="s">
        <v>2947</v>
      </c>
      <c r="N28" s="2946" t="s">
        <v>2948</v>
      </c>
      <c r="O28" s="2946" t="s">
        <v>2949</v>
      </c>
      <c r="P28" s="2946" t="s">
        <v>2950</v>
      </c>
      <c r="Q28" s="2946" t="s">
        <v>2951</v>
      </c>
      <c r="R28" s="2946" t="s">
        <v>2952</v>
      </c>
    </row>
    <row r="29" spans="1:19" ht="14.25" customHeight="1" thickBot="1">
      <c r="A29" s="2954" t="s">
        <v>184</v>
      </c>
      <c r="B29" s="2956" t="s">
        <v>2919</v>
      </c>
      <c r="C29" s="2957"/>
      <c r="D29" s="2957">
        <v>29460</v>
      </c>
      <c r="E29" s="2957">
        <v>28640</v>
      </c>
      <c r="F29" s="2957"/>
      <c r="G29" s="2957">
        <v>21430</v>
      </c>
      <c r="L29" s="2946" t="s">
        <v>2953</v>
      </c>
      <c r="M29" s="2946" t="s">
        <v>2954</v>
      </c>
      <c r="N29" s="2946" t="s">
        <v>2955</v>
      </c>
      <c r="O29" s="2946" t="s">
        <v>2956</v>
      </c>
      <c r="P29" s="2946" t="s">
        <v>2957</v>
      </c>
      <c r="Q29" s="2946" t="s">
        <v>2958</v>
      </c>
      <c r="R29" s="2946" t="s">
        <v>280</v>
      </c>
    </row>
    <row r="30" spans="1:19" ht="14.25" customHeight="1">
      <c r="A30" s="2951" t="s">
        <v>296</v>
      </c>
      <c r="B30" s="2942" t="s">
        <v>2852</v>
      </c>
      <c r="C30" s="2942">
        <v>26890</v>
      </c>
      <c r="D30" s="2942">
        <v>26770</v>
      </c>
      <c r="E30" s="2942">
        <v>25700</v>
      </c>
      <c r="F30" s="2942">
        <v>8180</v>
      </c>
      <c r="G30" s="2958">
        <v>18740</v>
      </c>
      <c r="L30" s="2946" t="s">
        <v>2959</v>
      </c>
      <c r="M30" s="2946" t="s">
        <v>2960</v>
      </c>
      <c r="N30" s="2946" t="s">
        <v>2961</v>
      </c>
      <c r="O30" s="2946" t="s">
        <v>2962</v>
      </c>
      <c r="P30" s="2946" t="s">
        <v>2963</v>
      </c>
      <c r="Q30" s="2946" t="s">
        <v>2964</v>
      </c>
      <c r="R30" s="2946" t="s">
        <v>2965</v>
      </c>
    </row>
    <row r="31" spans="1:19" ht="14.25" customHeight="1">
      <c r="A31" s="2946" t="s">
        <v>296</v>
      </c>
      <c r="B31" s="2947" t="s">
        <v>129</v>
      </c>
      <c r="C31" s="2946">
        <v>24550</v>
      </c>
      <c r="D31" s="2946">
        <v>23990</v>
      </c>
      <c r="E31" s="2946">
        <v>22930</v>
      </c>
      <c r="F31" s="2946">
        <v>7470</v>
      </c>
      <c r="G31" s="2959">
        <v>16790</v>
      </c>
      <c r="L31" s="2946" t="s">
        <v>2966</v>
      </c>
      <c r="M31" s="2946" t="s">
        <v>2967</v>
      </c>
      <c r="N31" s="2946" t="s">
        <v>2968</v>
      </c>
      <c r="O31" s="2946" t="s">
        <v>2969</v>
      </c>
      <c r="P31" s="2946" t="s">
        <v>2970</v>
      </c>
      <c r="Q31" s="2946" t="s">
        <v>2971</v>
      </c>
      <c r="R31" s="2946" t="s">
        <v>2972</v>
      </c>
    </row>
    <row r="32" spans="1:19" ht="14.25" customHeight="1" thickBot="1">
      <c r="A32" s="2946" t="s">
        <v>296</v>
      </c>
      <c r="B32" s="2947" t="s">
        <v>138</v>
      </c>
      <c r="C32" s="2946">
        <v>27210</v>
      </c>
      <c r="D32" s="2946">
        <v>23240</v>
      </c>
      <c r="E32" s="2946">
        <v>23260</v>
      </c>
      <c r="F32" s="2946">
        <v>7130</v>
      </c>
      <c r="G32" s="2959">
        <v>16270</v>
      </c>
      <c r="L32" s="2946" t="s">
        <v>2973</v>
      </c>
      <c r="M32" s="2946" t="s">
        <v>2974</v>
      </c>
      <c r="N32" s="2946" t="s">
        <v>300</v>
      </c>
      <c r="O32" s="2946" t="s">
        <v>2975</v>
      </c>
      <c r="P32" s="2946" t="s">
        <v>299</v>
      </c>
      <c r="Q32" s="2946" t="s">
        <v>2976</v>
      </c>
      <c r="R32" s="2953" t="s">
        <v>2977</v>
      </c>
    </row>
    <row r="33" spans="1:17" ht="14.25" customHeight="1" thickBot="1">
      <c r="A33" s="2946" t="s">
        <v>296</v>
      </c>
      <c r="B33" s="2947" t="s">
        <v>147</v>
      </c>
      <c r="C33" s="2946">
        <v>27300</v>
      </c>
      <c r="D33" s="2946">
        <v>22980</v>
      </c>
      <c r="E33" s="2946">
        <v>24260</v>
      </c>
      <c r="F33" s="2946">
        <v>5860</v>
      </c>
      <c r="G33" s="2959">
        <v>16090</v>
      </c>
      <c r="L33" s="2953" t="s">
        <v>2978</v>
      </c>
      <c r="M33" s="2946" t="s">
        <v>2979</v>
      </c>
      <c r="N33" s="2946" t="s">
        <v>301</v>
      </c>
      <c r="O33" s="2946" t="s">
        <v>2980</v>
      </c>
      <c r="P33" s="2946" t="s">
        <v>2981</v>
      </c>
      <c r="Q33" s="2946" t="s">
        <v>2982</v>
      </c>
    </row>
    <row r="34" spans="1:17" ht="14.25" customHeight="1">
      <c r="A34" s="2946" t="s">
        <v>296</v>
      </c>
      <c r="B34" s="2947" t="s">
        <v>156</v>
      </c>
      <c r="C34" s="2946">
        <v>23090</v>
      </c>
      <c r="D34" s="2946">
        <v>23390</v>
      </c>
      <c r="E34" s="2946">
        <v>23510</v>
      </c>
      <c r="F34" s="2946">
        <v>6700</v>
      </c>
      <c r="G34" s="2959">
        <v>16370</v>
      </c>
      <c r="M34" s="2946" t="s">
        <v>2983</v>
      </c>
      <c r="N34" s="2946" t="s">
        <v>302</v>
      </c>
      <c r="O34" s="2946" t="s">
        <v>2984</v>
      </c>
      <c r="P34" s="2946" t="s">
        <v>2985</v>
      </c>
      <c r="Q34" s="2946" t="s">
        <v>2986</v>
      </c>
    </row>
    <row r="35" spans="1:17" ht="14.25" customHeight="1">
      <c r="A35" s="2946" t="s">
        <v>296</v>
      </c>
      <c r="B35" s="2947" t="s">
        <v>163</v>
      </c>
      <c r="C35" s="2946">
        <v>27270</v>
      </c>
      <c r="D35" s="2946">
        <v>24270</v>
      </c>
      <c r="E35" s="2946">
        <v>24950</v>
      </c>
      <c r="F35" s="2946">
        <v>6600</v>
      </c>
      <c r="G35" s="2959">
        <v>16990</v>
      </c>
      <c r="M35" s="2946" t="s">
        <v>2987</v>
      </c>
      <c r="N35" s="2946" t="s">
        <v>2988</v>
      </c>
      <c r="O35" s="2946" t="s">
        <v>2989</v>
      </c>
      <c r="P35" s="2946" t="s">
        <v>2990</v>
      </c>
      <c r="Q35" s="2946" t="s">
        <v>2991</v>
      </c>
    </row>
    <row r="36" spans="1:17" ht="14.25" customHeight="1">
      <c r="A36" s="2946" t="s">
        <v>296</v>
      </c>
      <c r="B36" s="2947" t="s">
        <v>169</v>
      </c>
      <c r="C36" s="2946">
        <v>23490</v>
      </c>
      <c r="D36" s="2946">
        <v>23020</v>
      </c>
      <c r="E36" s="2946">
        <v>25230</v>
      </c>
      <c r="F36" s="2946">
        <v>6780</v>
      </c>
      <c r="G36" s="2959">
        <v>16120</v>
      </c>
      <c r="M36" s="2946" t="s">
        <v>2992</v>
      </c>
      <c r="N36" s="2946" t="s">
        <v>2993</v>
      </c>
      <c r="O36" s="2946" t="s">
        <v>2994</v>
      </c>
      <c r="P36" s="2946" t="s">
        <v>2995</v>
      </c>
      <c r="Q36" s="2946" t="s">
        <v>2996</v>
      </c>
    </row>
    <row r="37" spans="1:17" ht="14.25" customHeight="1">
      <c r="A37" s="2946" t="s">
        <v>296</v>
      </c>
      <c r="B37" s="2947" t="s">
        <v>176</v>
      </c>
      <c r="C37" s="2946">
        <v>24380</v>
      </c>
      <c r="D37" s="2946">
        <v>22240</v>
      </c>
      <c r="E37" s="2946">
        <v>25980</v>
      </c>
      <c r="F37" s="2946">
        <v>8160</v>
      </c>
      <c r="G37" s="2959">
        <v>15570</v>
      </c>
      <c r="M37" s="2946" t="s">
        <v>2997</v>
      </c>
      <c r="N37" s="2946" t="s">
        <v>2998</v>
      </c>
      <c r="O37" s="2946" t="s">
        <v>2999</v>
      </c>
      <c r="P37" s="2946" t="s">
        <v>3000</v>
      </c>
      <c r="Q37" s="2946" t="s">
        <v>3001</v>
      </c>
    </row>
    <row r="38" spans="1:17" ht="14.25" customHeight="1">
      <c r="A38" s="2946" t="s">
        <v>296</v>
      </c>
      <c r="B38" s="2947" t="s">
        <v>186</v>
      </c>
      <c r="C38" s="2946">
        <v>23120</v>
      </c>
      <c r="D38" s="2946">
        <v>24630</v>
      </c>
      <c r="E38" s="2946">
        <v>25030</v>
      </c>
      <c r="F38" s="2946">
        <v>7710</v>
      </c>
      <c r="G38" s="2959">
        <v>17240</v>
      </c>
      <c r="M38" s="2946" t="s">
        <v>3002</v>
      </c>
      <c r="N38" s="2946" t="s">
        <v>3003</v>
      </c>
      <c r="O38" s="2946" t="s">
        <v>3004</v>
      </c>
      <c r="P38" s="2946" t="s">
        <v>3005</v>
      </c>
      <c r="Q38" s="2946" t="s">
        <v>3006</v>
      </c>
    </row>
    <row r="39" spans="1:17" ht="14.25" customHeight="1">
      <c r="A39" s="2946" t="s">
        <v>296</v>
      </c>
      <c r="B39" s="2947" t="s">
        <v>195</v>
      </c>
      <c r="C39" s="2946">
        <v>22330</v>
      </c>
      <c r="D39" s="2946">
        <v>21140</v>
      </c>
      <c r="E39" s="2946">
        <v>23970</v>
      </c>
      <c r="F39" s="2946">
        <v>7940</v>
      </c>
      <c r="G39" s="2959">
        <v>14790</v>
      </c>
      <c r="M39" s="2946" t="s">
        <v>3007</v>
      </c>
      <c r="N39" s="2946" t="s">
        <v>3008</v>
      </c>
      <c r="O39" s="2946" t="s">
        <v>3009</v>
      </c>
      <c r="P39" s="2946" t="s">
        <v>3010</v>
      </c>
      <c r="Q39" s="2946" t="s">
        <v>3011</v>
      </c>
    </row>
    <row r="40" spans="1:17" ht="14.25" customHeight="1">
      <c r="A40" s="2946" t="s">
        <v>296</v>
      </c>
      <c r="B40" s="2947" t="s">
        <v>202</v>
      </c>
      <c r="C40" s="2946">
        <v>24740</v>
      </c>
      <c r="D40" s="2946">
        <v>24690</v>
      </c>
      <c r="E40" s="2946">
        <v>22610</v>
      </c>
      <c r="F40" s="2946"/>
      <c r="G40" s="2959">
        <v>17280</v>
      </c>
      <c r="M40" s="2946" t="s">
        <v>3012</v>
      </c>
      <c r="N40" s="2946" t="s">
        <v>3013</v>
      </c>
      <c r="O40" s="2946" t="s">
        <v>3014</v>
      </c>
      <c r="P40" s="2946" t="s">
        <v>3015</v>
      </c>
      <c r="Q40" s="2946" t="s">
        <v>3016</v>
      </c>
    </row>
    <row r="41" spans="1:17" ht="14.25" customHeight="1" thickBot="1">
      <c r="A41" s="2946" t="s">
        <v>296</v>
      </c>
      <c r="B41" s="2947" t="s">
        <v>209</v>
      </c>
      <c r="C41" s="2946">
        <v>21220</v>
      </c>
      <c r="D41" s="2946">
        <v>21120</v>
      </c>
      <c r="E41" s="2946">
        <v>22590</v>
      </c>
      <c r="F41" s="2946"/>
      <c r="G41" s="2959">
        <v>14780</v>
      </c>
      <c r="M41" s="2953" t="s">
        <v>3017</v>
      </c>
      <c r="N41" s="2946" t="s">
        <v>3018</v>
      </c>
      <c r="O41" s="2946" t="s">
        <v>3019</v>
      </c>
      <c r="P41" s="2946" t="s">
        <v>3020</v>
      </c>
      <c r="Q41" s="2946" t="s">
        <v>3021</v>
      </c>
    </row>
    <row r="42" spans="1:17" ht="14.25" customHeight="1">
      <c r="A42" s="2946" t="s">
        <v>296</v>
      </c>
      <c r="B42" s="2947" t="s">
        <v>215</v>
      </c>
      <c r="C42" s="2946">
        <v>24800</v>
      </c>
      <c r="D42" s="2946">
        <v>22280</v>
      </c>
      <c r="E42" s="2946">
        <v>24350</v>
      </c>
      <c r="F42" s="2946"/>
      <c r="G42" s="2959">
        <v>15590</v>
      </c>
      <c r="N42" s="2946" t="s">
        <v>3022</v>
      </c>
      <c r="O42" s="2946" t="s">
        <v>3023</v>
      </c>
      <c r="P42" s="2946" t="s">
        <v>3024</v>
      </c>
      <c r="Q42" s="2946" t="s">
        <v>3025</v>
      </c>
    </row>
    <row r="43" spans="1:17" ht="14.25" customHeight="1">
      <c r="A43" s="2946" t="s">
        <v>3026</v>
      </c>
      <c r="B43" s="2947" t="s">
        <v>223</v>
      </c>
      <c r="C43" s="2946">
        <v>21210</v>
      </c>
      <c r="D43" s="2946">
        <v>21160</v>
      </c>
      <c r="E43" s="2946">
        <v>22650</v>
      </c>
      <c r="F43" s="2946"/>
      <c r="G43" s="2959">
        <v>14800</v>
      </c>
      <c r="N43" s="2946" t="s">
        <v>3027</v>
      </c>
      <c r="O43" s="2946" t="s">
        <v>3028</v>
      </c>
      <c r="P43" s="2946" t="s">
        <v>3029</v>
      </c>
      <c r="Q43" s="2946" t="s">
        <v>3030</v>
      </c>
    </row>
    <row r="44" spans="1:17" ht="14.25" customHeight="1" thickBot="1">
      <c r="A44" s="2946" t="s">
        <v>296</v>
      </c>
      <c r="B44" s="2947" t="s">
        <v>231</v>
      </c>
      <c r="C44" s="2946">
        <v>22370</v>
      </c>
      <c r="D44" s="2946">
        <v>23140</v>
      </c>
      <c r="E44" s="2946">
        <v>25090</v>
      </c>
      <c r="F44" s="2946"/>
      <c r="G44" s="2959">
        <v>16190</v>
      </c>
      <c r="N44" s="2946" t="s">
        <v>3031</v>
      </c>
      <c r="O44" s="2946" t="s">
        <v>3032</v>
      </c>
      <c r="P44" s="2953" t="s">
        <v>3033</v>
      </c>
      <c r="Q44" s="2946" t="s">
        <v>3034</v>
      </c>
    </row>
    <row r="45" spans="1:17" ht="14.25" customHeight="1" thickBot="1">
      <c r="A45" s="2946" t="s">
        <v>296</v>
      </c>
      <c r="B45" s="2947" t="s">
        <v>236</v>
      </c>
      <c r="C45" s="2946">
        <v>21240</v>
      </c>
      <c r="D45" s="2946">
        <v>27050</v>
      </c>
      <c r="E45" s="2946">
        <v>28000</v>
      </c>
      <c r="F45" s="2946"/>
      <c r="G45" s="2959">
        <v>18940</v>
      </c>
      <c r="N45" s="2946" t="s">
        <v>3035</v>
      </c>
      <c r="O45" s="2953" t="s">
        <v>3036</v>
      </c>
      <c r="Q45" s="2946" t="s">
        <v>3037</v>
      </c>
    </row>
    <row r="46" spans="1:17" ht="14.25" customHeight="1">
      <c r="A46" s="2946" t="s">
        <v>296</v>
      </c>
      <c r="B46" s="2947" t="s">
        <v>245</v>
      </c>
      <c r="C46" s="2946">
        <v>23240</v>
      </c>
      <c r="D46" s="2946">
        <v>23000</v>
      </c>
      <c r="E46" s="2946">
        <v>24980</v>
      </c>
      <c r="F46" s="2946"/>
      <c r="G46" s="2959">
        <v>16100</v>
      </c>
      <c r="N46" s="2946" t="s">
        <v>3038</v>
      </c>
      <c r="Q46" s="2946" t="s">
        <v>3039</v>
      </c>
    </row>
    <row r="47" spans="1:17" ht="14.25" customHeight="1">
      <c r="A47" s="2946" t="s">
        <v>296</v>
      </c>
      <c r="B47" s="2947" t="s">
        <v>252</v>
      </c>
      <c r="C47" s="2946">
        <v>27150</v>
      </c>
      <c r="D47" s="2946">
        <v>23310</v>
      </c>
      <c r="E47" s="2946">
        <v>25150</v>
      </c>
      <c r="F47" s="2946"/>
      <c r="G47" s="2959">
        <v>16310</v>
      </c>
      <c r="N47" s="2946" t="s">
        <v>3040</v>
      </c>
      <c r="Q47" s="2946" t="s">
        <v>3041</v>
      </c>
    </row>
    <row r="48" spans="1:17" ht="14.25" customHeight="1">
      <c r="A48" s="2946" t="s">
        <v>296</v>
      </c>
      <c r="B48" s="2947" t="s">
        <v>260</v>
      </c>
      <c r="C48" s="2946">
        <v>23100</v>
      </c>
      <c r="D48" s="2946">
        <v>21110</v>
      </c>
      <c r="E48" s="2946">
        <v>23080</v>
      </c>
      <c r="F48" s="2946"/>
      <c r="G48" s="2959">
        <v>14780</v>
      </c>
      <c r="N48" s="2946" t="s">
        <v>3042</v>
      </c>
      <c r="Q48" s="2946" t="s">
        <v>3043</v>
      </c>
    </row>
    <row r="49" spans="1:17" ht="14.25" customHeight="1">
      <c r="A49" s="2946" t="s">
        <v>296</v>
      </c>
      <c r="B49" s="2947" t="s">
        <v>267</v>
      </c>
      <c r="C49" s="2946">
        <v>23400</v>
      </c>
      <c r="D49" s="2946">
        <v>22920</v>
      </c>
      <c r="E49" s="2946">
        <v>24900</v>
      </c>
      <c r="F49" s="2946"/>
      <c r="G49" s="2959">
        <v>16040</v>
      </c>
      <c r="N49" s="2946" t="s">
        <v>3044</v>
      </c>
      <c r="Q49" s="2946" t="s">
        <v>3045</v>
      </c>
    </row>
    <row r="50" spans="1:17" ht="14.25" customHeight="1">
      <c r="A50" s="2946" t="s">
        <v>296</v>
      </c>
      <c r="B50" s="2947" t="s">
        <v>2922</v>
      </c>
      <c r="C50" s="2946">
        <v>21200</v>
      </c>
      <c r="D50" s="2946">
        <v>26540</v>
      </c>
      <c r="E50" s="2946">
        <v>23200</v>
      </c>
      <c r="F50" s="2946"/>
      <c r="G50" s="2959">
        <v>18580</v>
      </c>
      <c r="N50" s="2946" t="s">
        <v>3046</v>
      </c>
      <c r="Q50" s="2947" t="s">
        <v>3047</v>
      </c>
    </row>
    <row r="51" spans="1:17" ht="14.25" customHeight="1" thickBot="1">
      <c r="A51" s="2946" t="s">
        <v>296</v>
      </c>
      <c r="B51" s="2947" t="s">
        <v>2924</v>
      </c>
      <c r="C51" s="2946">
        <v>23000</v>
      </c>
      <c r="D51" s="2946">
        <v>23460</v>
      </c>
      <c r="E51" s="2946">
        <v>25290</v>
      </c>
      <c r="F51" s="2946"/>
      <c r="G51" s="2959">
        <v>16420</v>
      </c>
      <c r="N51" s="2946" t="s">
        <v>3048</v>
      </c>
      <c r="Q51" s="2953" t="s">
        <v>3049</v>
      </c>
    </row>
    <row r="52" spans="1:17" ht="14.25" customHeight="1">
      <c r="A52" s="2946" t="s">
        <v>296</v>
      </c>
      <c r="B52" s="2947" t="s">
        <v>2928</v>
      </c>
      <c r="C52" s="2946">
        <v>26660</v>
      </c>
      <c r="D52" s="2946">
        <v>22350</v>
      </c>
      <c r="E52" s="2946">
        <v>22920</v>
      </c>
      <c r="F52" s="2946"/>
      <c r="G52" s="2959">
        <v>15640</v>
      </c>
      <c r="N52" s="2946" t="s">
        <v>3050</v>
      </c>
    </row>
    <row r="53" spans="1:17" ht="14.25" customHeight="1">
      <c r="A53" s="2946" t="s">
        <v>296</v>
      </c>
      <c r="B53" s="2947" t="s">
        <v>2933</v>
      </c>
      <c r="C53" s="2946">
        <v>23580</v>
      </c>
      <c r="D53" s="2946"/>
      <c r="E53" s="2946">
        <v>24280</v>
      </c>
      <c r="F53" s="2946"/>
      <c r="G53" s="2959"/>
      <c r="N53" s="2946" t="s">
        <v>3051</v>
      </c>
    </row>
    <row r="54" spans="1:17" ht="14.25" customHeight="1" thickBot="1">
      <c r="A54" s="2960" t="s">
        <v>296</v>
      </c>
      <c r="B54" s="2952" t="s">
        <v>2936</v>
      </c>
      <c r="C54" s="2953">
        <v>22460</v>
      </c>
      <c r="D54" s="2953"/>
      <c r="E54" s="2953"/>
      <c r="F54" s="2953"/>
      <c r="G54" s="2961"/>
      <c r="N54" s="2946" t="s">
        <v>3052</v>
      </c>
    </row>
    <row r="55" spans="1:17" ht="14.25" customHeight="1">
      <c r="A55" s="2951" t="s">
        <v>110</v>
      </c>
      <c r="B55" s="2942" t="s">
        <v>3053</v>
      </c>
      <c r="C55" s="2946">
        <v>21970</v>
      </c>
      <c r="D55" s="2946">
        <v>20370</v>
      </c>
      <c r="E55" s="2946">
        <v>20180</v>
      </c>
      <c r="F55" s="2946">
        <v>5730</v>
      </c>
      <c r="G55" s="2946">
        <v>13820</v>
      </c>
      <c r="N55" s="2946" t="s">
        <v>3054</v>
      </c>
    </row>
    <row r="56" spans="1:17" ht="14.25" customHeight="1">
      <c r="A56" s="2946" t="s">
        <v>110</v>
      </c>
      <c r="B56" s="2946" t="s">
        <v>130</v>
      </c>
      <c r="C56" s="2946">
        <v>20470</v>
      </c>
      <c r="D56" s="2946">
        <v>20700</v>
      </c>
      <c r="E56" s="2946">
        <v>20380</v>
      </c>
      <c r="F56" s="2946">
        <v>4760</v>
      </c>
      <c r="G56" s="2946">
        <v>14050</v>
      </c>
      <c r="N56" s="2946" t="s">
        <v>3055</v>
      </c>
    </row>
    <row r="57" spans="1:17" ht="14.25" customHeight="1">
      <c r="A57" s="2946" t="s">
        <v>110</v>
      </c>
      <c r="B57" s="2946" t="s">
        <v>139</v>
      </c>
      <c r="C57" s="2946">
        <v>20790</v>
      </c>
      <c r="D57" s="2946">
        <v>21370</v>
      </c>
      <c r="E57" s="2946">
        <v>20890</v>
      </c>
      <c r="F57" s="2946">
        <v>4910</v>
      </c>
      <c r="G57" s="2946">
        <v>14510</v>
      </c>
      <c r="N57" s="2946" t="s">
        <v>3056</v>
      </c>
    </row>
    <row r="58" spans="1:17" ht="14.25" customHeight="1">
      <c r="A58" s="2946" t="s">
        <v>110</v>
      </c>
      <c r="B58" s="2946" t="s">
        <v>148</v>
      </c>
      <c r="C58" s="2946">
        <v>21460</v>
      </c>
      <c r="D58" s="2946">
        <v>20920</v>
      </c>
      <c r="E58" s="2946">
        <v>23410</v>
      </c>
      <c r="F58" s="2946">
        <v>5100</v>
      </c>
      <c r="G58" s="2946">
        <v>14200</v>
      </c>
      <c r="N58" s="2946" t="s">
        <v>3057</v>
      </c>
    </row>
    <row r="59" spans="1:17" ht="14.25" customHeight="1">
      <c r="A59" s="2946" t="s">
        <v>110</v>
      </c>
      <c r="B59" s="2946" t="s">
        <v>157</v>
      </c>
      <c r="C59" s="2946">
        <v>21000</v>
      </c>
      <c r="D59" s="2946">
        <v>21550</v>
      </c>
      <c r="E59" s="2946">
        <v>21150</v>
      </c>
      <c r="F59" s="2946">
        <v>5250</v>
      </c>
      <c r="G59" s="2946">
        <v>14630</v>
      </c>
      <c r="N59" s="2946" t="s">
        <v>3058</v>
      </c>
    </row>
    <row r="60" spans="1:17" ht="14.25" customHeight="1">
      <c r="A60" s="2946" t="s">
        <v>110</v>
      </c>
      <c r="B60" s="2946" t="s">
        <v>164</v>
      </c>
      <c r="C60" s="2946">
        <v>21640</v>
      </c>
      <c r="D60" s="2946">
        <v>21260</v>
      </c>
      <c r="E60" s="2946">
        <v>24040</v>
      </c>
      <c r="F60" s="2946">
        <v>4470</v>
      </c>
      <c r="G60" s="2946">
        <v>14430</v>
      </c>
      <c r="N60" s="2946" t="s">
        <v>3059</v>
      </c>
    </row>
    <row r="61" spans="1:17" ht="14.25" customHeight="1">
      <c r="A61" s="2946" t="s">
        <v>110</v>
      </c>
      <c r="B61" s="2946" t="s">
        <v>170</v>
      </c>
      <c r="C61" s="2946">
        <v>21330</v>
      </c>
      <c r="D61" s="2946">
        <v>18640</v>
      </c>
      <c r="E61" s="2946">
        <v>21190</v>
      </c>
      <c r="F61" s="2946">
        <v>4180</v>
      </c>
      <c r="G61" s="2946">
        <v>12650</v>
      </c>
      <c r="N61" s="2946" t="s">
        <v>3060</v>
      </c>
    </row>
    <row r="62" spans="1:17" ht="14.25" customHeight="1">
      <c r="A62" s="2946" t="s">
        <v>110</v>
      </c>
      <c r="B62" s="2946" t="s">
        <v>177</v>
      </c>
      <c r="C62" s="2946">
        <v>18710</v>
      </c>
      <c r="D62" s="2946">
        <v>19400</v>
      </c>
      <c r="E62" s="2946">
        <v>23750</v>
      </c>
      <c r="F62" s="2946">
        <v>4860</v>
      </c>
      <c r="G62" s="2946">
        <v>13170</v>
      </c>
      <c r="N62" s="2946" t="s">
        <v>3061</v>
      </c>
    </row>
    <row r="63" spans="1:17" ht="14.25" customHeight="1">
      <c r="A63" s="2946" t="s">
        <v>110</v>
      </c>
      <c r="B63" s="2946" t="s">
        <v>187</v>
      </c>
      <c r="C63" s="2946">
        <v>19480</v>
      </c>
      <c r="D63" s="2946">
        <v>16830</v>
      </c>
      <c r="E63" s="2946">
        <v>21590</v>
      </c>
      <c r="F63" s="2946">
        <v>4560</v>
      </c>
      <c r="G63" s="2946">
        <v>11420</v>
      </c>
      <c r="N63" s="2946" t="s">
        <v>3062</v>
      </c>
    </row>
    <row r="64" spans="1:17" ht="14.25" customHeight="1" thickBot="1">
      <c r="A64" s="2946" t="s">
        <v>110</v>
      </c>
      <c r="B64" s="2946" t="s">
        <v>196</v>
      </c>
      <c r="C64" s="2946">
        <v>16920</v>
      </c>
      <c r="D64" s="2946">
        <v>19190</v>
      </c>
      <c r="E64" s="2946">
        <v>22200</v>
      </c>
      <c r="F64" s="2946">
        <v>4390</v>
      </c>
      <c r="G64" s="2946">
        <v>13030</v>
      </c>
      <c r="N64" s="2953" t="s">
        <v>3063</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2934</v>
      </c>
      <c r="C78" s="2946">
        <v>19820</v>
      </c>
      <c r="D78" s="2946">
        <v>19780</v>
      </c>
      <c r="E78" s="2946">
        <v>18560</v>
      </c>
      <c r="F78" s="2946"/>
      <c r="G78" s="2946">
        <v>13430</v>
      </c>
    </row>
    <row r="79" spans="1:7" s="2780" customFormat="1" ht="14.25" customHeight="1">
      <c r="A79" s="2946" t="s">
        <v>110</v>
      </c>
      <c r="B79" s="2946" t="s">
        <v>2937</v>
      </c>
      <c r="C79" s="2946">
        <v>21660</v>
      </c>
      <c r="D79" s="2946">
        <v>18000</v>
      </c>
      <c r="E79" s="2946">
        <v>22570</v>
      </c>
      <c r="F79" s="2946"/>
      <c r="G79" s="2946">
        <v>12220</v>
      </c>
    </row>
    <row r="80" spans="1:7" s="2780" customFormat="1" ht="14.25" customHeight="1">
      <c r="A80" s="2946" t="s">
        <v>110</v>
      </c>
      <c r="B80" s="2946" t="s">
        <v>2941</v>
      </c>
      <c r="C80" s="2946">
        <v>19850</v>
      </c>
      <c r="D80" s="2946"/>
      <c r="E80" s="2946">
        <v>21700</v>
      </c>
      <c r="F80" s="2946"/>
      <c r="G80" s="2946"/>
    </row>
    <row r="81" spans="1:7" s="2780" customFormat="1" ht="14.25" customHeight="1">
      <c r="A81" s="2946" t="s">
        <v>110</v>
      </c>
      <c r="B81" s="2946" t="s">
        <v>2946</v>
      </c>
      <c r="C81" s="2946">
        <v>18080</v>
      </c>
      <c r="D81" s="2946"/>
      <c r="E81" s="2946">
        <v>20900</v>
      </c>
      <c r="F81" s="2946"/>
      <c r="G81" s="2946"/>
    </row>
    <row r="82" spans="1:7" s="2780" customFormat="1" ht="14.25" customHeight="1">
      <c r="A82" s="2946" t="s">
        <v>110</v>
      </c>
      <c r="B82" s="2946" t="s">
        <v>2953</v>
      </c>
      <c r="C82" s="2946"/>
      <c r="D82" s="2946"/>
      <c r="E82" s="2946">
        <v>20840</v>
      </c>
      <c r="F82" s="2946"/>
      <c r="G82" s="2946"/>
    </row>
    <row r="83" spans="1:7" s="2780" customFormat="1" ht="14.25" customHeight="1">
      <c r="A83" s="2946" t="s">
        <v>110</v>
      </c>
      <c r="B83" s="2946" t="s">
        <v>3064</v>
      </c>
      <c r="C83" s="2946"/>
      <c r="D83" s="2946"/>
      <c r="E83" s="2946"/>
      <c r="F83" s="2946">
        <v>4770</v>
      </c>
      <c r="G83" s="2946"/>
    </row>
    <row r="84" spans="1:7" s="2780" customFormat="1" ht="14.25" customHeight="1">
      <c r="A84" s="2946" t="s">
        <v>110</v>
      </c>
      <c r="B84" s="2946" t="s">
        <v>3065</v>
      </c>
      <c r="C84" s="2946"/>
      <c r="D84" s="2946"/>
      <c r="E84" s="2946"/>
      <c r="F84" s="2946">
        <v>4600</v>
      </c>
      <c r="G84" s="2946"/>
    </row>
    <row r="85" spans="1:7" s="2780" customFormat="1" ht="14.25" customHeight="1">
      <c r="A85" s="2946" t="s">
        <v>110</v>
      </c>
      <c r="B85" s="2946" t="s">
        <v>3066</v>
      </c>
      <c r="C85" s="2946"/>
      <c r="D85" s="2946"/>
      <c r="E85" s="2946"/>
      <c r="F85" s="2946">
        <v>4680</v>
      </c>
      <c r="G85" s="2946"/>
    </row>
    <row r="86" spans="1:7" s="2780" customFormat="1" ht="14.25" customHeight="1" thickBot="1">
      <c r="A86" s="2954" t="s">
        <v>110</v>
      </c>
      <c r="B86" s="2956" t="s">
        <v>3067</v>
      </c>
      <c r="C86" s="2957">
        <v>16610</v>
      </c>
      <c r="D86" s="2957">
        <v>16540</v>
      </c>
      <c r="E86" s="2957">
        <v>18850</v>
      </c>
      <c r="F86" s="2957"/>
      <c r="G86" s="2957">
        <v>11220</v>
      </c>
    </row>
    <row r="87" spans="1:7" s="2780" customFormat="1" ht="14.25" customHeight="1">
      <c r="A87" s="2951" t="s">
        <v>303</v>
      </c>
      <c r="B87" s="2942" t="s">
        <v>3068</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2947</v>
      </c>
      <c r="C113" s="2946">
        <v>15520</v>
      </c>
      <c r="D113" s="2946">
        <v>15450</v>
      </c>
      <c r="E113" s="2946"/>
      <c r="F113" s="2946"/>
      <c r="G113" s="2959">
        <v>10210</v>
      </c>
    </row>
    <row r="114" spans="1:7" s="2780" customFormat="1" ht="14.25" customHeight="1">
      <c r="A114" s="2946" t="s">
        <v>303</v>
      </c>
      <c r="B114" s="2946" t="s">
        <v>2954</v>
      </c>
      <c r="C114" s="2946">
        <v>13110</v>
      </c>
      <c r="D114" s="2946">
        <v>13050</v>
      </c>
      <c r="E114" s="2946"/>
      <c r="F114" s="2946"/>
      <c r="G114" s="2959">
        <v>8620</v>
      </c>
    </row>
    <row r="115" spans="1:7" s="2780" customFormat="1" ht="14.25" customHeight="1">
      <c r="A115" s="2946" t="s">
        <v>303</v>
      </c>
      <c r="B115" s="2946" t="s">
        <v>2960</v>
      </c>
      <c r="C115" s="2946">
        <v>12460</v>
      </c>
      <c r="D115" s="2946">
        <v>12390</v>
      </c>
      <c r="E115" s="2946"/>
      <c r="F115" s="2946"/>
      <c r="G115" s="2959">
        <v>8190</v>
      </c>
    </row>
    <row r="116" spans="1:7" s="2780" customFormat="1" ht="14.25" customHeight="1">
      <c r="A116" s="2946" t="s">
        <v>303</v>
      </c>
      <c r="B116" s="2946" t="s">
        <v>2967</v>
      </c>
      <c r="C116" s="2946">
        <v>13580</v>
      </c>
      <c r="D116" s="2946">
        <v>13520</v>
      </c>
      <c r="E116" s="2946"/>
      <c r="F116" s="2946"/>
      <c r="G116" s="2959">
        <v>8930</v>
      </c>
    </row>
    <row r="117" spans="1:7" s="2780" customFormat="1" ht="14.25" customHeight="1">
      <c r="A117" s="2946" t="s">
        <v>303</v>
      </c>
      <c r="B117" s="2946" t="s">
        <v>2974</v>
      </c>
      <c r="C117" s="2946">
        <v>17120</v>
      </c>
      <c r="D117" s="2946">
        <v>17040</v>
      </c>
      <c r="E117" s="2946"/>
      <c r="F117" s="2946"/>
      <c r="G117" s="2959">
        <v>11260</v>
      </c>
    </row>
    <row r="118" spans="1:7" s="2780" customFormat="1" ht="14.25" customHeight="1">
      <c r="A118" s="2946" t="s">
        <v>303</v>
      </c>
      <c r="B118" s="2946" t="s">
        <v>2979</v>
      </c>
      <c r="C118" s="2946">
        <v>14860</v>
      </c>
      <c r="D118" s="2946">
        <v>14790</v>
      </c>
      <c r="E118" s="2946"/>
      <c r="F118" s="2946"/>
      <c r="G118" s="2959">
        <v>9780</v>
      </c>
    </row>
    <row r="119" spans="1:7" s="2780" customFormat="1" ht="14.25" customHeight="1">
      <c r="A119" s="2946" t="s">
        <v>303</v>
      </c>
      <c r="B119" s="2946" t="s">
        <v>2983</v>
      </c>
      <c r="C119" s="2946">
        <v>16470</v>
      </c>
      <c r="D119" s="2946">
        <v>16400</v>
      </c>
      <c r="E119" s="2946"/>
      <c r="F119" s="2946"/>
      <c r="G119" s="2959">
        <v>10840</v>
      </c>
    </row>
    <row r="120" spans="1:7" s="2780" customFormat="1" ht="14.25" customHeight="1">
      <c r="A120" s="2946" t="s">
        <v>303</v>
      </c>
      <c r="B120" s="2946" t="s">
        <v>3069</v>
      </c>
      <c r="C120" s="2946"/>
      <c r="D120" s="2946"/>
      <c r="E120" s="2946"/>
      <c r="F120" s="2946">
        <v>4160</v>
      </c>
      <c r="G120" s="2959"/>
    </row>
    <row r="121" spans="1:7" s="2780" customFormat="1" ht="14.25" customHeight="1">
      <c r="A121" s="2946" t="s">
        <v>303</v>
      </c>
      <c r="B121" s="2946" t="s">
        <v>3070</v>
      </c>
      <c r="C121" s="2946"/>
      <c r="D121" s="2946"/>
      <c r="E121" s="2946"/>
      <c r="F121" s="2946">
        <v>3880</v>
      </c>
      <c r="G121" s="2959"/>
    </row>
    <row r="122" spans="1:7" s="2780" customFormat="1" ht="14.25" customHeight="1">
      <c r="A122" s="2946" t="s">
        <v>303</v>
      </c>
      <c r="B122" s="2946" t="s">
        <v>3071</v>
      </c>
      <c r="C122" s="2946">
        <v>13750</v>
      </c>
      <c r="D122" s="2946">
        <v>13680</v>
      </c>
      <c r="E122" s="2946">
        <v>16460</v>
      </c>
      <c r="F122" s="2946">
        <v>2880</v>
      </c>
      <c r="G122" s="2959">
        <v>9040</v>
      </c>
    </row>
    <row r="123" spans="1:7" s="2780" customFormat="1" ht="14.25" customHeight="1">
      <c r="A123" s="2946" t="s">
        <v>303</v>
      </c>
      <c r="B123" s="2946" t="s">
        <v>3002</v>
      </c>
      <c r="C123" s="2946">
        <v>13590</v>
      </c>
      <c r="D123" s="2946">
        <v>13520</v>
      </c>
      <c r="E123" s="2946">
        <v>16290</v>
      </c>
      <c r="F123" s="2946">
        <v>2790</v>
      </c>
      <c r="G123" s="2959">
        <v>8930</v>
      </c>
    </row>
    <row r="124" spans="1:7" s="2780" customFormat="1" ht="14.25" customHeight="1">
      <c r="A124" s="2946" t="s">
        <v>303</v>
      </c>
      <c r="B124" s="2946" t="s">
        <v>3007</v>
      </c>
      <c r="C124" s="2946">
        <v>13400</v>
      </c>
      <c r="D124" s="2946">
        <v>13320</v>
      </c>
      <c r="E124" s="2946">
        <v>16100</v>
      </c>
      <c r="F124" s="2946">
        <v>2320</v>
      </c>
      <c r="G124" s="2959">
        <v>8800</v>
      </c>
    </row>
    <row r="125" spans="1:7" s="2780" customFormat="1" ht="14.25" customHeight="1">
      <c r="A125" s="2946" t="s">
        <v>303</v>
      </c>
      <c r="B125" s="2946" t="s">
        <v>3012</v>
      </c>
      <c r="C125" s="2946">
        <v>12860</v>
      </c>
      <c r="D125" s="2946">
        <v>12790</v>
      </c>
      <c r="E125" s="2946">
        <v>15370</v>
      </c>
      <c r="F125" s="2946">
        <v>2280</v>
      </c>
      <c r="G125" s="2959">
        <v>8450</v>
      </c>
    </row>
    <row r="126" spans="1:7" s="2780" customFormat="1" ht="14.25" customHeight="1" thickBot="1">
      <c r="A126" s="2960" t="s">
        <v>303</v>
      </c>
      <c r="B126" s="2953" t="s">
        <v>3017</v>
      </c>
      <c r="C126" s="2953">
        <v>12960</v>
      </c>
      <c r="D126" s="2953">
        <v>12890</v>
      </c>
      <c r="E126" s="2953">
        <v>15530</v>
      </c>
      <c r="F126" s="2953">
        <v>2910</v>
      </c>
      <c r="G126" s="2961">
        <v>8520</v>
      </c>
    </row>
    <row r="127" spans="1:7" s="2780" customFormat="1" ht="14.25" customHeight="1">
      <c r="A127" s="2951" t="s">
        <v>29</v>
      </c>
      <c r="B127" s="2942" t="s">
        <v>3072</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3073</v>
      </c>
      <c r="C148" s="2946">
        <v>10370</v>
      </c>
      <c r="D148" s="2946">
        <v>10310</v>
      </c>
      <c r="E148" s="2946">
        <v>12970</v>
      </c>
      <c r="F148" s="2946"/>
      <c r="G148" s="2946">
        <v>6630</v>
      </c>
    </row>
    <row r="149" spans="1:7" s="2780" customFormat="1" ht="14.25" customHeight="1">
      <c r="A149" s="2946" t="s">
        <v>29</v>
      </c>
      <c r="B149" s="2946" t="s">
        <v>3074</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2948</v>
      </c>
      <c r="C153" s="2946">
        <v>10880</v>
      </c>
      <c r="D153" s="2946">
        <v>10820</v>
      </c>
      <c r="E153" s="2946">
        <v>13660</v>
      </c>
      <c r="F153" s="2946">
        <v>2260</v>
      </c>
      <c r="G153" s="2946">
        <v>6970</v>
      </c>
    </row>
    <row r="154" spans="1:7" s="2780" customFormat="1" ht="14.25" customHeight="1">
      <c r="A154" s="2946" t="s">
        <v>29</v>
      </c>
      <c r="B154" s="2946" t="s">
        <v>3075</v>
      </c>
      <c r="C154" s="2946">
        <v>11220</v>
      </c>
      <c r="D154" s="2946">
        <v>11160</v>
      </c>
      <c r="E154" s="2946">
        <v>14130</v>
      </c>
      <c r="F154" s="2946">
        <v>2230</v>
      </c>
      <c r="G154" s="2946">
        <v>7180</v>
      </c>
    </row>
    <row r="155" spans="1:7" s="2780" customFormat="1" ht="14.25" customHeight="1">
      <c r="A155" s="2946" t="s">
        <v>29</v>
      </c>
      <c r="B155" s="2946" t="s">
        <v>2961</v>
      </c>
      <c r="C155" s="2946">
        <v>10430</v>
      </c>
      <c r="D155" s="2946">
        <v>10380</v>
      </c>
      <c r="E155" s="2946">
        <v>13140</v>
      </c>
      <c r="F155" s="2946">
        <v>2080</v>
      </c>
      <c r="G155" s="2946">
        <v>6650</v>
      </c>
    </row>
    <row r="156" spans="1:7" s="2780" customFormat="1" ht="14.25" customHeight="1">
      <c r="A156" s="2946" t="s">
        <v>29</v>
      </c>
      <c r="B156" s="2946" t="s">
        <v>3076</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3077</v>
      </c>
      <c r="C160" s="2946">
        <v>11180</v>
      </c>
      <c r="D160" s="2946">
        <v>11140</v>
      </c>
      <c r="E160" s="2946">
        <v>14050</v>
      </c>
      <c r="F160" s="2946">
        <v>2270</v>
      </c>
      <c r="G160" s="2946">
        <v>7170</v>
      </c>
    </row>
    <row r="161" spans="1:7" s="2780" customFormat="1" ht="14.25" customHeight="1">
      <c r="A161" s="2946" t="s">
        <v>29</v>
      </c>
      <c r="B161" s="2946" t="s">
        <v>2993</v>
      </c>
      <c r="C161" s="2946">
        <v>11160</v>
      </c>
      <c r="D161" s="2946">
        <v>11120</v>
      </c>
      <c r="E161" s="2946">
        <v>14020</v>
      </c>
      <c r="F161" s="2946">
        <v>2150</v>
      </c>
      <c r="G161" s="2946">
        <v>7160</v>
      </c>
    </row>
    <row r="162" spans="1:7" s="2780" customFormat="1" ht="14.25" customHeight="1">
      <c r="A162" s="2946" t="s">
        <v>29</v>
      </c>
      <c r="B162" s="2946" t="s">
        <v>2998</v>
      </c>
      <c r="C162" s="2946">
        <v>9620</v>
      </c>
      <c r="D162" s="2946">
        <v>9570</v>
      </c>
      <c r="E162" s="2946">
        <v>12320</v>
      </c>
      <c r="F162" s="2946">
        <v>2010</v>
      </c>
      <c r="G162" s="2946">
        <v>6160</v>
      </c>
    </row>
    <row r="163" spans="1:7" s="2780" customFormat="1" ht="14.25" customHeight="1">
      <c r="A163" s="2946" t="s">
        <v>29</v>
      </c>
      <c r="B163" s="2946" t="s">
        <v>3003</v>
      </c>
      <c r="C163" s="2946">
        <v>9320</v>
      </c>
      <c r="D163" s="2946">
        <v>9270</v>
      </c>
      <c r="E163" s="2946">
        <v>11790</v>
      </c>
      <c r="F163" s="2946">
        <v>1920</v>
      </c>
      <c r="G163" s="2946">
        <v>5960</v>
      </c>
    </row>
    <row r="164" spans="1:7" s="2780" customFormat="1" ht="14.25" customHeight="1">
      <c r="A164" s="2946" t="s">
        <v>29</v>
      </c>
      <c r="B164" s="2946" t="s">
        <v>3008</v>
      </c>
      <c r="C164" s="2946"/>
      <c r="D164" s="2946"/>
      <c r="E164" s="2946"/>
      <c r="F164" s="2946">
        <v>1980</v>
      </c>
      <c r="G164" s="2946"/>
    </row>
    <row r="165" spans="1:7" s="2780" customFormat="1" ht="14.25" customHeight="1">
      <c r="A165" s="2946" t="s">
        <v>29</v>
      </c>
      <c r="B165" s="2946" t="s">
        <v>3078</v>
      </c>
      <c r="C165" s="2946">
        <v>11060</v>
      </c>
      <c r="D165" s="2946">
        <v>11030</v>
      </c>
      <c r="E165" s="2946">
        <v>13850</v>
      </c>
      <c r="F165" s="2946">
        <v>2170</v>
      </c>
      <c r="G165" s="2946">
        <v>7090</v>
      </c>
    </row>
    <row r="166" spans="1:7" s="2780" customFormat="1" ht="14.25" customHeight="1">
      <c r="A166" s="2946" t="s">
        <v>29</v>
      </c>
      <c r="B166" s="2946" t="s">
        <v>3018</v>
      </c>
      <c r="C166" s="2946">
        <v>11050</v>
      </c>
      <c r="D166" s="2946">
        <v>11010</v>
      </c>
      <c r="E166" s="2946">
        <v>13920</v>
      </c>
      <c r="F166" s="2946">
        <v>2140</v>
      </c>
      <c r="G166" s="2946">
        <v>7080</v>
      </c>
    </row>
    <row r="167" spans="1:7" s="2780" customFormat="1" ht="14.25" customHeight="1">
      <c r="A167" s="2946" t="s">
        <v>29</v>
      </c>
      <c r="B167" s="2946" t="s">
        <v>3022</v>
      </c>
      <c r="C167" s="2946">
        <v>10930</v>
      </c>
      <c r="D167" s="2946">
        <v>10890</v>
      </c>
      <c r="E167" s="2946">
        <v>13790</v>
      </c>
      <c r="F167" s="2946">
        <v>2010</v>
      </c>
      <c r="G167" s="2946">
        <v>7000</v>
      </c>
    </row>
    <row r="168" spans="1:7" s="2780" customFormat="1" ht="14.25" customHeight="1">
      <c r="A168" s="2946" t="s">
        <v>29</v>
      </c>
      <c r="B168" s="2946" t="s">
        <v>3027</v>
      </c>
      <c r="C168" s="2946">
        <v>9420</v>
      </c>
      <c r="D168" s="2946">
        <v>9380</v>
      </c>
      <c r="E168" s="2946">
        <v>11970</v>
      </c>
      <c r="F168" s="2946"/>
      <c r="G168" s="2946">
        <v>6040</v>
      </c>
    </row>
    <row r="169" spans="1:7" s="2780" customFormat="1" ht="14.25" customHeight="1">
      <c r="A169" s="2946" t="s">
        <v>29</v>
      </c>
      <c r="B169" s="2946" t="s">
        <v>3079</v>
      </c>
      <c r="C169" s="2946"/>
      <c r="D169" s="2946"/>
      <c r="E169" s="2946"/>
      <c r="F169" s="2946">
        <v>2880</v>
      </c>
      <c r="G169" s="2946"/>
    </row>
    <row r="170" spans="1:7" s="2780" customFormat="1" ht="14.25" customHeight="1">
      <c r="A170" s="2946" t="s">
        <v>29</v>
      </c>
      <c r="B170" s="2946" t="s">
        <v>3035</v>
      </c>
      <c r="C170" s="2946"/>
      <c r="D170" s="2946"/>
      <c r="E170" s="2946"/>
      <c r="F170" s="2946">
        <v>2880</v>
      </c>
      <c r="G170" s="2946"/>
    </row>
    <row r="171" spans="1:7" s="2780" customFormat="1" ht="14.25" customHeight="1">
      <c r="A171" s="2946" t="s">
        <v>29</v>
      </c>
      <c r="B171" s="2946" t="s">
        <v>3038</v>
      </c>
      <c r="C171" s="2946"/>
      <c r="D171" s="2946"/>
      <c r="E171" s="2946"/>
      <c r="F171" s="2946">
        <v>2880</v>
      </c>
      <c r="G171" s="2946"/>
    </row>
    <row r="172" spans="1:7" s="2780" customFormat="1" ht="14.25" customHeight="1">
      <c r="A172" s="2946" t="s">
        <v>29</v>
      </c>
      <c r="B172" s="2946" t="s">
        <v>3040</v>
      </c>
      <c r="C172" s="2946"/>
      <c r="D172" s="2946"/>
      <c r="E172" s="2946"/>
      <c r="F172" s="2946">
        <v>2880</v>
      </c>
      <c r="G172" s="2946"/>
    </row>
    <row r="173" spans="1:7" s="2780" customFormat="1" ht="14.25" customHeight="1">
      <c r="A173" s="2946" t="s">
        <v>29</v>
      </c>
      <c r="B173" s="2946" t="s">
        <v>3042</v>
      </c>
      <c r="C173" s="2946"/>
      <c r="D173" s="2946"/>
      <c r="E173" s="2946"/>
      <c r="F173" s="2946">
        <v>2150</v>
      </c>
      <c r="G173" s="2946"/>
    </row>
    <row r="174" spans="1:7" s="2780" customFormat="1" ht="14.25" customHeight="1">
      <c r="A174" s="2946" t="s">
        <v>29</v>
      </c>
      <c r="B174" s="2946" t="s">
        <v>3044</v>
      </c>
      <c r="C174" s="2946"/>
      <c r="D174" s="2946"/>
      <c r="E174" s="2946"/>
      <c r="F174" s="2946">
        <v>2030</v>
      </c>
      <c r="G174" s="2946"/>
    </row>
    <row r="175" spans="1:7" s="2780" customFormat="1" ht="14.25" customHeight="1">
      <c r="A175" s="2946" t="s">
        <v>29</v>
      </c>
      <c r="B175" s="2946" t="s">
        <v>3046</v>
      </c>
      <c r="C175" s="2946"/>
      <c r="D175" s="2946"/>
      <c r="E175" s="2946"/>
      <c r="F175" s="2946">
        <v>2780</v>
      </c>
      <c r="G175" s="2946"/>
    </row>
    <row r="176" spans="1:7" s="2780" customFormat="1" ht="14.25" customHeight="1">
      <c r="A176" s="2946" t="s">
        <v>29</v>
      </c>
      <c r="B176" s="2946" t="s">
        <v>3048</v>
      </c>
      <c r="C176" s="2946"/>
      <c r="D176" s="2946"/>
      <c r="E176" s="2946"/>
      <c r="F176" s="2946">
        <v>2780</v>
      </c>
      <c r="G176" s="2946"/>
    </row>
    <row r="177" spans="1:7" s="2780" customFormat="1" ht="14.25" customHeight="1">
      <c r="A177" s="2946" t="s">
        <v>29</v>
      </c>
      <c r="B177" s="2946" t="s">
        <v>3080</v>
      </c>
      <c r="C177" s="2946"/>
      <c r="D177" s="2946"/>
      <c r="E177" s="2946"/>
      <c r="F177" s="2946">
        <v>2780</v>
      </c>
      <c r="G177" s="2946"/>
    </row>
    <row r="178" spans="1:7" s="2780" customFormat="1" ht="14.25" customHeight="1">
      <c r="A178" s="2946" t="s">
        <v>29</v>
      </c>
      <c r="B178" s="2946" t="s">
        <v>3081</v>
      </c>
      <c r="C178" s="2946"/>
      <c r="D178" s="2946"/>
      <c r="E178" s="2946"/>
      <c r="F178" s="2946">
        <v>2060</v>
      </c>
      <c r="G178" s="2946"/>
    </row>
    <row r="179" spans="1:7" s="2780" customFormat="1" ht="14.25" customHeight="1">
      <c r="A179" s="2946" t="s">
        <v>29</v>
      </c>
      <c r="B179" s="2946" t="s">
        <v>3082</v>
      </c>
      <c r="C179" s="2946"/>
      <c r="D179" s="2946"/>
      <c r="E179" s="2946"/>
      <c r="F179" s="2946">
        <v>2120</v>
      </c>
      <c r="G179" s="2946"/>
    </row>
    <row r="180" spans="1:7" s="2780" customFormat="1" ht="14.25" customHeight="1">
      <c r="A180" s="2946" t="s">
        <v>29</v>
      </c>
      <c r="B180" s="2946" t="s">
        <v>3054</v>
      </c>
      <c r="C180" s="2946"/>
      <c r="D180" s="2946"/>
      <c r="E180" s="2946"/>
      <c r="F180" s="2946">
        <v>2340</v>
      </c>
      <c r="G180" s="2946"/>
    </row>
    <row r="181" spans="1:7" s="2780" customFormat="1" ht="14.25" customHeight="1">
      <c r="A181" s="2946" t="s">
        <v>29</v>
      </c>
      <c r="B181" s="2946" t="s">
        <v>3055</v>
      </c>
      <c r="C181" s="2946"/>
      <c r="D181" s="2946"/>
      <c r="E181" s="2946"/>
      <c r="F181" s="2946">
        <v>2340</v>
      </c>
      <c r="G181" s="2946"/>
    </row>
    <row r="182" spans="1:7" s="2780" customFormat="1" ht="14.25" customHeight="1">
      <c r="A182" s="2946" t="s">
        <v>29</v>
      </c>
      <c r="B182" s="2946" t="s">
        <v>3056</v>
      </c>
      <c r="C182" s="2946"/>
      <c r="D182" s="2946"/>
      <c r="E182" s="2946"/>
      <c r="F182" s="2946">
        <v>2340</v>
      </c>
      <c r="G182" s="2946"/>
    </row>
    <row r="183" spans="1:7" s="2780" customFormat="1" ht="14.25" customHeight="1">
      <c r="A183" s="2946" t="s">
        <v>29</v>
      </c>
      <c r="B183" s="2946" t="s">
        <v>3057</v>
      </c>
      <c r="C183" s="2946"/>
      <c r="D183" s="2946"/>
      <c r="E183" s="2946"/>
      <c r="F183" s="2946">
        <v>2340</v>
      </c>
      <c r="G183" s="2946"/>
    </row>
    <row r="184" spans="1:7" s="2780" customFormat="1" ht="14.25" customHeight="1">
      <c r="A184" s="2946" t="s">
        <v>29</v>
      </c>
      <c r="B184" s="2946" t="s">
        <v>3058</v>
      </c>
      <c r="C184" s="2946"/>
      <c r="D184" s="2946"/>
      <c r="E184" s="2946"/>
      <c r="F184" s="2946">
        <v>2340</v>
      </c>
      <c r="G184" s="2946"/>
    </row>
    <row r="185" spans="1:7" s="2780" customFormat="1" ht="14.25" customHeight="1">
      <c r="A185" s="2946" t="s">
        <v>29</v>
      </c>
      <c r="B185" s="2946" t="s">
        <v>3059</v>
      </c>
      <c r="C185" s="2946"/>
      <c r="D185" s="2946"/>
      <c r="E185" s="2946"/>
      <c r="F185" s="2946">
        <v>2530</v>
      </c>
      <c r="G185" s="2946"/>
    </row>
    <row r="186" spans="1:7" s="2780" customFormat="1" ht="14.25" customHeight="1">
      <c r="A186" s="2946" t="s">
        <v>29</v>
      </c>
      <c r="B186" s="2946" t="s">
        <v>3060</v>
      </c>
      <c r="C186" s="2946"/>
      <c r="D186" s="2946"/>
      <c r="E186" s="2946"/>
      <c r="F186" s="2946">
        <v>2550</v>
      </c>
      <c r="G186" s="2946"/>
    </row>
    <row r="187" spans="1:7" s="2780" customFormat="1" ht="14.25" customHeight="1">
      <c r="A187" s="2946" t="s">
        <v>29</v>
      </c>
      <c r="B187" s="2946" t="s">
        <v>3061</v>
      </c>
      <c r="C187" s="2946"/>
      <c r="D187" s="2946"/>
      <c r="E187" s="2946"/>
      <c r="F187" s="2946">
        <v>2070</v>
      </c>
      <c r="G187" s="2946"/>
    </row>
    <row r="188" spans="1:7" s="2780" customFormat="1" ht="14.25" customHeight="1">
      <c r="A188" s="2946" t="s">
        <v>29</v>
      </c>
      <c r="B188" s="2946" t="s">
        <v>3062</v>
      </c>
      <c r="C188" s="2946"/>
      <c r="D188" s="2946"/>
      <c r="E188" s="2946"/>
      <c r="F188" s="2946">
        <v>2340</v>
      </c>
      <c r="G188" s="2946"/>
    </row>
    <row r="189" spans="1:7" s="2780" customFormat="1" ht="14.25" customHeight="1" thickBot="1">
      <c r="A189" s="2954" t="s">
        <v>29</v>
      </c>
      <c r="B189" s="2957" t="s">
        <v>3063</v>
      </c>
      <c r="C189" s="2957"/>
      <c r="D189" s="2957"/>
      <c r="E189" s="2957"/>
      <c r="F189" s="2957">
        <v>2050</v>
      </c>
      <c r="G189" s="2957"/>
    </row>
    <row r="190" spans="1:7" s="2780" customFormat="1" ht="14.25" customHeight="1">
      <c r="A190" s="2951" t="s">
        <v>304</v>
      </c>
      <c r="B190" s="2942" t="s">
        <v>3083</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3084</v>
      </c>
      <c r="C199" s="2946">
        <v>8690</v>
      </c>
      <c r="D199" s="2946">
        <v>8630</v>
      </c>
      <c r="E199" s="2946">
        <v>11350</v>
      </c>
      <c r="F199" s="2946">
        <v>1600</v>
      </c>
      <c r="G199" s="2959">
        <v>5450</v>
      </c>
    </row>
    <row r="200" spans="1:7" s="2780" customFormat="1" ht="14.25" customHeight="1">
      <c r="A200" s="2946" t="s">
        <v>304</v>
      </c>
      <c r="B200" s="2946" t="s">
        <v>2895</v>
      </c>
      <c r="C200" s="2946"/>
      <c r="D200" s="2946"/>
      <c r="E200" s="2946"/>
      <c r="F200" s="2946">
        <v>1510</v>
      </c>
      <c r="G200" s="2959"/>
    </row>
    <row r="201" spans="1:7" s="2780" customFormat="1" ht="14.25" customHeight="1">
      <c r="A201" s="2946" t="s">
        <v>304</v>
      </c>
      <c r="B201" s="2946" t="s">
        <v>3085</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3086</v>
      </c>
      <c r="C203" s="2946">
        <v>8130</v>
      </c>
      <c r="D203" s="2946">
        <v>8070</v>
      </c>
      <c r="E203" s="2946">
        <v>10820</v>
      </c>
      <c r="F203" s="2946">
        <v>1690</v>
      </c>
      <c r="G203" s="2959">
        <v>5100</v>
      </c>
    </row>
    <row r="204" spans="1:7" s="2780" customFormat="1" ht="14.25" customHeight="1">
      <c r="A204" s="2946" t="s">
        <v>304</v>
      </c>
      <c r="B204" s="2946" t="s">
        <v>2906</v>
      </c>
      <c r="C204" s="2946">
        <v>8350</v>
      </c>
      <c r="D204" s="2946">
        <v>8290</v>
      </c>
      <c r="E204" s="2946">
        <v>11080</v>
      </c>
      <c r="F204" s="2946">
        <v>1450</v>
      </c>
      <c r="G204" s="2959">
        <v>5240</v>
      </c>
    </row>
    <row r="205" spans="1:7" s="2780" customFormat="1" ht="14.25" customHeight="1">
      <c r="A205" s="2946" t="s">
        <v>304</v>
      </c>
      <c r="B205" s="2946" t="s">
        <v>2908</v>
      </c>
      <c r="C205" s="2946">
        <v>7190</v>
      </c>
      <c r="D205" s="2946">
        <v>7130</v>
      </c>
      <c r="E205" s="2946">
        <v>9490</v>
      </c>
      <c r="F205" s="2946">
        <v>1470</v>
      </c>
      <c r="G205" s="2959">
        <v>4510</v>
      </c>
    </row>
    <row r="206" spans="1:7" s="2780" customFormat="1" ht="14.25" customHeight="1">
      <c r="A206" s="2946" t="s">
        <v>304</v>
      </c>
      <c r="B206" s="2946" t="s">
        <v>2911</v>
      </c>
      <c r="C206" s="2946">
        <v>7000</v>
      </c>
      <c r="D206" s="2946">
        <v>6950</v>
      </c>
      <c r="E206" s="2946">
        <v>9170</v>
      </c>
      <c r="F206" s="2946">
        <v>1400</v>
      </c>
      <c r="G206" s="2959">
        <v>4380</v>
      </c>
    </row>
    <row r="207" spans="1:7" s="2780" customFormat="1" ht="14.25" customHeight="1">
      <c r="A207" s="2946" t="s">
        <v>304</v>
      </c>
      <c r="B207" s="2946" t="s">
        <v>2913</v>
      </c>
      <c r="C207" s="2946">
        <v>6950</v>
      </c>
      <c r="D207" s="2946">
        <v>6900</v>
      </c>
      <c r="E207" s="2946">
        <v>9110</v>
      </c>
      <c r="F207" s="2946">
        <v>1790</v>
      </c>
      <c r="G207" s="2959">
        <v>4360</v>
      </c>
    </row>
    <row r="208" spans="1:7" s="2780" customFormat="1" ht="14.25" customHeight="1">
      <c r="A208" s="2946" t="s">
        <v>304</v>
      </c>
      <c r="B208" s="2946" t="s">
        <v>3087</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2923</v>
      </c>
      <c r="C210" s="2946">
        <v>8710</v>
      </c>
      <c r="D210" s="2946">
        <v>8660</v>
      </c>
      <c r="E210" s="2946">
        <v>11440</v>
      </c>
      <c r="F210" s="2946">
        <v>1740</v>
      </c>
      <c r="G210" s="2959">
        <v>5470</v>
      </c>
    </row>
    <row r="211" spans="1:7" s="2780" customFormat="1" ht="14.25" customHeight="1">
      <c r="A211" s="2946" t="s">
        <v>304</v>
      </c>
      <c r="B211" s="2946" t="s">
        <v>3088</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3089</v>
      </c>
      <c r="C214" s="2946">
        <v>8090</v>
      </c>
      <c r="D214" s="2946">
        <v>8030</v>
      </c>
      <c r="E214" s="2946">
        <v>10780</v>
      </c>
      <c r="F214" s="2946">
        <v>1570</v>
      </c>
      <c r="G214" s="2959">
        <v>5070</v>
      </c>
    </row>
    <row r="215" spans="1:7" s="2780" customFormat="1" ht="14.25" customHeight="1">
      <c r="A215" s="2946" t="s">
        <v>304</v>
      </c>
      <c r="B215" s="2946" t="s">
        <v>3090</v>
      </c>
      <c r="C215" s="2946">
        <v>7950</v>
      </c>
      <c r="D215" s="2946">
        <v>7900</v>
      </c>
      <c r="E215" s="2946">
        <v>10560</v>
      </c>
      <c r="F215" s="2946">
        <v>1630</v>
      </c>
      <c r="G215" s="2959">
        <v>4990</v>
      </c>
    </row>
    <row r="216" spans="1:7" s="2780" customFormat="1" ht="14.25" customHeight="1">
      <c r="A216" s="2946" t="s">
        <v>304</v>
      </c>
      <c r="B216" s="2946" t="s">
        <v>3091</v>
      </c>
      <c r="C216" s="2946">
        <v>8490</v>
      </c>
      <c r="D216" s="2946">
        <v>8440</v>
      </c>
      <c r="E216" s="2946">
        <v>11260</v>
      </c>
      <c r="F216" s="2946">
        <v>1690</v>
      </c>
      <c r="G216" s="2959">
        <v>5330</v>
      </c>
    </row>
    <row r="217" spans="1:7" s="2780" customFormat="1" ht="14.25" customHeight="1">
      <c r="A217" s="2946" t="s">
        <v>304</v>
      </c>
      <c r="B217" s="2946" t="s">
        <v>2956</v>
      </c>
      <c r="C217" s="2946">
        <v>8200</v>
      </c>
      <c r="D217" s="2946">
        <v>8150</v>
      </c>
      <c r="E217" s="2946">
        <v>10910</v>
      </c>
      <c r="F217" s="2946">
        <v>1670</v>
      </c>
      <c r="G217" s="2959">
        <v>5150</v>
      </c>
    </row>
    <row r="218" spans="1:7" s="2780" customFormat="1" ht="14.25" customHeight="1">
      <c r="A218" s="2946" t="s">
        <v>304</v>
      </c>
      <c r="B218" s="2946" t="s">
        <v>3092</v>
      </c>
      <c r="C218" s="2946"/>
      <c r="D218" s="2946"/>
      <c r="E218" s="2946"/>
      <c r="F218" s="2946">
        <v>2040</v>
      </c>
      <c r="G218" s="2959"/>
    </row>
    <row r="219" spans="1:7" s="2780" customFormat="1" ht="14.25" customHeight="1">
      <c r="A219" s="2946" t="s">
        <v>304</v>
      </c>
      <c r="B219" s="2946" t="s">
        <v>3093</v>
      </c>
      <c r="C219" s="2946"/>
      <c r="D219" s="2946"/>
      <c r="E219" s="2946"/>
      <c r="F219" s="2946">
        <v>2040</v>
      </c>
      <c r="G219" s="2959"/>
    </row>
    <row r="220" spans="1:7" s="2780" customFormat="1" ht="14.25" customHeight="1">
      <c r="A220" s="2946" t="s">
        <v>304</v>
      </c>
      <c r="B220" s="2946" t="s">
        <v>3094</v>
      </c>
      <c r="C220" s="2946"/>
      <c r="D220" s="2946"/>
      <c r="E220" s="2946"/>
      <c r="F220" s="2946">
        <v>2040</v>
      </c>
      <c r="G220" s="2959"/>
    </row>
    <row r="221" spans="1:7" s="2780" customFormat="1" ht="14.25" customHeight="1">
      <c r="A221" s="2946" t="s">
        <v>304</v>
      </c>
      <c r="B221" s="2946" t="s">
        <v>3095</v>
      </c>
      <c r="C221" s="2946"/>
      <c r="D221" s="2946"/>
      <c r="E221" s="2946"/>
      <c r="F221" s="2946">
        <v>2040</v>
      </c>
      <c r="G221" s="2959"/>
    </row>
    <row r="222" spans="1:7" s="2780" customFormat="1" ht="14.25" customHeight="1">
      <c r="A222" s="2946" t="s">
        <v>304</v>
      </c>
      <c r="B222" s="2946" t="s">
        <v>3096</v>
      </c>
      <c r="C222" s="2946"/>
      <c r="D222" s="2946"/>
      <c r="E222" s="2946"/>
      <c r="F222" s="2946">
        <v>2040</v>
      </c>
      <c r="G222" s="2959"/>
    </row>
    <row r="223" spans="1:7" s="2780" customFormat="1" ht="14.25" customHeight="1">
      <c r="A223" s="2946" t="s">
        <v>304</v>
      </c>
      <c r="B223" s="2946" t="s">
        <v>3097</v>
      </c>
      <c r="C223" s="2946"/>
      <c r="D223" s="2946"/>
      <c r="E223" s="2946"/>
      <c r="F223" s="2946">
        <v>1930</v>
      </c>
      <c r="G223" s="2959"/>
    </row>
    <row r="224" spans="1:7" s="2780" customFormat="1" ht="14.25" customHeight="1">
      <c r="A224" s="2946" t="s">
        <v>304</v>
      </c>
      <c r="B224" s="2946" t="s">
        <v>3098</v>
      </c>
      <c r="C224" s="2946"/>
      <c r="D224" s="2946"/>
      <c r="E224" s="2946"/>
      <c r="F224" s="2946">
        <v>1930</v>
      </c>
      <c r="G224" s="2959"/>
    </row>
    <row r="225" spans="1:7" s="2780" customFormat="1" ht="14.25" customHeight="1">
      <c r="A225" s="2946" t="s">
        <v>304</v>
      </c>
      <c r="B225" s="2946" t="s">
        <v>3099</v>
      </c>
      <c r="C225" s="2946"/>
      <c r="D225" s="2946"/>
      <c r="E225" s="2946"/>
      <c r="F225" s="2946">
        <v>1930</v>
      </c>
      <c r="G225" s="2959"/>
    </row>
    <row r="226" spans="1:7" s="2780" customFormat="1" ht="14.25" customHeight="1">
      <c r="A226" s="2946" t="s">
        <v>304</v>
      </c>
      <c r="B226" s="2946" t="s">
        <v>3100</v>
      </c>
      <c r="C226" s="2946"/>
      <c r="D226" s="2946"/>
      <c r="E226" s="2946"/>
      <c r="F226" s="2946">
        <v>1700</v>
      </c>
      <c r="G226" s="2959"/>
    </row>
    <row r="227" spans="1:7" s="2780" customFormat="1" ht="14.25" customHeight="1">
      <c r="A227" s="2946" t="s">
        <v>304</v>
      </c>
      <c r="B227" s="2946" t="s">
        <v>3101</v>
      </c>
      <c r="C227" s="2946"/>
      <c r="D227" s="2946"/>
      <c r="E227" s="2946"/>
      <c r="F227" s="2946">
        <v>1520</v>
      </c>
      <c r="G227" s="2959"/>
    </row>
    <row r="228" spans="1:7" s="2780" customFormat="1" ht="14.25" customHeight="1">
      <c r="A228" s="2946" t="s">
        <v>304</v>
      </c>
      <c r="B228" s="2946" t="s">
        <v>3102</v>
      </c>
      <c r="C228" s="2946"/>
      <c r="D228" s="2946"/>
      <c r="E228" s="2946"/>
      <c r="F228" s="2946">
        <v>1520</v>
      </c>
      <c r="G228" s="2959"/>
    </row>
    <row r="229" spans="1:7" s="2780" customFormat="1" ht="14.25" customHeight="1">
      <c r="A229" s="2946" t="s">
        <v>304</v>
      </c>
      <c r="B229" s="2946" t="s">
        <v>3019</v>
      </c>
      <c r="C229" s="2946"/>
      <c r="D229" s="2946"/>
      <c r="E229" s="2946"/>
      <c r="F229" s="2946">
        <v>1520</v>
      </c>
      <c r="G229" s="2959"/>
    </row>
    <row r="230" spans="1:7" s="2780" customFormat="1" ht="14.25" customHeight="1">
      <c r="A230" s="2946" t="s">
        <v>304</v>
      </c>
      <c r="B230" s="2946" t="s">
        <v>3103</v>
      </c>
      <c r="C230" s="2946"/>
      <c r="D230" s="2946"/>
      <c r="E230" s="2946"/>
      <c r="F230" s="2946">
        <v>1820</v>
      </c>
      <c r="G230" s="2959"/>
    </row>
    <row r="231" spans="1:7" s="2780" customFormat="1" ht="14.25" customHeight="1">
      <c r="A231" s="2946" t="s">
        <v>304</v>
      </c>
      <c r="B231" s="2946" t="s">
        <v>3104</v>
      </c>
      <c r="C231" s="2946"/>
      <c r="D231" s="2946"/>
      <c r="E231" s="2946"/>
      <c r="F231" s="2946">
        <v>1760</v>
      </c>
      <c r="G231" s="2959"/>
    </row>
    <row r="232" spans="1:7" s="2780" customFormat="1" ht="14.25" customHeight="1">
      <c r="A232" s="2946" t="s">
        <v>304</v>
      </c>
      <c r="B232" s="2946" t="s">
        <v>3105</v>
      </c>
      <c r="C232" s="2946"/>
      <c r="D232" s="2946"/>
      <c r="E232" s="2946"/>
      <c r="F232" s="2946">
        <v>1840</v>
      </c>
      <c r="G232" s="2959"/>
    </row>
    <row r="233" spans="1:7" s="2780" customFormat="1" ht="14.25" customHeight="1" thickBot="1">
      <c r="A233" s="2960" t="s">
        <v>304</v>
      </c>
      <c r="B233" s="2953" t="s">
        <v>3036</v>
      </c>
      <c r="C233" s="2953"/>
      <c r="D233" s="2953"/>
      <c r="E233" s="2953"/>
      <c r="F233" s="2953">
        <v>1770</v>
      </c>
      <c r="G233" s="2961"/>
    </row>
    <row r="234" spans="1:7" s="2780" customFormat="1" ht="14.25" customHeight="1">
      <c r="A234" s="2951" t="s">
        <v>305</v>
      </c>
      <c r="B234" s="2942" t="s">
        <v>3106</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2877</v>
      </c>
      <c r="C238" s="2946">
        <v>6920</v>
      </c>
      <c r="D238" s="2946">
        <v>6890</v>
      </c>
      <c r="E238" s="2946">
        <v>8640</v>
      </c>
      <c r="F238" s="2946">
        <v>1310</v>
      </c>
      <c r="G238" s="2946">
        <v>4230</v>
      </c>
    </row>
    <row r="239" spans="1:7" s="2780" customFormat="1" ht="14.25" customHeight="1">
      <c r="A239" s="2946" t="s">
        <v>305</v>
      </c>
      <c r="B239" s="2946" t="s">
        <v>3107</v>
      </c>
      <c r="C239" s="2946">
        <v>6780</v>
      </c>
      <c r="D239" s="2946">
        <v>6750</v>
      </c>
      <c r="E239" s="2946">
        <v>8440</v>
      </c>
      <c r="F239" s="2946">
        <v>1160</v>
      </c>
      <c r="G239" s="2946">
        <v>4140</v>
      </c>
    </row>
    <row r="240" spans="1:7" s="2780" customFormat="1" ht="14.25" customHeight="1">
      <c r="A240" s="2946" t="s">
        <v>305</v>
      </c>
      <c r="B240" s="2946" t="s">
        <v>3108</v>
      </c>
      <c r="C240" s="2946">
        <v>5420</v>
      </c>
      <c r="D240" s="2946">
        <v>5380</v>
      </c>
      <c r="E240" s="2946">
        <v>6640</v>
      </c>
      <c r="F240" s="2946">
        <v>1020</v>
      </c>
      <c r="G240" s="2946">
        <v>3300</v>
      </c>
    </row>
    <row r="241" spans="1:7" s="2780" customFormat="1" ht="14.25" customHeight="1">
      <c r="A241" s="2946" t="s">
        <v>305</v>
      </c>
      <c r="B241" s="2946" t="s">
        <v>3109</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3110</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3111</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3112</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3113</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3114</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2939</v>
      </c>
      <c r="C258" s="2946">
        <v>6190</v>
      </c>
      <c r="D258" s="2946">
        <v>6160</v>
      </c>
      <c r="E258" s="2946">
        <v>7680</v>
      </c>
      <c r="F258" s="2946">
        <v>1170</v>
      </c>
      <c r="G258" s="2946">
        <v>3780</v>
      </c>
    </row>
    <row r="259" spans="1:7" s="2780" customFormat="1" ht="14.25" customHeight="1">
      <c r="A259" s="2946" t="s">
        <v>305</v>
      </c>
      <c r="B259" s="2946" t="s">
        <v>3115</v>
      </c>
      <c r="C259" s="2946">
        <v>7610</v>
      </c>
      <c r="D259" s="2946">
        <v>7570</v>
      </c>
      <c r="E259" s="2946">
        <v>9350</v>
      </c>
      <c r="F259" s="2946">
        <v>1350</v>
      </c>
      <c r="G259" s="2946">
        <v>4650</v>
      </c>
    </row>
    <row r="260" spans="1:7" s="2780" customFormat="1" ht="14.25" customHeight="1">
      <c r="A260" s="2946" t="s">
        <v>305</v>
      </c>
      <c r="B260" s="2946" t="s">
        <v>3116</v>
      </c>
      <c r="C260" s="2946">
        <v>6920</v>
      </c>
      <c r="D260" s="2946">
        <v>6880</v>
      </c>
      <c r="E260" s="2946">
        <v>8380</v>
      </c>
      <c r="F260" s="2946">
        <v>1160</v>
      </c>
      <c r="G260" s="2946">
        <v>4220</v>
      </c>
    </row>
    <row r="261" spans="1:7" s="2780" customFormat="1" ht="14.25" customHeight="1">
      <c r="A261" s="2946" t="s">
        <v>305</v>
      </c>
      <c r="B261" s="2946" t="s">
        <v>3117</v>
      </c>
      <c r="C261" s="2946">
        <v>6850</v>
      </c>
      <c r="D261" s="2946">
        <v>6810</v>
      </c>
      <c r="E261" s="2946">
        <v>8290</v>
      </c>
      <c r="F261" s="2946">
        <v>1130</v>
      </c>
      <c r="G261" s="2946">
        <v>4180</v>
      </c>
    </row>
    <row r="262" spans="1:7" s="2780" customFormat="1" ht="14.25" customHeight="1">
      <c r="A262" s="2946" t="s">
        <v>305</v>
      </c>
      <c r="B262" s="2946" t="s">
        <v>3118</v>
      </c>
      <c r="C262" s="2946">
        <v>5860</v>
      </c>
      <c r="D262" s="2946">
        <v>5820</v>
      </c>
      <c r="E262" s="2946">
        <v>7640</v>
      </c>
      <c r="F262" s="2946">
        <v>1070</v>
      </c>
      <c r="G262" s="2946">
        <v>3570</v>
      </c>
    </row>
    <row r="263" spans="1:7" s="2780" customFormat="1" ht="14.25" customHeight="1">
      <c r="A263" s="2946" t="s">
        <v>305</v>
      </c>
      <c r="B263" s="2946" t="s">
        <v>3119</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3120</v>
      </c>
      <c r="C265" s="2946"/>
      <c r="D265" s="2946"/>
      <c r="E265" s="2946"/>
      <c r="F265" s="2946">
        <v>1500</v>
      </c>
      <c r="G265" s="2946"/>
    </row>
    <row r="266" spans="1:7" s="2780" customFormat="1" ht="14.25" customHeight="1">
      <c r="A266" s="2946" t="s">
        <v>305</v>
      </c>
      <c r="B266" s="2946" t="s">
        <v>3121</v>
      </c>
      <c r="C266" s="2946"/>
      <c r="D266" s="2946"/>
      <c r="E266" s="2946"/>
      <c r="F266" s="2946">
        <v>1500</v>
      </c>
      <c r="G266" s="2946"/>
    </row>
    <row r="267" spans="1:7" s="2780" customFormat="1" ht="14.25" customHeight="1">
      <c r="A267" s="2946" t="s">
        <v>305</v>
      </c>
      <c r="B267" s="2946" t="s">
        <v>3122</v>
      </c>
      <c r="C267" s="2946"/>
      <c r="D267" s="2946"/>
      <c r="E267" s="2946"/>
      <c r="F267" s="2946">
        <v>1500</v>
      </c>
      <c r="G267" s="2946"/>
    </row>
    <row r="268" spans="1:7" s="2780" customFormat="1" ht="14.25" customHeight="1">
      <c r="A268" s="2946" t="s">
        <v>305</v>
      </c>
      <c r="B268" s="2946" t="s">
        <v>3123</v>
      </c>
      <c r="C268" s="2946"/>
      <c r="D268" s="2946"/>
      <c r="E268" s="2946"/>
      <c r="F268" s="2946">
        <v>1290</v>
      </c>
      <c r="G268" s="2946"/>
    </row>
    <row r="269" spans="1:7" s="2780" customFormat="1" ht="14.25" customHeight="1">
      <c r="A269" s="2946" t="s">
        <v>305</v>
      </c>
      <c r="B269" s="2946" t="s">
        <v>3124</v>
      </c>
      <c r="C269" s="2946"/>
      <c r="D269" s="2946"/>
      <c r="E269" s="2946"/>
      <c r="F269" s="2946">
        <v>1150</v>
      </c>
      <c r="G269" s="2946"/>
    </row>
    <row r="270" spans="1:7" s="2780" customFormat="1" ht="14.25" customHeight="1">
      <c r="A270" s="2946" t="s">
        <v>305</v>
      </c>
      <c r="B270" s="2946" t="s">
        <v>3125</v>
      </c>
      <c r="C270" s="2946"/>
      <c r="D270" s="2946"/>
      <c r="E270" s="2946"/>
      <c r="F270" s="2946">
        <v>1380</v>
      </c>
      <c r="G270" s="2946"/>
    </row>
    <row r="271" spans="1:7" s="2780" customFormat="1" ht="14.25" customHeight="1">
      <c r="A271" s="2946" t="s">
        <v>305</v>
      </c>
      <c r="B271" s="2946" t="s">
        <v>3126</v>
      </c>
      <c r="C271" s="2946"/>
      <c r="D271" s="2946"/>
      <c r="E271" s="2946"/>
      <c r="F271" s="2946">
        <v>1460</v>
      </c>
      <c r="G271" s="2946"/>
    </row>
    <row r="272" spans="1:7" s="2780" customFormat="1" ht="14.25" customHeight="1">
      <c r="A272" s="2946" t="s">
        <v>305</v>
      </c>
      <c r="B272" s="2946" t="s">
        <v>3127</v>
      </c>
      <c r="C272" s="2946"/>
      <c r="D272" s="2946"/>
      <c r="E272" s="2946"/>
      <c r="F272" s="2946">
        <v>1460</v>
      </c>
      <c r="G272" s="2946"/>
    </row>
    <row r="273" spans="1:7" s="2780" customFormat="1" ht="14.25" customHeight="1">
      <c r="A273" s="2946" t="s">
        <v>305</v>
      </c>
      <c r="B273" s="2946" t="s">
        <v>3020</v>
      </c>
      <c r="C273" s="2946"/>
      <c r="D273" s="2946"/>
      <c r="E273" s="2946"/>
      <c r="F273" s="2946">
        <v>1490</v>
      </c>
      <c r="G273" s="2946"/>
    </row>
    <row r="274" spans="1:7" s="2780" customFormat="1" ht="14.25" customHeight="1">
      <c r="A274" s="2946" t="s">
        <v>305</v>
      </c>
      <c r="B274" s="2946" t="s">
        <v>3128</v>
      </c>
      <c r="C274" s="2946"/>
      <c r="D274" s="2946"/>
      <c r="E274" s="2946"/>
      <c r="F274" s="2946">
        <v>1490</v>
      </c>
      <c r="G274" s="2946"/>
    </row>
    <row r="275" spans="1:7" s="2780" customFormat="1" ht="14.25" customHeight="1">
      <c r="A275" s="2946" t="s">
        <v>305</v>
      </c>
      <c r="B275" s="2946" t="s">
        <v>3129</v>
      </c>
      <c r="C275" s="2946"/>
      <c r="D275" s="2946"/>
      <c r="E275" s="2946"/>
      <c r="F275" s="2946">
        <v>1220</v>
      </c>
      <c r="G275" s="2946"/>
    </row>
    <row r="276" spans="1:7" s="2780" customFormat="1" ht="14.25" customHeight="1" thickBot="1">
      <c r="A276" s="2954" t="s">
        <v>305</v>
      </c>
      <c r="B276" s="2956" t="s">
        <v>3130</v>
      </c>
      <c r="C276" s="2957"/>
      <c r="D276" s="2957"/>
      <c r="E276" s="2957"/>
      <c r="F276" s="2957">
        <v>1380</v>
      </c>
      <c r="G276" s="2957"/>
    </row>
    <row r="277" spans="1:7" s="2780" customFormat="1" ht="14.25" customHeight="1">
      <c r="A277" s="2951" t="s">
        <v>306</v>
      </c>
      <c r="B277" s="2942" t="s">
        <v>3131</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3132</v>
      </c>
      <c r="C279" s="2946">
        <v>4760</v>
      </c>
      <c r="D279" s="2946">
        <v>4720</v>
      </c>
      <c r="E279" s="2946">
        <v>5540</v>
      </c>
      <c r="F279" s="2946">
        <v>810</v>
      </c>
      <c r="G279" s="2959">
        <v>2850</v>
      </c>
    </row>
    <row r="280" spans="1:7" s="2780" customFormat="1" ht="14.25" customHeight="1">
      <c r="A280" s="2946" t="s">
        <v>306</v>
      </c>
      <c r="B280" s="2946" t="s">
        <v>3133</v>
      </c>
      <c r="C280" s="2946">
        <v>4010</v>
      </c>
      <c r="D280" s="2946">
        <v>3950</v>
      </c>
      <c r="E280" s="2946">
        <v>4710</v>
      </c>
      <c r="F280" s="2946">
        <v>800</v>
      </c>
      <c r="G280" s="2959">
        <v>2390</v>
      </c>
    </row>
    <row r="281" spans="1:7" s="2780" customFormat="1" ht="14.25" customHeight="1">
      <c r="A281" s="2946" t="s">
        <v>306</v>
      </c>
      <c r="B281" s="2946" t="s">
        <v>3134</v>
      </c>
      <c r="C281" s="2946">
        <v>4480</v>
      </c>
      <c r="D281" s="2946">
        <v>4420</v>
      </c>
      <c r="E281" s="2946">
        <v>5230</v>
      </c>
      <c r="F281" s="2946">
        <v>870</v>
      </c>
      <c r="G281" s="2959">
        <v>2660</v>
      </c>
    </row>
    <row r="282" spans="1:7" s="2780" customFormat="1" ht="14.25" customHeight="1">
      <c r="A282" s="2946" t="s">
        <v>306</v>
      </c>
      <c r="B282" s="2946" t="s">
        <v>3135</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3136</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3137</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2912</v>
      </c>
      <c r="C293" s="2946">
        <v>5320</v>
      </c>
      <c r="D293" s="2946">
        <v>5270</v>
      </c>
      <c r="E293" s="2946">
        <v>6160</v>
      </c>
      <c r="F293" s="2946">
        <v>990</v>
      </c>
      <c r="G293" s="2959">
        <v>3170</v>
      </c>
    </row>
    <row r="294" spans="1:7" s="2780" customFormat="1" ht="14.25" customHeight="1">
      <c r="A294" s="2946" t="s">
        <v>306</v>
      </c>
      <c r="B294" s="2946" t="s">
        <v>3138</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2931</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3139</v>
      </c>
      <c r="C302" s="2946">
        <v>5520</v>
      </c>
      <c r="D302" s="2946">
        <v>5470</v>
      </c>
      <c r="E302" s="2946">
        <v>6410</v>
      </c>
      <c r="F302" s="2946">
        <v>950</v>
      </c>
      <c r="G302" s="2959">
        <v>3300</v>
      </c>
    </row>
    <row r="303" spans="1:7" s="2780" customFormat="1" ht="14.25" customHeight="1">
      <c r="A303" s="2946" t="s">
        <v>306</v>
      </c>
      <c r="B303" s="2946" t="s">
        <v>2951</v>
      </c>
      <c r="C303" s="2946">
        <v>5630</v>
      </c>
      <c r="D303" s="2946">
        <v>5590</v>
      </c>
      <c r="E303" s="2946">
        <v>6550</v>
      </c>
      <c r="F303" s="2946">
        <v>1010</v>
      </c>
      <c r="G303" s="2959">
        <v>3370</v>
      </c>
    </row>
    <row r="304" spans="1:7" s="2780" customFormat="1" ht="14.25" customHeight="1">
      <c r="A304" s="2946" t="s">
        <v>306</v>
      </c>
      <c r="B304" s="2946" t="s">
        <v>2958</v>
      </c>
      <c r="C304" s="2946">
        <v>5680</v>
      </c>
      <c r="D304" s="2946">
        <v>5620</v>
      </c>
      <c r="E304" s="2946">
        <v>6620</v>
      </c>
      <c r="F304" s="2946">
        <v>1050</v>
      </c>
      <c r="G304" s="2959">
        <v>3390</v>
      </c>
    </row>
    <row r="305" spans="1:7" s="2780" customFormat="1" ht="14.25" customHeight="1">
      <c r="A305" s="2946" t="s">
        <v>306</v>
      </c>
      <c r="B305" s="2946" t="s">
        <v>2964</v>
      </c>
      <c r="C305" s="2946">
        <v>5590</v>
      </c>
      <c r="D305" s="2946">
        <v>5530</v>
      </c>
      <c r="E305" s="2946">
        <v>6460</v>
      </c>
      <c r="F305" s="2946">
        <v>900</v>
      </c>
      <c r="G305" s="2959">
        <v>3340</v>
      </c>
    </row>
    <row r="306" spans="1:7" s="2780" customFormat="1" ht="14.25" customHeight="1">
      <c r="A306" s="2946" t="s">
        <v>306</v>
      </c>
      <c r="B306" s="2946" t="s">
        <v>3140</v>
      </c>
      <c r="C306" s="2946">
        <v>5560</v>
      </c>
      <c r="D306" s="2946">
        <v>5510</v>
      </c>
      <c r="E306" s="2946">
        <v>6440</v>
      </c>
      <c r="F306" s="2946">
        <v>900</v>
      </c>
      <c r="G306" s="2959">
        <v>3320</v>
      </c>
    </row>
    <row r="307" spans="1:7" s="2780" customFormat="1" ht="14.25" customHeight="1">
      <c r="A307" s="2946" t="s">
        <v>306</v>
      </c>
      <c r="B307" s="2946" t="s">
        <v>2976</v>
      </c>
      <c r="C307" s="2946">
        <v>5650</v>
      </c>
      <c r="D307" s="2946">
        <v>5600</v>
      </c>
      <c r="E307" s="2946">
        <v>6590</v>
      </c>
      <c r="F307" s="2946">
        <v>930</v>
      </c>
      <c r="G307" s="2959">
        <v>3380</v>
      </c>
    </row>
    <row r="308" spans="1:7" s="2780" customFormat="1" ht="14.25" customHeight="1">
      <c r="A308" s="2946" t="s">
        <v>306</v>
      </c>
      <c r="B308" s="2946" t="s">
        <v>3141</v>
      </c>
      <c r="C308" s="2946">
        <v>5620</v>
      </c>
      <c r="D308" s="2946">
        <v>5580</v>
      </c>
      <c r="E308" s="2946">
        <v>6540</v>
      </c>
      <c r="F308" s="2946">
        <v>910</v>
      </c>
      <c r="G308" s="2959">
        <v>3370</v>
      </c>
    </row>
    <row r="309" spans="1:7" s="2780" customFormat="1" ht="14.25" customHeight="1">
      <c r="A309" s="2946" t="s">
        <v>306</v>
      </c>
      <c r="B309" s="2946" t="s">
        <v>3142</v>
      </c>
      <c r="C309" s="2946">
        <v>5060</v>
      </c>
      <c r="D309" s="2946">
        <v>5020</v>
      </c>
      <c r="E309" s="2946">
        <v>6370</v>
      </c>
      <c r="F309" s="2946">
        <v>800</v>
      </c>
      <c r="G309" s="2959">
        <v>3020</v>
      </c>
    </row>
    <row r="310" spans="1:7" s="2780" customFormat="1" ht="14.25" customHeight="1">
      <c r="A310" s="2946" t="s">
        <v>306</v>
      </c>
      <c r="B310" s="2946" t="s">
        <v>2991</v>
      </c>
      <c r="C310" s="2946">
        <v>5150</v>
      </c>
      <c r="D310" s="2946">
        <v>5110</v>
      </c>
      <c r="E310" s="2946">
        <v>6500</v>
      </c>
      <c r="F310" s="2946">
        <v>880</v>
      </c>
      <c r="G310" s="2959">
        <v>3080</v>
      </c>
    </row>
    <row r="311" spans="1:7" s="2780" customFormat="1" ht="14.25" customHeight="1">
      <c r="A311" s="2946" t="s">
        <v>306</v>
      </c>
      <c r="B311" s="2946" t="s">
        <v>3143</v>
      </c>
      <c r="C311" s="2946">
        <v>4750</v>
      </c>
      <c r="D311" s="2946">
        <v>4710</v>
      </c>
      <c r="E311" s="2946">
        <v>5510</v>
      </c>
      <c r="F311" s="2946">
        <v>880</v>
      </c>
      <c r="G311" s="2959">
        <v>2840</v>
      </c>
    </row>
    <row r="312" spans="1:7" s="2780" customFormat="1" ht="14.25" customHeight="1">
      <c r="A312" s="2946" t="s">
        <v>306</v>
      </c>
      <c r="B312" s="2946" t="s">
        <v>3001</v>
      </c>
      <c r="C312" s="2946">
        <v>4690</v>
      </c>
      <c r="D312" s="2946">
        <v>4640</v>
      </c>
      <c r="E312" s="2946">
        <v>5420</v>
      </c>
      <c r="F312" s="2946">
        <v>800</v>
      </c>
      <c r="G312" s="2959">
        <v>2800</v>
      </c>
    </row>
    <row r="313" spans="1:7" s="2780" customFormat="1" ht="14.25" customHeight="1">
      <c r="A313" s="2946" t="s">
        <v>306</v>
      </c>
      <c r="B313" s="2946" t="s">
        <v>3006</v>
      </c>
      <c r="C313" s="2946">
        <v>4810</v>
      </c>
      <c r="D313" s="2946">
        <v>4760</v>
      </c>
      <c r="E313" s="2946">
        <v>5550</v>
      </c>
      <c r="F313" s="2946">
        <v>920</v>
      </c>
      <c r="G313" s="2959">
        <v>2870</v>
      </c>
    </row>
    <row r="314" spans="1:7" s="2780" customFormat="1" ht="14.25" customHeight="1">
      <c r="A314" s="2946" t="s">
        <v>306</v>
      </c>
      <c r="B314" s="2946" t="s">
        <v>3144</v>
      </c>
      <c r="C314" s="2946"/>
      <c r="D314" s="2946"/>
      <c r="E314" s="2946"/>
      <c r="F314" s="2946">
        <v>1020</v>
      </c>
      <c r="G314" s="2959"/>
    </row>
    <row r="315" spans="1:7" s="2780" customFormat="1" ht="14.25" customHeight="1">
      <c r="A315" s="2946" t="s">
        <v>306</v>
      </c>
      <c r="B315" s="2946" t="s">
        <v>3145</v>
      </c>
      <c r="C315" s="2946"/>
      <c r="D315" s="2946"/>
      <c r="E315" s="2946"/>
      <c r="F315" s="2946">
        <v>1050</v>
      </c>
      <c r="G315" s="2959"/>
    </row>
    <row r="316" spans="1:7" s="2780" customFormat="1" ht="14.25" customHeight="1">
      <c r="A316" s="2946" t="s">
        <v>306</v>
      </c>
      <c r="B316" s="2946" t="s">
        <v>3021</v>
      </c>
      <c r="C316" s="2946"/>
      <c r="D316" s="2946"/>
      <c r="E316" s="2946"/>
      <c r="F316" s="2946">
        <v>900</v>
      </c>
      <c r="G316" s="2959"/>
    </row>
    <row r="317" spans="1:7" s="2780" customFormat="1" ht="14.25" customHeight="1">
      <c r="A317" s="2946" t="s">
        <v>306</v>
      </c>
      <c r="B317" s="2946" t="s">
        <v>3146</v>
      </c>
      <c r="C317" s="2946"/>
      <c r="D317" s="2946"/>
      <c r="E317" s="2946"/>
      <c r="F317" s="2946">
        <v>920</v>
      </c>
      <c r="G317" s="2959"/>
    </row>
    <row r="318" spans="1:7" s="2780" customFormat="1" ht="14.25" customHeight="1">
      <c r="A318" s="2946" t="s">
        <v>306</v>
      </c>
      <c r="B318" s="2946" t="s">
        <v>3147</v>
      </c>
      <c r="C318" s="2946"/>
      <c r="D318" s="2946"/>
      <c r="E318" s="2946"/>
      <c r="F318" s="2946">
        <v>1080</v>
      </c>
      <c r="G318" s="2959"/>
    </row>
    <row r="319" spans="1:7" s="2780" customFormat="1" ht="14.25" customHeight="1">
      <c r="A319" s="2946" t="s">
        <v>306</v>
      </c>
      <c r="B319" s="2946" t="s">
        <v>3034</v>
      </c>
      <c r="C319" s="2946"/>
      <c r="D319" s="2946"/>
      <c r="E319" s="2946"/>
      <c r="F319" s="2946">
        <v>1020</v>
      </c>
      <c r="G319" s="2959"/>
    </row>
    <row r="320" spans="1:7" s="2780" customFormat="1" ht="14.25" customHeight="1">
      <c r="A320" s="2946" t="s">
        <v>306</v>
      </c>
      <c r="B320" s="2946" t="s">
        <v>3037</v>
      </c>
      <c r="C320" s="2946"/>
      <c r="D320" s="2946"/>
      <c r="E320" s="2946"/>
      <c r="F320" s="2946">
        <v>1050</v>
      </c>
      <c r="G320" s="2959"/>
    </row>
    <row r="321" spans="1:7" s="2780" customFormat="1" ht="14.25" customHeight="1">
      <c r="A321" s="2946" t="s">
        <v>306</v>
      </c>
      <c r="B321" s="2946" t="s">
        <v>3039</v>
      </c>
      <c r="C321" s="2946"/>
      <c r="D321" s="2946"/>
      <c r="E321" s="2946"/>
      <c r="F321" s="2946">
        <v>960</v>
      </c>
      <c r="G321" s="2959"/>
    </row>
    <row r="322" spans="1:7" s="2780" customFormat="1" ht="14.25" customHeight="1">
      <c r="A322" s="2946" t="s">
        <v>306</v>
      </c>
      <c r="B322" s="2946" t="s">
        <v>3041</v>
      </c>
      <c r="C322" s="2946"/>
      <c r="D322" s="2946"/>
      <c r="E322" s="2946"/>
      <c r="F322" s="2946">
        <v>960</v>
      </c>
      <c r="G322" s="2959"/>
    </row>
    <row r="323" spans="1:7" s="2780" customFormat="1" ht="14.25" customHeight="1">
      <c r="A323" s="2946" t="s">
        <v>306</v>
      </c>
      <c r="B323" s="2946" t="s">
        <v>3043</v>
      </c>
      <c r="C323" s="2946"/>
      <c r="D323" s="2946"/>
      <c r="E323" s="2946"/>
      <c r="F323" s="2946">
        <v>880</v>
      </c>
      <c r="G323" s="2959"/>
    </row>
    <row r="324" spans="1:7" s="2780" customFormat="1" ht="14.25" customHeight="1">
      <c r="A324" s="2946" t="s">
        <v>306</v>
      </c>
      <c r="B324" s="2946" t="s">
        <v>3045</v>
      </c>
      <c r="C324" s="2946"/>
      <c r="D324" s="2946"/>
      <c r="E324" s="2946"/>
      <c r="F324" s="2946">
        <v>930</v>
      </c>
      <c r="G324" s="2959"/>
    </row>
    <row r="325" spans="1:7" s="2780" customFormat="1" ht="14.25" customHeight="1">
      <c r="A325" s="2946" t="s">
        <v>306</v>
      </c>
      <c r="B325" s="2947" t="s">
        <v>3047</v>
      </c>
      <c r="C325" s="2946"/>
      <c r="D325" s="2946"/>
      <c r="E325" s="2946"/>
      <c r="F325" s="2946">
        <v>900</v>
      </c>
      <c r="G325" s="2959"/>
    </row>
    <row r="326" spans="1:7" s="2780" customFormat="1" ht="14.25" customHeight="1" thickBot="1">
      <c r="A326" s="2960" t="s">
        <v>306</v>
      </c>
      <c r="B326" s="2953" t="s">
        <v>3049</v>
      </c>
      <c r="C326" s="2953"/>
      <c r="D326" s="2953"/>
      <c r="E326" s="2953"/>
      <c r="F326" s="2953">
        <v>790</v>
      </c>
      <c r="G326" s="2961"/>
    </row>
    <row r="327" spans="1:7" s="2780" customFormat="1" ht="14.25" customHeight="1">
      <c r="A327" s="2951" t="s">
        <v>307</v>
      </c>
      <c r="B327" s="2942" t="s">
        <v>3148</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3149</v>
      </c>
      <c r="C329" s="2946">
        <v>2730</v>
      </c>
      <c r="D329" s="2946">
        <v>2690</v>
      </c>
      <c r="E329" s="2946">
        <v>3100</v>
      </c>
      <c r="F329" s="2946">
        <v>660</v>
      </c>
      <c r="G329" s="2946">
        <v>1610</v>
      </c>
    </row>
    <row r="330" spans="1:7" s="2780" customFormat="1" ht="14.25" customHeight="1">
      <c r="A330" s="2946" t="s">
        <v>307</v>
      </c>
      <c r="B330" s="2946" t="s">
        <v>3150</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2883</v>
      </c>
      <c r="C332" s="2946">
        <v>3520</v>
      </c>
      <c r="D332" s="2946">
        <v>3480</v>
      </c>
      <c r="E332" s="2946">
        <v>3830</v>
      </c>
      <c r="F332" s="2946">
        <v>720</v>
      </c>
      <c r="G332" s="2946">
        <v>2090</v>
      </c>
    </row>
    <row r="333" spans="1:7" s="2780" customFormat="1" ht="14.25" customHeight="1">
      <c r="A333" s="2946" t="s">
        <v>307</v>
      </c>
      <c r="B333" s="2946" t="s">
        <v>3151</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2893</v>
      </c>
      <c r="C336" s="2946">
        <v>3570</v>
      </c>
      <c r="D336" s="2946">
        <v>3530</v>
      </c>
      <c r="E336" s="2946">
        <v>3880</v>
      </c>
      <c r="F336" s="2946">
        <v>770</v>
      </c>
      <c r="G336" s="2946">
        <v>2110</v>
      </c>
    </row>
    <row r="337" spans="1:10" s="2780" customFormat="1" ht="14.25" customHeight="1">
      <c r="A337" s="2946" t="s">
        <v>307</v>
      </c>
      <c r="B337" s="2946" t="s">
        <v>3152</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3153</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3154</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2918</v>
      </c>
      <c r="C345" s="2946">
        <v>3190</v>
      </c>
      <c r="D345" s="2946">
        <v>3140</v>
      </c>
      <c r="E345" s="2946">
        <v>3450</v>
      </c>
      <c r="F345" s="2946">
        <v>720</v>
      </c>
      <c r="G345" s="2946">
        <v>1880</v>
      </c>
      <c r="J345" s="2780"/>
    </row>
    <row r="346" spans="1:10">
      <c r="A346" s="2946" t="s">
        <v>307</v>
      </c>
      <c r="B346" s="2946" t="s">
        <v>3155</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2927</v>
      </c>
      <c r="C348" s="2946">
        <v>4000</v>
      </c>
      <c r="D348" s="2946">
        <v>3950</v>
      </c>
      <c r="E348" s="2946">
        <v>4430</v>
      </c>
      <c r="F348" s="2946">
        <v>760</v>
      </c>
      <c r="G348" s="2946">
        <v>2360</v>
      </c>
      <c r="J348" s="2780"/>
    </row>
    <row r="349" spans="1:10">
      <c r="A349" s="2946" t="s">
        <v>307</v>
      </c>
      <c r="B349" s="2946" t="s">
        <v>2932</v>
      </c>
      <c r="C349" s="2946">
        <v>3820</v>
      </c>
      <c r="D349" s="2946">
        <v>3780</v>
      </c>
      <c r="E349" s="2946">
        <v>4170</v>
      </c>
      <c r="F349" s="2946">
        <v>710</v>
      </c>
      <c r="G349" s="2946">
        <v>2260</v>
      </c>
      <c r="J349" s="2780"/>
    </row>
    <row r="350" spans="1:10">
      <c r="A350" s="2946" t="s">
        <v>307</v>
      </c>
      <c r="B350" s="2946" t="s">
        <v>3156</v>
      </c>
      <c r="C350" s="2946">
        <v>3760</v>
      </c>
      <c r="D350" s="2946">
        <v>3730</v>
      </c>
      <c r="E350" s="2946">
        <v>4100</v>
      </c>
      <c r="F350" s="2946">
        <v>800</v>
      </c>
      <c r="G350" s="2946">
        <v>2230</v>
      </c>
      <c r="J350" s="2780"/>
    </row>
    <row r="351" spans="1:10">
      <c r="A351" s="2946" t="s">
        <v>307</v>
      </c>
      <c r="B351" s="2946" t="s">
        <v>2940</v>
      </c>
      <c r="C351" s="2946">
        <v>3610</v>
      </c>
      <c r="D351" s="2946">
        <v>3580</v>
      </c>
      <c r="E351" s="2946">
        <v>3930</v>
      </c>
      <c r="F351" s="2946">
        <v>700</v>
      </c>
      <c r="G351" s="2946">
        <v>2140</v>
      </c>
      <c r="J351" s="2780"/>
    </row>
    <row r="352" spans="1:10">
      <c r="A352" s="2946" t="s">
        <v>307</v>
      </c>
      <c r="B352" s="2946" t="s">
        <v>2945</v>
      </c>
      <c r="C352" s="2946">
        <v>3670</v>
      </c>
      <c r="D352" s="2946">
        <v>3630</v>
      </c>
      <c r="E352" s="2946">
        <v>4000</v>
      </c>
      <c r="F352" s="2946">
        <v>750</v>
      </c>
      <c r="G352" s="2946">
        <v>2180</v>
      </c>
    </row>
    <row r="353" spans="1:7" s="2781" customFormat="1">
      <c r="A353" s="2946" t="s">
        <v>307</v>
      </c>
      <c r="B353" s="2946" t="s">
        <v>3157</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2965</v>
      </c>
      <c r="C355" s="2946">
        <v>3650</v>
      </c>
      <c r="D355" s="2946">
        <v>3610</v>
      </c>
      <c r="E355" s="2946">
        <v>4200</v>
      </c>
      <c r="F355" s="2946">
        <v>640</v>
      </c>
      <c r="G355" s="2946">
        <v>2160</v>
      </c>
    </row>
    <row r="356" spans="1:7" s="2781" customFormat="1">
      <c r="A356" s="2946" t="s">
        <v>307</v>
      </c>
      <c r="B356" s="2946" t="s">
        <v>2972</v>
      </c>
      <c r="C356" s="2946">
        <v>3260</v>
      </c>
      <c r="D356" s="2946">
        <v>3230</v>
      </c>
      <c r="E356" s="2946">
        <v>3740</v>
      </c>
      <c r="F356" s="2946">
        <v>600</v>
      </c>
      <c r="G356" s="2946">
        <v>1930</v>
      </c>
    </row>
    <row r="357" spans="1:7" s="2781" customFormat="1" ht="11.4" thickBot="1">
      <c r="A357" s="2954" t="s">
        <v>307</v>
      </c>
      <c r="B357" s="2957" t="s">
        <v>3158</v>
      </c>
      <c r="C357" s="2957">
        <v>3690</v>
      </c>
      <c r="D357" s="2957">
        <v>3650</v>
      </c>
      <c r="E357" s="2957">
        <v>4020</v>
      </c>
      <c r="F357" s="2957">
        <v>700</v>
      </c>
      <c r="G357" s="2957">
        <v>2190</v>
      </c>
    </row>
    <row r="358" spans="1:7" s="2781" customFormat="1">
      <c r="A358" s="2951" t="s">
        <v>3159</v>
      </c>
      <c r="B358" s="2942" t="s">
        <v>3160</v>
      </c>
      <c r="C358" s="2942">
        <v>2080</v>
      </c>
      <c r="D358" s="2942">
        <v>2040</v>
      </c>
      <c r="E358" s="2942">
        <v>2010</v>
      </c>
      <c r="F358" s="2942">
        <v>530</v>
      </c>
      <c r="G358" s="2958">
        <v>1230</v>
      </c>
    </row>
    <row r="359" spans="1:7" s="2781" customFormat="1">
      <c r="A359" s="2946" t="s">
        <v>3159</v>
      </c>
      <c r="B359" s="2946" t="s">
        <v>3161</v>
      </c>
      <c r="C359" s="2946">
        <v>1850</v>
      </c>
      <c r="D359" s="2946">
        <v>1820</v>
      </c>
      <c r="E359" s="2946">
        <v>1780</v>
      </c>
      <c r="F359" s="2946">
        <v>520</v>
      </c>
      <c r="G359" s="2959">
        <v>1100</v>
      </c>
    </row>
    <row r="360" spans="1:7" s="2781" customFormat="1">
      <c r="A360" s="2946" t="s">
        <v>3159</v>
      </c>
      <c r="B360" s="2946" t="s">
        <v>3162</v>
      </c>
      <c r="C360" s="2946">
        <v>2020</v>
      </c>
      <c r="D360" s="2946">
        <v>1990</v>
      </c>
      <c r="E360" s="2946">
        <v>1950</v>
      </c>
      <c r="F360" s="2946">
        <v>500</v>
      </c>
      <c r="G360" s="2959">
        <v>1200</v>
      </c>
    </row>
    <row r="361" spans="1:7" s="2781" customFormat="1">
      <c r="A361" s="2946" t="s">
        <v>3159</v>
      </c>
      <c r="B361" s="2946" t="s">
        <v>153</v>
      </c>
      <c r="C361" s="2946">
        <v>2260</v>
      </c>
      <c r="D361" s="2946">
        <v>2220</v>
      </c>
      <c r="E361" s="2946">
        <v>2180</v>
      </c>
      <c r="F361" s="2946">
        <v>580</v>
      </c>
      <c r="G361" s="2959">
        <v>1340</v>
      </c>
    </row>
    <row r="362" spans="1:7" s="2781" customFormat="1">
      <c r="A362" s="2946" t="s">
        <v>3159</v>
      </c>
      <c r="B362" s="2946" t="s">
        <v>3163</v>
      </c>
      <c r="C362" s="2946">
        <v>2650</v>
      </c>
      <c r="D362" s="2946">
        <v>2610</v>
      </c>
      <c r="E362" s="2946">
        <v>2570</v>
      </c>
      <c r="F362" s="2946">
        <v>630</v>
      </c>
      <c r="G362" s="2959">
        <v>1570</v>
      </c>
    </row>
    <row r="363" spans="1:7" s="2781" customFormat="1">
      <c r="A363" s="2946" t="s">
        <v>3159</v>
      </c>
      <c r="B363" s="2946" t="s">
        <v>2884</v>
      </c>
      <c r="C363" s="2946">
        <v>2390</v>
      </c>
      <c r="D363" s="2946">
        <v>2360</v>
      </c>
      <c r="E363" s="2946">
        <v>2320</v>
      </c>
      <c r="F363" s="2946">
        <v>600</v>
      </c>
      <c r="G363" s="2959">
        <v>1420</v>
      </c>
    </row>
    <row r="364" spans="1:7" s="2781" customFormat="1">
      <c r="A364" s="2946" t="s">
        <v>3159</v>
      </c>
      <c r="B364" s="2946" t="s">
        <v>3164</v>
      </c>
      <c r="C364" s="2946">
        <v>2050</v>
      </c>
      <c r="D364" s="2946">
        <v>2030</v>
      </c>
      <c r="E364" s="2946">
        <v>1990</v>
      </c>
      <c r="F364" s="2946">
        <v>550</v>
      </c>
      <c r="G364" s="2959">
        <v>1220</v>
      </c>
    </row>
    <row r="365" spans="1:7" s="2781" customFormat="1">
      <c r="A365" s="2946" t="s">
        <v>3159</v>
      </c>
      <c r="B365" s="2946" t="s">
        <v>200</v>
      </c>
      <c r="C365" s="2946">
        <v>2140</v>
      </c>
      <c r="D365" s="2946">
        <v>2100</v>
      </c>
      <c r="E365" s="2946">
        <v>2060</v>
      </c>
      <c r="F365" s="2946">
        <v>540</v>
      </c>
      <c r="G365" s="2959">
        <v>1270</v>
      </c>
    </row>
    <row r="366" spans="1:7" s="2781" customFormat="1">
      <c r="A366" s="2946" t="s">
        <v>3159</v>
      </c>
      <c r="B366" s="2946" t="s">
        <v>2891</v>
      </c>
      <c r="C366" s="2946">
        <v>2410</v>
      </c>
      <c r="D366" s="2946">
        <v>2370</v>
      </c>
      <c r="E366" s="2946">
        <v>2330</v>
      </c>
      <c r="F366" s="2946">
        <v>570</v>
      </c>
      <c r="G366" s="2959">
        <v>1440</v>
      </c>
    </row>
    <row r="367" spans="1:7" s="2781" customFormat="1">
      <c r="A367" s="2946" t="s">
        <v>3159</v>
      </c>
      <c r="B367" s="2946" t="s">
        <v>3165</v>
      </c>
      <c r="C367" s="2946">
        <v>2300</v>
      </c>
      <c r="D367" s="2946">
        <v>2260</v>
      </c>
      <c r="E367" s="2946">
        <v>2220</v>
      </c>
      <c r="F367" s="2946">
        <v>560</v>
      </c>
      <c r="G367" s="2959">
        <v>1370</v>
      </c>
    </row>
    <row r="368" spans="1:7" s="2781" customFormat="1">
      <c r="A368" s="2946" t="s">
        <v>3159</v>
      </c>
      <c r="B368" s="2946" t="s">
        <v>3166</v>
      </c>
      <c r="C368" s="2946">
        <v>2430</v>
      </c>
      <c r="D368" s="2946">
        <v>2390</v>
      </c>
      <c r="E368" s="2946">
        <v>2350</v>
      </c>
      <c r="F368" s="2946">
        <v>570</v>
      </c>
      <c r="G368" s="2959">
        <v>1450</v>
      </c>
    </row>
    <row r="369" spans="1:7" s="2781" customFormat="1">
      <c r="A369" s="2946" t="s">
        <v>3159</v>
      </c>
      <c r="B369" s="2946" t="s">
        <v>214</v>
      </c>
      <c r="C369" s="2946">
        <v>2320</v>
      </c>
      <c r="D369" s="2946">
        <v>2290</v>
      </c>
      <c r="E369" s="2946">
        <v>2250</v>
      </c>
      <c r="F369" s="2946">
        <v>550</v>
      </c>
      <c r="G369" s="2959">
        <v>1380</v>
      </c>
    </row>
    <row r="370" spans="1:7" s="2781" customFormat="1">
      <c r="A370" s="2946" t="s">
        <v>3159</v>
      </c>
      <c r="B370" s="2946" t="s">
        <v>221</v>
      </c>
      <c r="C370" s="2946">
        <v>2190</v>
      </c>
      <c r="D370" s="2946">
        <v>2170</v>
      </c>
      <c r="E370" s="2946">
        <v>2130</v>
      </c>
      <c r="F370" s="2946">
        <v>530</v>
      </c>
      <c r="G370" s="2959">
        <v>1310</v>
      </c>
    </row>
    <row r="371" spans="1:7" s="2781" customFormat="1">
      <c r="A371" s="2946" t="s">
        <v>3159</v>
      </c>
      <c r="B371" s="2946" t="s">
        <v>229</v>
      </c>
      <c r="C371" s="2946">
        <v>2460</v>
      </c>
      <c r="D371" s="2946">
        <v>2420</v>
      </c>
      <c r="E371" s="2946">
        <v>2370</v>
      </c>
      <c r="F371" s="2946">
        <v>560</v>
      </c>
      <c r="G371" s="2959">
        <v>1470</v>
      </c>
    </row>
    <row r="372" spans="1:7" s="2781" customFormat="1">
      <c r="A372" s="2946" t="s">
        <v>3159</v>
      </c>
      <c r="B372" s="2946" t="s">
        <v>3167</v>
      </c>
      <c r="C372" s="2946">
        <v>2250</v>
      </c>
      <c r="D372" s="2946">
        <v>2210</v>
      </c>
      <c r="E372" s="2946">
        <v>2180</v>
      </c>
      <c r="F372" s="2946">
        <v>550</v>
      </c>
      <c r="G372" s="2959">
        <v>1340</v>
      </c>
    </row>
    <row r="373" spans="1:7" s="2781" customFormat="1">
      <c r="A373" s="2946" t="s">
        <v>3159</v>
      </c>
      <c r="B373" s="2946" t="s">
        <v>258</v>
      </c>
      <c r="C373" s="2946">
        <v>2210</v>
      </c>
      <c r="D373" s="2946">
        <v>2190</v>
      </c>
      <c r="E373" s="2946">
        <v>2150</v>
      </c>
      <c r="F373" s="2946">
        <v>530</v>
      </c>
      <c r="G373" s="2959">
        <v>1320</v>
      </c>
    </row>
    <row r="374" spans="1:7" s="2781" customFormat="1">
      <c r="A374" s="2946" t="s">
        <v>3159</v>
      </c>
      <c r="B374" s="2946" t="s">
        <v>266</v>
      </c>
      <c r="C374" s="2946">
        <v>2320</v>
      </c>
      <c r="D374" s="2946">
        <v>2280</v>
      </c>
      <c r="E374" s="2946">
        <v>2230</v>
      </c>
      <c r="F374" s="2946">
        <v>580</v>
      </c>
      <c r="G374" s="2959">
        <v>1380</v>
      </c>
    </row>
    <row r="375" spans="1:7" s="2781" customFormat="1">
      <c r="A375" s="2946" t="s">
        <v>3159</v>
      </c>
      <c r="B375" s="2946" t="s">
        <v>3168</v>
      </c>
      <c r="C375" s="2946">
        <v>2090</v>
      </c>
      <c r="D375" s="2946">
        <v>2050</v>
      </c>
      <c r="E375" s="2946">
        <v>2020</v>
      </c>
      <c r="F375" s="2946">
        <v>520</v>
      </c>
      <c r="G375" s="2959">
        <v>1240</v>
      </c>
    </row>
    <row r="376" spans="1:7" s="2781" customFormat="1">
      <c r="A376" s="2946" t="s">
        <v>3159</v>
      </c>
      <c r="B376" s="2946" t="s">
        <v>277</v>
      </c>
      <c r="C376" s="2946">
        <v>2010</v>
      </c>
      <c r="D376" s="2946">
        <v>1980</v>
      </c>
      <c r="E376" s="2946">
        <v>1940</v>
      </c>
      <c r="F376" s="2946">
        <v>540</v>
      </c>
      <c r="G376" s="2959">
        <v>1190</v>
      </c>
    </row>
    <row r="377" spans="1:7" s="2781" customFormat="1" ht="11.4" thickBot="1">
      <c r="A377" s="2954" t="s">
        <v>3159</v>
      </c>
      <c r="B377" s="2957" t="s">
        <v>2921</v>
      </c>
      <c r="C377" s="2957">
        <v>1930</v>
      </c>
      <c r="D377" s="2957">
        <v>1890</v>
      </c>
      <c r="E377" s="2957">
        <v>1860</v>
      </c>
      <c r="F377" s="2957">
        <v>530</v>
      </c>
      <c r="G377" s="2962">
        <v>1150</v>
      </c>
    </row>
    <row r="378" spans="1:7" s="2781" customFormat="1">
      <c r="A378" s="2963" t="s">
        <v>3169</v>
      </c>
      <c r="B378" s="2942" t="s">
        <v>3170</v>
      </c>
      <c r="C378" s="2942">
        <v>1520</v>
      </c>
      <c r="D378" s="2942">
        <v>1490</v>
      </c>
      <c r="E378" s="2942">
        <v>1460</v>
      </c>
      <c r="F378" s="2942">
        <v>460</v>
      </c>
      <c r="G378" s="2958">
        <v>940</v>
      </c>
    </row>
    <row r="379" spans="1:7" s="2781" customFormat="1">
      <c r="A379" s="2964" t="s">
        <v>3169</v>
      </c>
      <c r="B379" s="2946" t="s">
        <v>3171</v>
      </c>
      <c r="C379" s="2946">
        <v>1500</v>
      </c>
      <c r="D379" s="2946">
        <v>1470</v>
      </c>
      <c r="E379" s="2946">
        <v>1430</v>
      </c>
      <c r="F379" s="2946">
        <v>460</v>
      </c>
      <c r="G379" s="2959">
        <v>920</v>
      </c>
    </row>
    <row r="380" spans="1:7" s="2781" customFormat="1">
      <c r="A380" s="2964" t="s">
        <v>3169</v>
      </c>
      <c r="B380" s="2946" t="s">
        <v>3172</v>
      </c>
      <c r="C380" s="2946">
        <v>1620</v>
      </c>
      <c r="D380" s="2946">
        <v>1590</v>
      </c>
      <c r="E380" s="2946">
        <v>1560</v>
      </c>
      <c r="F380" s="2946">
        <v>480</v>
      </c>
      <c r="G380" s="2959">
        <v>1000</v>
      </c>
    </row>
    <row r="381" spans="1:7" s="2781" customFormat="1">
      <c r="A381" s="2964" t="s">
        <v>3169</v>
      </c>
      <c r="B381" s="2946" t="s">
        <v>3173</v>
      </c>
      <c r="C381" s="2946">
        <v>1460</v>
      </c>
      <c r="D381" s="2946">
        <v>1430</v>
      </c>
      <c r="E381" s="2946">
        <v>1390</v>
      </c>
      <c r="F381" s="2946">
        <v>450</v>
      </c>
      <c r="G381" s="2959">
        <v>900</v>
      </c>
    </row>
    <row r="382" spans="1:7" s="2781" customFormat="1">
      <c r="A382" s="2964" t="s">
        <v>3169</v>
      </c>
      <c r="B382" s="2946" t="s">
        <v>3174</v>
      </c>
      <c r="C382" s="2946">
        <v>1310</v>
      </c>
      <c r="D382" s="2946">
        <v>1280</v>
      </c>
      <c r="E382" s="2946">
        <v>1250</v>
      </c>
      <c r="F382" s="2946">
        <v>440</v>
      </c>
      <c r="G382" s="2959">
        <v>800</v>
      </c>
    </row>
    <row r="383" spans="1:7" s="2781" customFormat="1">
      <c r="A383" s="2964" t="s">
        <v>3169</v>
      </c>
      <c r="B383" s="2946" t="s">
        <v>3175</v>
      </c>
      <c r="C383" s="2946">
        <v>1260</v>
      </c>
      <c r="D383" s="2946">
        <v>1230</v>
      </c>
      <c r="E383" s="2946">
        <v>1200</v>
      </c>
      <c r="F383" s="2946">
        <v>420</v>
      </c>
      <c r="G383" s="2959">
        <v>770</v>
      </c>
    </row>
    <row r="384" spans="1:7" s="2781" customFormat="1" ht="11.4" thickBot="1">
      <c r="A384" s="2965" t="s">
        <v>3169</v>
      </c>
      <c r="B384" s="2953" t="s">
        <v>3176</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45831</v>
      </c>
      <c r="D1" s="1217" t="s">
        <v>603</v>
      </c>
      <c r="E1" s="1212">
        <f>'数据-取费表'!B22</f>
        <v>1</v>
      </c>
      <c r="F1" s="1217" t="s">
        <v>604</v>
      </c>
      <c r="G1" s="1213">
        <f ca="1">INDIRECT("d"&amp;$K$1)/100</f>
        <v>0.03</v>
      </c>
      <c r="H1" s="1217" t="s">
        <v>634</v>
      </c>
      <c r="I1" s="1213">
        <f ca="1">F4/100</f>
        <v>1.4999999999999999E-2</v>
      </c>
      <c r="J1" s="1218">
        <f>IF(C1&gt;C13,0,MATCH(C1,C$13:C$115,-1))+IF(SUMIF(C13:C115,C1,D13:D115)=0,13,12)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2305</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2" t="s">
        <v>949</v>
      </c>
      <c r="B1" s="3202"/>
      <c r="C1" s="3202"/>
      <c r="D1" s="3202"/>
    </row>
    <row r="2" spans="1:4" ht="17.399999999999999">
      <c r="A2" s="3203" t="s">
        <v>933</v>
      </c>
      <c r="B2" s="3203"/>
      <c r="C2" s="3203"/>
      <c r="D2" s="3203"/>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203" t="s">
        <v>939</v>
      </c>
      <c r="B6" s="3203"/>
      <c r="C6" s="3203"/>
      <c r="D6" s="3203"/>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4" t="s">
        <v>942</v>
      </c>
      <c r="B11" s="3196"/>
      <c r="C11" s="3196"/>
      <c r="D11" s="3196"/>
    </row>
    <row r="12" spans="1:4" ht="15.6">
      <c r="A12" s="31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1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196" t="str">
        <f>IF(项目基本情况!B8="抵押","4.本次评估估价师所知悉的法定优先受偿款情况说明如下：","——")</f>
        <v>4.本次评估估价师所知悉的法定优先受偿款情况说明如下：</v>
      </c>
      <c r="B14" s="3201"/>
      <c r="C14" s="3201"/>
      <c r="D14" s="3201"/>
    </row>
    <row r="15" spans="1:4" ht="42" customHeight="1">
      <c r="A15" s="31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6"/>
      <c r="C15" s="3196"/>
      <c r="D15" s="3196"/>
    </row>
    <row r="16" spans="1:4" ht="30" customHeight="1">
      <c r="A16" s="3198" t="s">
        <v>943</v>
      </c>
      <c r="B16" s="3198"/>
      <c r="C16" s="3198"/>
      <c r="D16" s="3198"/>
    </row>
    <row r="17" spans="1:4" ht="144" customHeight="1">
      <c r="A17" s="3198" t="s">
        <v>944</v>
      </c>
      <c r="B17" s="3198"/>
      <c r="C17" s="3198"/>
      <c r="D17" s="3198"/>
    </row>
    <row r="18" spans="1:4" ht="15.75" customHeight="1">
      <c r="A18" s="3196" t="str">
        <f>IF(项目基本情况!B8="抵押",结果表1层!K120,"——")</f>
        <v>故，本次评估不存在估价师知悉的法定优先受偿款</v>
      </c>
      <c r="B18" s="3196"/>
      <c r="C18" s="3196"/>
      <c r="D18" s="3196"/>
    </row>
    <row r="19" spans="1:4" ht="46.5" customHeight="1">
      <c r="A19" s="31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6"/>
      <c r="C19" s="3196"/>
      <c r="D19" s="3196"/>
    </row>
    <row r="20" spans="1:4" ht="57.75" customHeight="1">
      <c r="A20" s="3196" t="str">
        <f>IF(结果表1层!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96"/>
      <c r="C20" s="3196"/>
      <c r="D20" s="3196"/>
    </row>
    <row r="21" spans="1:4" ht="57.75" customHeight="1">
      <c r="A21" s="3199" t="str">
        <f>IF(结果表1层!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99"/>
      <c r="C21" s="3199"/>
      <c r="D21" s="3199"/>
    </row>
    <row r="22" spans="1:4" ht="18.75" customHeight="1">
      <c r="A22" s="3200" t="s">
        <v>945</v>
      </c>
      <c r="B22" s="3200"/>
      <c r="C22" s="3200"/>
      <c r="D22" s="3200"/>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0" t="s">
        <v>956</v>
      </c>
      <c r="B15" s="3205" t="s">
        <v>109</v>
      </c>
      <c r="C15" s="3206"/>
    </row>
    <row r="16" spans="1:7" ht="14.4">
      <c r="A16" s="3211"/>
      <c r="B16" s="3205" t="s">
        <v>42</v>
      </c>
      <c r="C16" s="3206"/>
    </row>
    <row r="17" spans="1:3" ht="14.4">
      <c r="A17" s="3211"/>
      <c r="B17" s="3208" t="s">
        <v>957</v>
      </c>
      <c r="C17" s="1429" t="s">
        <v>956</v>
      </c>
    </row>
    <row r="18" spans="1:3" ht="14.4">
      <c r="A18" s="3211"/>
      <c r="B18" s="3208"/>
      <c r="C18" s="1429" t="s">
        <v>958</v>
      </c>
    </row>
    <row r="19" spans="1:3" ht="14.4">
      <c r="A19" s="3211"/>
      <c r="B19" s="3208"/>
      <c r="C19" s="1429" t="s">
        <v>959</v>
      </c>
    </row>
    <row r="20" spans="1:3" ht="14.4">
      <c r="A20" s="3212"/>
      <c r="B20" s="3207" t="s">
        <v>960</v>
      </c>
      <c r="C20" s="3206"/>
    </row>
    <row r="21" spans="1:3" ht="14.4">
      <c r="A21" s="1430" t="s">
        <v>961</v>
      </c>
      <c r="B21" s="1431"/>
      <c r="C21" s="1432"/>
    </row>
    <row r="22" spans="1:3" ht="14.4">
      <c r="A22" s="3209" t="s">
        <v>962</v>
      </c>
      <c r="B22" s="3207" t="s">
        <v>963</v>
      </c>
      <c r="C22" s="3206"/>
    </row>
    <row r="23" spans="1:3" ht="14.4">
      <c r="A23" s="3209"/>
      <c r="B23" s="3207" t="s">
        <v>964</v>
      </c>
      <c r="C23" s="3206"/>
    </row>
    <row r="24" spans="1:3" ht="14.4">
      <c r="A24" s="3209"/>
      <c r="B24" s="3207" t="s">
        <v>965</v>
      </c>
      <c r="C24" s="3206"/>
    </row>
    <row r="25" spans="1:3" ht="14.4">
      <c r="A25" s="3209"/>
      <c r="B25" s="3208" t="s">
        <v>966</v>
      </c>
      <c r="C25" s="1429" t="s">
        <v>967</v>
      </c>
    </row>
    <row r="26" spans="1:3" ht="14.4">
      <c r="A26" s="3209"/>
      <c r="B26" s="3208"/>
      <c r="C26" s="1429" t="s">
        <v>968</v>
      </c>
    </row>
    <row r="27" spans="1:3" ht="14.4">
      <c r="A27" s="3209"/>
      <c r="B27" s="3208"/>
      <c r="C27" s="1429" t="s">
        <v>969</v>
      </c>
    </row>
    <row r="28" spans="1:3" ht="14.4">
      <c r="A28" s="3209"/>
      <c r="B28" s="3208"/>
      <c r="C28" s="1429" t="s">
        <v>970</v>
      </c>
    </row>
    <row r="29" spans="1:3" ht="14.4">
      <c r="A29" s="3209"/>
      <c r="B29" s="3208"/>
      <c r="C29" s="1429" t="s">
        <v>971</v>
      </c>
    </row>
    <row r="30" spans="1:3" ht="14.4">
      <c r="A30" s="3209"/>
      <c r="B30" s="3208"/>
      <c r="C30" s="1429" t="s">
        <v>972</v>
      </c>
    </row>
    <row r="31" spans="1:3" ht="14.4">
      <c r="A31" s="3209"/>
      <c r="B31" s="3208"/>
      <c r="C31" s="1429" t="s">
        <v>973</v>
      </c>
    </row>
    <row r="32" spans="1:3" ht="14.4">
      <c r="A32" s="3209"/>
      <c r="B32" s="3208"/>
      <c r="C32" s="1429" t="s">
        <v>974</v>
      </c>
    </row>
    <row r="33" spans="1:3" ht="14.4">
      <c r="A33" s="3209"/>
      <c r="B33" s="3208"/>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2135</v>
      </c>
      <c r="B2" s="2156">
        <f ca="1">TODAY()</f>
        <v>45831</v>
      </c>
      <c r="C2" s="2157" t="s">
        <v>2136</v>
      </c>
      <c r="D2" s="2157"/>
      <c r="E2" s="2157"/>
      <c r="F2" s="2153"/>
      <c r="G2" s="2153"/>
      <c r="H2" s="2153"/>
    </row>
    <row r="3" spans="1:8" ht="24" customHeight="1">
      <c r="A3" s="2158" t="s">
        <v>2137</v>
      </c>
      <c r="B3" s="1219" t="s">
        <v>2138</v>
      </c>
      <c r="C3" s="1219" t="s">
        <v>2139</v>
      </c>
      <c r="D3" s="2159" t="s">
        <v>2140</v>
      </c>
      <c r="E3" s="2160" t="s">
        <v>2141</v>
      </c>
      <c r="F3" s="1219" t="s">
        <v>2142</v>
      </c>
      <c r="G3" s="1219" t="s">
        <v>2139</v>
      </c>
      <c r="H3" s="2159" t="s">
        <v>2143</v>
      </c>
    </row>
    <row r="4" spans="1:8" ht="24" customHeight="1">
      <c r="A4" s="1219" t="s">
        <v>2144</v>
      </c>
      <c r="B4" s="1219">
        <f ca="1">IF(C4&lt;B2,"已过期",1119970066)</f>
        <v>1119970066</v>
      </c>
      <c r="C4" s="2161">
        <v>45937</v>
      </c>
      <c r="D4" s="2162" t="str">
        <f ca="1">A4&amp;"（注册号："&amp;B4&amp;"）"</f>
        <v>梁津（注册号：1119970066）</v>
      </c>
      <c r="E4" s="2163" t="s">
        <v>2144</v>
      </c>
      <c r="F4" s="1219">
        <f ca="1">IF(G4&lt;B2,"已过期",96010014)</f>
        <v>96010014</v>
      </c>
      <c r="G4" s="2164">
        <v>47118</v>
      </c>
      <c r="H4" s="2165" t="str">
        <f ca="1">E4&amp;"（注册号："&amp;F4&amp;"）"</f>
        <v>梁津（注册号：96010014）</v>
      </c>
    </row>
    <row r="5" spans="1:8" ht="24" customHeight="1">
      <c r="A5" s="1219" t="s">
        <v>2145</v>
      </c>
      <c r="B5" s="1219">
        <f ca="1">IF(C5&lt;B2,"已过期",1119970111)</f>
        <v>1119970111</v>
      </c>
      <c r="C5" s="2161">
        <v>45937</v>
      </c>
      <c r="D5" s="2162" t="str">
        <f t="shared" ref="D5:D15" ca="1" si="0">A5&amp;"（注册号："&amp;B5&amp;"）"</f>
        <v>叶凌（注册号：1119970111）</v>
      </c>
      <c r="E5" s="2163" t="s">
        <v>2145</v>
      </c>
      <c r="F5" s="1219">
        <f ca="1">IF(G5&lt;B2,"已过期",94010078)</f>
        <v>94010078</v>
      </c>
      <c r="G5" s="2164">
        <v>46387</v>
      </c>
      <c r="H5" s="2165" t="str">
        <f t="shared" ref="H5:H16" ca="1" si="1">E5&amp;"（注册号："&amp;F5&amp;"）"</f>
        <v>叶凌（注册号：94010078）</v>
      </c>
    </row>
    <row r="6" spans="1:8" ht="24" customHeight="1">
      <c r="A6" s="1219" t="s">
        <v>2146</v>
      </c>
      <c r="B6" s="1219" t="str">
        <f ca="1">IF(C6&lt;B2,"已过期",1120050019)</f>
        <v>已过期</v>
      </c>
      <c r="C6" s="2161">
        <v>45410</v>
      </c>
      <c r="D6" s="2162" t="str">
        <f t="shared" ca="1" si="0"/>
        <v>王鹏（注册号：已过期）</v>
      </c>
      <c r="E6" s="2163" t="s">
        <v>2146</v>
      </c>
      <c r="F6" s="1219">
        <f ca="1">IF(G6&lt;B2,"已过期",2002110030)</f>
        <v>2002110030</v>
      </c>
      <c r="G6" s="2164">
        <v>46387</v>
      </c>
      <c r="H6" s="2165" t="str">
        <f t="shared" ca="1" si="1"/>
        <v>王鹏（注册号：2002110030）</v>
      </c>
    </row>
    <row r="7" spans="1:8" ht="24" customHeight="1">
      <c r="A7" s="1219" t="s">
        <v>2147</v>
      </c>
      <c r="B7" s="1219">
        <f ca="1">IF(C7&lt;B2,"已过期",1120000080)</f>
        <v>1120000080</v>
      </c>
      <c r="C7" s="2161">
        <v>45937</v>
      </c>
      <c r="D7" s="2162" t="str">
        <f t="shared" ca="1" si="0"/>
        <v>欧红伟（注册号：1120000080）</v>
      </c>
      <c r="E7" s="2163" t="s">
        <v>2147</v>
      </c>
      <c r="F7" s="1219">
        <f ca="1">IF(G7&lt;B2,"已过期",2000110082)</f>
        <v>2000110082</v>
      </c>
      <c r="G7" s="2164">
        <v>46387</v>
      </c>
      <c r="H7" s="2165" t="str">
        <f t="shared" ca="1" si="1"/>
        <v>欧红伟（注册号：2000110082）</v>
      </c>
    </row>
    <row r="8" spans="1:8" ht="24" customHeight="1">
      <c r="A8" s="1219" t="s">
        <v>2148</v>
      </c>
      <c r="B8" s="1219">
        <f ca="1">IF(C8&lt;B2,"已过期",1419970001)</f>
        <v>1419970001</v>
      </c>
      <c r="C8" s="2161">
        <v>45937</v>
      </c>
      <c r="D8" s="2162" t="str">
        <f t="shared" ca="1" si="0"/>
        <v>吴薇（注册号：1419970001）</v>
      </c>
      <c r="E8" s="2163" t="s">
        <v>2148</v>
      </c>
      <c r="F8" s="1219">
        <f ca="1">IF(G8&lt;B2,"已过期",2002110125)</f>
        <v>2002110125</v>
      </c>
      <c r="G8" s="2164">
        <v>47118</v>
      </c>
      <c r="H8" s="2165" t="str">
        <f t="shared" ca="1" si="1"/>
        <v>吴薇（注册号：2002110125）</v>
      </c>
    </row>
    <row r="9" spans="1:8" ht="24" customHeight="1">
      <c r="A9" s="1219" t="s">
        <v>2149</v>
      </c>
      <c r="B9" s="1219" t="str">
        <f ca="1">IF(C9&lt;B2,"已过期",1120060040)</f>
        <v>已过期</v>
      </c>
      <c r="C9" s="2166">
        <v>45592</v>
      </c>
      <c r="D9" s="2162" t="str">
        <f t="shared" ca="1" si="0"/>
        <v>陈颖（注册号：已过期）</v>
      </c>
      <c r="E9" s="2163" t="s">
        <v>2149</v>
      </c>
      <c r="F9" s="1219">
        <f ca="1">IF(G9&lt;B2,"已过期",2004110096)</f>
        <v>2004110096</v>
      </c>
      <c r="G9" s="2164">
        <v>47118</v>
      </c>
      <c r="H9" s="2165" t="str">
        <f t="shared" ca="1" si="1"/>
        <v>陈颖（注册号：2004110096）</v>
      </c>
    </row>
    <row r="10" spans="1:8" ht="24" customHeight="1">
      <c r="A10" s="1219" t="s">
        <v>2150</v>
      </c>
      <c r="B10" s="1219" t="str">
        <f ca="1">IF(C10&lt;B2,"已过期",1120100036)</f>
        <v>已过期</v>
      </c>
      <c r="C10" s="2166">
        <v>45752</v>
      </c>
      <c r="D10" s="2162" t="str">
        <f t="shared" ca="1" si="0"/>
        <v>崔锴（注册号：已过期）</v>
      </c>
      <c r="E10" s="2163" t="s">
        <v>2150</v>
      </c>
      <c r="F10" s="1219">
        <f ca="1">IF(G10&lt;B2,"已过期",2010110070)</f>
        <v>2010110070</v>
      </c>
      <c r="G10" s="2164">
        <v>47907</v>
      </c>
      <c r="H10" s="2165" t="str">
        <f t="shared" ca="1" si="1"/>
        <v>崔锴（注册号：2010110070）</v>
      </c>
    </row>
    <row r="11" spans="1:8" ht="24" customHeight="1">
      <c r="A11" s="1219" t="s">
        <v>2151</v>
      </c>
      <c r="B11" s="1219">
        <f ca="1">IF(C11&lt;B2,"已过期",1120070131)</f>
        <v>1120070131</v>
      </c>
      <c r="C11" s="2161">
        <v>45937</v>
      </c>
      <c r="D11" s="2162" t="str">
        <f t="shared" ca="1" si="0"/>
        <v>郑燚（注册号：1120070131）</v>
      </c>
      <c r="E11" s="2163" t="s">
        <v>2151</v>
      </c>
      <c r="F11" s="1219">
        <f ca="1">IF(G11&lt;B2,"已过期",2014110011)</f>
        <v>2014110011</v>
      </c>
      <c r="G11" s="2164">
        <v>49302</v>
      </c>
      <c r="H11" s="2165" t="str">
        <f t="shared" ca="1" si="1"/>
        <v>郑燚（注册号：2014110011）</v>
      </c>
    </row>
    <row r="12" spans="1:8" ht="24" customHeight="1">
      <c r="A12" s="1219" t="s">
        <v>2152</v>
      </c>
      <c r="B12" s="1219">
        <f ca="1">IF(C12&lt;B2,"已过期",1120040230)</f>
        <v>1120040230</v>
      </c>
      <c r="C12" s="2166">
        <v>45937</v>
      </c>
      <c r="D12" s="2162" t="str">
        <f t="shared" ca="1" si="0"/>
        <v>苏海（注册号：1120040230）</v>
      </c>
      <c r="E12" s="2163" t="s">
        <v>2152</v>
      </c>
      <c r="F12" s="1219">
        <f ca="1">IF(G12&lt;B2,"已过期",98030020)</f>
        <v>98030020</v>
      </c>
      <c r="G12" s="2164">
        <v>47118</v>
      </c>
      <c r="H12" s="2165" t="str">
        <f t="shared" ca="1" si="1"/>
        <v>苏海（注册号：98030020）</v>
      </c>
    </row>
    <row r="13" spans="1:8" ht="24" customHeight="1">
      <c r="A13" s="1219" t="s">
        <v>2153</v>
      </c>
      <c r="B13" s="1219" t="str">
        <f ca="1">IF(C13&lt;B2,"已过期",1120020033)</f>
        <v>已过期</v>
      </c>
      <c r="C13" s="2161">
        <v>45375</v>
      </c>
      <c r="D13" s="2162" t="str">
        <f t="shared" ca="1" si="0"/>
        <v>刘敬东（注册号：已过期）</v>
      </c>
      <c r="E13" s="2163" t="s">
        <v>2153</v>
      </c>
      <c r="F13" s="1219">
        <f ca="1">IF(G13&lt;B2,"已过期",2000110137)</f>
        <v>2000110137</v>
      </c>
      <c r="G13" s="2164">
        <v>46387</v>
      </c>
      <c r="H13" s="2165" t="str">
        <f t="shared" ca="1" si="1"/>
        <v>刘敬东（注册号：2000110137）</v>
      </c>
    </row>
    <row r="14" spans="1:8" ht="24" customHeight="1">
      <c r="A14" s="1219" t="s">
        <v>2154</v>
      </c>
      <c r="B14" s="1219" t="str">
        <f ca="1">IF(C14&lt;B2,"已过期",1119980106)</f>
        <v>已过期</v>
      </c>
      <c r="C14" s="2166">
        <v>44969</v>
      </c>
      <c r="D14" s="2162" t="str">
        <f t="shared" ca="1" si="0"/>
        <v>刘俊财（注册号：已过期）</v>
      </c>
      <c r="E14" s="2163" t="s">
        <v>2154</v>
      </c>
      <c r="F14" s="1219">
        <f ca="1">IF(G14&lt;B2,"已过期",96010063)</f>
        <v>96010063</v>
      </c>
      <c r="G14" s="2164">
        <v>47483</v>
      </c>
      <c r="H14" s="2165" t="str">
        <f t="shared" ca="1" si="1"/>
        <v>刘俊财（注册号：96010063）</v>
      </c>
    </row>
    <row r="15" spans="1:8" ht="24" customHeight="1">
      <c r="A15" s="1219" t="s">
        <v>2433</v>
      </c>
      <c r="B15" s="1219">
        <v>1120210056</v>
      </c>
      <c r="C15" s="2166">
        <v>45410</v>
      </c>
      <c r="D15" s="2162" t="str">
        <f t="shared" si="0"/>
        <v>宁小鳗（注册号：1120210056）</v>
      </c>
      <c r="E15" s="2163" t="s">
        <v>2155</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3" t="s">
        <v>2156</v>
      </c>
      <c r="B17" s="3213"/>
      <c r="C17" s="3213"/>
      <c r="D17" s="3213"/>
      <c r="E17" s="3213"/>
      <c r="F17" s="3213"/>
      <c r="G17" s="3213"/>
      <c r="H17" s="3213"/>
    </row>
    <row r="18" spans="1:8" ht="24" customHeight="1">
      <c r="A18" s="3214" t="s">
        <v>2157</v>
      </c>
      <c r="B18" s="3214"/>
      <c r="C18" s="3214"/>
      <c r="D18" s="2159"/>
      <c r="E18" s="3215" t="s">
        <v>2158</v>
      </c>
      <c r="F18" s="3214"/>
      <c r="G18" s="3214"/>
    </row>
    <row r="19" spans="1:8" s="2169" customFormat="1" ht="24" customHeight="1">
      <c r="A19" s="2168" t="s">
        <v>2159</v>
      </c>
      <c r="B19" s="1219" t="s">
        <v>2160</v>
      </c>
      <c r="C19" s="1219" t="s">
        <v>2139</v>
      </c>
      <c r="D19" s="2159"/>
      <c r="E19" s="2163" t="s">
        <v>2159</v>
      </c>
      <c r="F19" s="1219" t="s">
        <v>2160</v>
      </c>
      <c r="G19" s="1219" t="s">
        <v>2139</v>
      </c>
    </row>
    <row r="20" spans="1:8" s="2169" customFormat="1" ht="24" customHeight="1">
      <c r="A20" s="2170" t="s">
        <v>2161</v>
      </c>
      <c r="B20" s="2170" t="s">
        <v>2162</v>
      </c>
      <c r="C20" s="2164">
        <v>45898</v>
      </c>
      <c r="D20" s="2171"/>
      <c r="E20" s="2172" t="s">
        <v>2163</v>
      </c>
      <c r="F20" s="2175" t="s">
        <v>2434</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96" priority="32" stopIfTrue="1" operator="equal">
      <formula>"已过期"</formula>
    </cfRule>
  </conditionalFormatting>
  <conditionalFormatting sqref="B4:B15">
    <cfRule type="cellIs" dxfId="195" priority="4" stopIfTrue="1" operator="equal">
      <formula>"已过期"</formula>
    </cfRule>
  </conditionalFormatting>
  <conditionalFormatting sqref="C7:C12">
    <cfRule type="expression" dxfId="194" priority="22">
      <formula>AND($C7-TODAY()&lt;30,TODAY()&lt;$C7)</formula>
    </cfRule>
    <cfRule type="cellIs" dxfId="193" priority="23" stopIfTrue="1" operator="lessThan">
      <formula>$B$2</formula>
    </cfRule>
  </conditionalFormatting>
  <conditionalFormatting sqref="C14:C15">
    <cfRule type="expression" dxfId="192" priority="7">
      <formula>AND($C14-TODAY()&lt;30,TODAY()&lt;$C14)</formula>
    </cfRule>
    <cfRule type="cellIs" dxfId="191" priority="8" stopIfTrue="1" operator="lessThan">
      <formula>$B$2</formula>
    </cfRule>
  </conditionalFormatting>
  <conditionalFormatting sqref="C4:D6 D14">
    <cfRule type="cellIs" dxfId="190" priority="50" stopIfTrue="1" operator="lessThan">
      <formula>$B$2</formula>
    </cfRule>
  </conditionalFormatting>
  <conditionalFormatting sqref="C12:D13">
    <cfRule type="expression" dxfId="189" priority="47">
      <formula>AND($C12-TODAY()&lt;30,TODAY()&lt;$C12)</formula>
    </cfRule>
  </conditionalFormatting>
  <conditionalFormatting sqref="C13:D14">
    <cfRule type="expression" dxfId="188" priority="18">
      <formula>AND($C13-TODAY()&lt;30,TODAY()&lt;$C13)</formula>
    </cfRule>
    <cfRule type="cellIs" dxfId="187" priority="19" stopIfTrue="1" operator="lessThan">
      <formula>$B$2</formula>
    </cfRule>
  </conditionalFormatting>
  <conditionalFormatting sqref="C15:D15">
    <cfRule type="expression" dxfId="186" priority="5">
      <formula>AND($C15-TODAY()&lt;30,TODAY()&lt;$C15)</formula>
    </cfRule>
    <cfRule type="cellIs" dxfId="185" priority="6" stopIfTrue="1" operator="lessThan">
      <formula>$B$2</formula>
    </cfRule>
  </conditionalFormatting>
  <conditionalFormatting sqref="C20:D20 C13:D13">
    <cfRule type="cellIs" dxfId="184" priority="54" stopIfTrue="1" operator="lessThan">
      <formula>$B$2</formula>
    </cfRule>
  </conditionalFormatting>
  <conditionalFormatting sqref="C20:D20">
    <cfRule type="expression" dxfId="183" priority="52">
      <formula>AND($C20-TODAY()&lt;30,TODAY()&lt;$C20)</formula>
    </cfRule>
  </conditionalFormatting>
  <conditionalFormatting sqref="D7:D12 D16">
    <cfRule type="expression" dxfId="182" priority="53">
      <formula>AND($C7-TODAY()&lt;30,TODAY()&lt;$C7)</formula>
    </cfRule>
  </conditionalFormatting>
  <conditionalFormatting sqref="D7:D12">
    <cfRule type="cellIs" dxfId="181" priority="48" stopIfTrue="1" operator="lessThan">
      <formula>$B$2</formula>
    </cfRule>
  </conditionalFormatting>
  <conditionalFormatting sqref="D14 C4:D6">
    <cfRule type="expression" dxfId="180" priority="49">
      <formula>AND($C4-TODAY()&lt;30,TODAY()&lt;$C4)</formula>
    </cfRule>
  </conditionalFormatting>
  <conditionalFormatting sqref="D15:D16">
    <cfRule type="expression" dxfId="179" priority="12">
      <formula>AND($C15-TODAY()&lt;30,TODAY()&lt;$C15)</formula>
    </cfRule>
    <cfRule type="cellIs" dxfId="178" priority="13" stopIfTrue="1" operator="lessThan">
      <formula>$B$2</formula>
    </cfRule>
  </conditionalFormatting>
  <conditionalFormatting sqref="E16:G16">
    <cfRule type="cellIs" dxfId="177" priority="31" stopIfTrue="1" operator="equal">
      <formula>"已过期"</formula>
    </cfRule>
  </conditionalFormatting>
  <conditionalFormatting sqref="F4:F15">
    <cfRule type="cellIs" dxfId="176" priority="9" stopIfTrue="1" operator="equal">
      <formula>"已过期"</formula>
    </cfRule>
  </conditionalFormatting>
  <conditionalFormatting sqref="G4:G15">
    <cfRule type="cellIs" dxfId="175" priority="3" stopIfTrue="1" operator="lessThan">
      <formula>$B$2</formula>
    </cfRule>
  </conditionalFormatting>
  <conditionalFormatting sqref="G20:G21">
    <cfRule type="expression" dxfId="174" priority="1" stopIfTrue="1">
      <formula>AND(#REF!-TODAY()&lt;30,TODAY()&lt;#REF!)</formula>
    </cfRule>
    <cfRule type="cellIs" dxfId="173"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172</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结果表1层</vt:lpstr>
      <vt:lpstr>成本法</vt:lpstr>
      <vt:lpstr>假设开发法</vt:lpstr>
      <vt:lpstr>收益法</vt:lpstr>
      <vt:lpstr>比较法-商业</vt:lpstr>
      <vt:lpstr>收益法 (元)</vt:lpstr>
      <vt:lpstr>典型户型修正</vt:lpstr>
      <vt:lpstr>结果表2层</vt:lpstr>
      <vt:lpstr>比较法-商业2层</vt:lpstr>
      <vt:lpstr>收益法 (元) 2层</vt:lpstr>
      <vt:lpstr>案例</vt:lpstr>
      <vt:lpstr>2025-1-0212复估单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基准地价（汇总）</vt:lpstr>
      <vt:lpstr>成本法 (元) 1层</vt:lpstr>
      <vt:lpstr>基准地价修正1层</vt:lpstr>
      <vt:lpstr>成本法 (元)2层</vt:lpstr>
      <vt:lpstr>基准地价修正2层</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'比较法-商业2层'!Print_Area</vt:lpstr>
      <vt:lpstr>'比较法-住宅'!Print_Area</vt:lpstr>
      <vt:lpstr>成本法!Print_Area</vt:lpstr>
      <vt:lpstr>'成本法 (元) 1层'!Print_Area</vt:lpstr>
      <vt:lpstr>'成本法 (元)2层'!Print_Area</vt:lpstr>
      <vt:lpstr>估价对象房地状况!Print_Area</vt:lpstr>
      <vt:lpstr>估价师及机构信息!Print_Area</vt:lpstr>
      <vt:lpstr>'基准地价（汇总）'!Print_Area</vt:lpstr>
      <vt:lpstr>基准地价修正1层!Print_Area</vt:lpstr>
      <vt:lpstr>基准地价修正2层!Print_Area</vt:lpstr>
      <vt:lpstr>假设开发法!Print_Area</vt:lpstr>
      <vt:lpstr>结果表1层!Print_Area</vt:lpstr>
      <vt:lpstr>结果表2层!Print_Area</vt:lpstr>
      <vt:lpstr>收益法!Print_Area</vt:lpstr>
      <vt:lpstr>'收益法 (元)'!Print_Area</vt:lpstr>
      <vt:lpstr>'收益法 (元) 2层'!Print_Area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基准地价修正1层!季度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'比较法-商业2层'!商业层高</vt:lpstr>
      <vt:lpstr>商业层高</vt:lpstr>
      <vt:lpstr>'比较法-商业2层'!商业成新度</vt:lpstr>
      <vt:lpstr>商业成新度</vt:lpstr>
      <vt:lpstr>商业繁华度</vt:lpstr>
      <vt:lpstr>'比较法-商业2层'!商业公共部分装修</vt:lpstr>
      <vt:lpstr>商业公共部分装修</vt:lpstr>
      <vt:lpstr>'比较法-商业2层'!商业基础设施水平</vt:lpstr>
      <vt:lpstr>商业基础设施水平</vt:lpstr>
      <vt:lpstr>'比较法-商业2层'!商业建筑结构</vt:lpstr>
      <vt:lpstr>商业建筑结构</vt:lpstr>
      <vt:lpstr>'比较法-商业2层'!商业交易情况</vt:lpstr>
      <vt:lpstr>商业交易情况</vt:lpstr>
      <vt:lpstr>商业街名称</vt:lpstr>
      <vt:lpstr>'比较法-商业2层'!商业进深比</vt:lpstr>
      <vt:lpstr>商业进深比</vt:lpstr>
      <vt:lpstr>'比较法-商业2层'!商业类型</vt:lpstr>
      <vt:lpstr>商业类型</vt:lpstr>
      <vt:lpstr>'比较法-商业2层'!商业临街状况</vt:lpstr>
      <vt:lpstr>商业临街状况</vt:lpstr>
      <vt:lpstr>'比较法-商业2层'!商业楼层</vt:lpstr>
      <vt:lpstr>商业楼层</vt:lpstr>
      <vt:lpstr>'比较法-商业2层'!商业内部装修</vt:lpstr>
      <vt:lpstr>商业内部装修</vt:lpstr>
      <vt:lpstr>'比较法-商业2层'!商业人流量</vt:lpstr>
      <vt:lpstr>商业人流量</vt:lpstr>
      <vt:lpstr>'比较法-商业2层'!商业业态</vt:lpstr>
      <vt:lpstr>商业业态</vt:lpstr>
      <vt:lpstr>'比较法-商业2层'!商业用途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2025-06-23T08:19:26Z</dcterms:modified>
</cp:coreProperties>
</file>